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65516" windowWidth="20380" windowHeight="13200" activeTab="1"/>
  </bookViews>
  <sheets>
    <sheet name="In Plane" sheetId="1" r:id="rId1"/>
    <sheet name="Out of Plane" sheetId="2" r:id="rId2"/>
    <sheet name="Load Sharing" sheetId="3" r:id="rId3"/>
  </sheets>
  <definedNames>
    <definedName name="DR">'In Plane'!$B$37</definedName>
    <definedName name="F_1112">'In Plane'!$B$30</definedName>
    <definedName name="F_1121">'In Plane'!$B$31</definedName>
    <definedName name="F_1122">'In Plane'!$B$32</definedName>
    <definedName name="F_1221">'In Plane'!$B$33</definedName>
    <definedName name="F_1222">'In Plane'!$B$34</definedName>
    <definedName name="F_2122">'In Plane'!$B$35</definedName>
    <definedName name="I_11">'In Plane'!$B$9</definedName>
    <definedName name="I_12">'In Plane'!$B$10</definedName>
    <definedName name="I_21">'In Plane'!$B$11</definedName>
    <definedName name="I_22">'In Plane'!$B$12</definedName>
    <definedName name="IOH">'Out of Plane'!$B$34</definedName>
    <definedName name="IPF1A">'Out of Plane'!$C$34</definedName>
    <definedName name="IPF1B">'Out of Plane'!$D$34</definedName>
    <definedName name="IPF2">'Out of Plane'!$E$34</definedName>
    <definedName name="IPF3">'Out of Plane'!$F$34</definedName>
    <definedName name="IPF5">'Out of Plane'!$G$34</definedName>
    <definedName name="ITF">'In Plane'!$B$5</definedName>
    <definedName name="Lflag">'In Plane'!$B$29</definedName>
    <definedName name="Lflex">'In Plane'!$B$39</definedName>
    <definedName name="mu0">'In Plane'!$B$1</definedName>
    <definedName name="NI11">'In Plane'!$B$13</definedName>
    <definedName name="NI12">'In Plane'!$B$14</definedName>
    <definedName name="NI21">'In Plane'!$B$15</definedName>
    <definedName name="NI22">'In Plane'!$B$16</definedName>
    <definedName name="nr">'In Plane'!$B$36</definedName>
    <definedName name="_xlnm.Print_Area" localSheetId="0">'In Plane'!$A$1:$O$71</definedName>
    <definedName name="_xlnm.Print_Area" localSheetId="2">'Load Sharing'!$A$21:$D$85</definedName>
    <definedName name="Rat">'In Plane'!$B$8</definedName>
    <definedName name="Ril">'In Plane'!$B$38</definedName>
    <definedName name="solver_adj" localSheetId="0" hidden="1">'In Plane'!#REF!,'In Plane'!#REF!,'In Plane'!#REF!,'In Plane'!#REF!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'In Plane'!#REF!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'In Plane'!#REF!</definedName>
    <definedName name="solver_pre" localSheetId="0" hidden="1">0.000001</definedName>
    <definedName name="solver_rel1" localSheetId="0" hidden="1">2</definedName>
    <definedName name="solver_rhs1" localSheetId="0" hidden="1">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<sst xmlns="http://schemas.openxmlformats.org/spreadsheetml/2006/main" count="489" uniqueCount="264">
  <si>
    <t>Flags Distribution</t>
  </si>
  <si>
    <t>BZ11(OH)</t>
  </si>
  <si>
    <t>BZ11(PF1A)</t>
  </si>
  <si>
    <t>BZ11(PF1B)</t>
  </si>
  <si>
    <t>BZ11(PF2)</t>
  </si>
  <si>
    <t>BZ11(PF3)</t>
  </si>
  <si>
    <t>BZ11(PF5)</t>
  </si>
  <si>
    <t>BZ11</t>
  </si>
  <si>
    <t>BZ12(OH)</t>
  </si>
  <si>
    <t>BZ12(PF1A)</t>
  </si>
  <si>
    <t>BZ12(PF1B)</t>
  </si>
  <si>
    <t>Bolting Radius</t>
  </si>
  <si>
    <t>Tensile Safety Factor</t>
  </si>
  <si>
    <t>Friction Coefficient</t>
  </si>
  <si>
    <t>Friction Safety Factor</t>
  </si>
  <si>
    <t>Bolt Diameter</t>
  </si>
  <si>
    <t>Tensile Area</t>
  </si>
  <si>
    <t>Male….</t>
  </si>
  <si>
    <t>Female…</t>
  </si>
  <si>
    <t>Pitch Diameter</t>
  </si>
  <si>
    <t>Shear Safety Factor</t>
  </si>
  <si>
    <t>BZ12(PF2)</t>
  </si>
  <si>
    <t>Torsional Shear in Collar</t>
  </si>
  <si>
    <t>psi</t>
  </si>
  <si>
    <t>Total Vertical Load</t>
  </si>
  <si>
    <t>Vertical Load in Collar</t>
  </si>
  <si>
    <t>Vertical Shear in Collar</t>
  </si>
  <si>
    <t>Combined Load in Collar</t>
  </si>
  <si>
    <t>Wet Lay-up Shear Strength</t>
  </si>
  <si>
    <t>Joint Friction Coefficient</t>
  </si>
  <si>
    <t>Preload</t>
  </si>
  <si>
    <t>Friction Capability per Joint</t>
  </si>
  <si>
    <t>Total Friction Capability</t>
  </si>
  <si>
    <t>SHOULDER BOLTS</t>
  </si>
  <si>
    <t>Tinit</t>
  </si>
  <si>
    <t>Tsoft</t>
  </si>
  <si>
    <t>Teoft</t>
  </si>
  <si>
    <t>Teop</t>
  </si>
  <si>
    <t>Thermal Compression SOFT</t>
  </si>
  <si>
    <t>Thermal Compression EOFT</t>
  </si>
  <si>
    <t>Thermal Compression EOP</t>
  </si>
  <si>
    <t>Total Vertical Load, Inner Layer Flag</t>
  </si>
  <si>
    <t>Total Vertical Load, Outer Layer Flag</t>
  </si>
  <si>
    <t>Total on Flags</t>
  </si>
  <si>
    <t>fF1 w/o Belleville</t>
  </si>
  <si>
    <t>fF2 w/o Belleville</t>
  </si>
  <si>
    <t>Bearing Yield Strength for Safety Factor</t>
  </si>
  <si>
    <t>Male…</t>
  </si>
  <si>
    <t>Tensile yield for Safety Factor</t>
  </si>
  <si>
    <t>Bolt Tensile Yield Strength for Safety Factor</t>
  </si>
  <si>
    <t>Friction Capacity for Safety Factor</t>
  </si>
  <si>
    <t>#Bolt</t>
  </si>
  <si>
    <t>Shear Allowable/Tensile Allowable</t>
  </si>
  <si>
    <t>∆R Cu SOFT</t>
  </si>
  <si>
    <t>Load to Shoe</t>
  </si>
  <si>
    <t>fVertBolt</t>
  </si>
  <si>
    <t>fAngBolt</t>
  </si>
  <si>
    <t>FVertBolt</t>
  </si>
  <si>
    <t>FAngBolt</t>
  </si>
  <si>
    <t>COLLAR</t>
  </si>
  <si>
    <t>JOINT &amp; SHOE</t>
  </si>
  <si>
    <t>#Shoulder Bolts</t>
  </si>
  <si>
    <t>Bolt Radial Location</t>
  </si>
  <si>
    <t>Shear Force/Bolt</t>
  </si>
  <si>
    <t>Bearing Stress Concentration Factor</t>
  </si>
  <si>
    <t>Shoulder Bolt Dia</t>
  </si>
  <si>
    <t>Shoulder Bolt Depth</t>
  </si>
  <si>
    <t>Bearing Area</t>
  </si>
  <si>
    <t>Shear Area in Bolt</t>
  </si>
  <si>
    <t>Shearing Yield</t>
  </si>
  <si>
    <t>Shearing Safety Factor</t>
  </si>
  <si>
    <t>Bearing Safety Factor</t>
  </si>
  <si>
    <t>Torsional Force at Bolt Radius</t>
  </si>
  <si>
    <t>Shear Strength w/compression</t>
  </si>
  <si>
    <t>Shearing Yield in Collar</t>
  </si>
  <si>
    <t>Collar Thickness</t>
  </si>
  <si>
    <t>lbf</t>
  </si>
  <si>
    <t>#Collar Bolts</t>
  </si>
  <si>
    <t>Thermal Load to Collar</t>
  </si>
  <si>
    <t>Thermal Shear in Collar</t>
  </si>
  <si>
    <t>fF1</t>
  </si>
  <si>
    <t>fF2</t>
  </si>
  <si>
    <t>X=fF1/fF2</t>
  </si>
  <si>
    <t>k1</t>
  </si>
  <si>
    <t>k2</t>
  </si>
  <si>
    <t>∆Lem</t>
  </si>
  <si>
    <t>∆Lthermal</t>
  </si>
  <si>
    <t>kb</t>
  </si>
  <si>
    <t>k2'</t>
  </si>
  <si>
    <t>Fthermal</t>
  </si>
  <si>
    <t>lb/in</t>
  </si>
  <si>
    <t>lb</t>
  </si>
  <si>
    <t>kbunit</t>
  </si>
  <si>
    <t>∆Lb</t>
  </si>
  <si>
    <t>Fbunit</t>
  </si>
  <si>
    <t>#unit</t>
  </si>
  <si>
    <t>Force/Bolt</t>
  </si>
  <si>
    <t>Bolt Dia</t>
  </si>
  <si>
    <t>Threads/inch</t>
  </si>
  <si>
    <t>Bolt Tensile Stress Area</t>
  </si>
  <si>
    <t>Bolt Stress</t>
  </si>
  <si>
    <t>Bolt Safety Factor</t>
  </si>
  <si>
    <t>DR</t>
  </si>
  <si>
    <t>N</t>
  </si>
  <si>
    <t>R</t>
  </si>
  <si>
    <t>F11</t>
  </si>
  <si>
    <t>F12</t>
  </si>
  <si>
    <t>F21</t>
  </si>
  <si>
    <t>F22</t>
  </si>
  <si>
    <t>M11</t>
  </si>
  <si>
    <t>M12</t>
  </si>
  <si>
    <t>M21</t>
  </si>
  <si>
    <t>M22</t>
  </si>
  <si>
    <t>m</t>
  </si>
  <si>
    <t>T</t>
  </si>
  <si>
    <t>turn</t>
  </si>
  <si>
    <t>Amp</t>
  </si>
  <si>
    <t>Amp-turn</t>
  </si>
  <si>
    <t>inch</t>
  </si>
  <si>
    <t>lbs/in</t>
  </si>
  <si>
    <t>lbs</t>
  </si>
  <si>
    <t>in-lbs</t>
  </si>
  <si>
    <t>Ix1/Ix2</t>
  </si>
  <si>
    <t>I11</t>
  </si>
  <si>
    <t>I12</t>
  </si>
  <si>
    <t>I21</t>
  </si>
  <si>
    <t>I22</t>
  </si>
  <si>
    <t xml:space="preserve"> </t>
  </si>
  <si>
    <t>RIL</t>
  </si>
  <si>
    <t>in</t>
  </si>
  <si>
    <t>∑Turn</t>
  </si>
  <si>
    <t>∑∑All Turns</t>
  </si>
  <si>
    <t>Bavg</t>
  </si>
  <si>
    <t>drBavg</t>
  </si>
  <si>
    <t>Favg</t>
  </si>
  <si>
    <t>rBavg</t>
  </si>
  <si>
    <t>∑F</t>
  </si>
  <si>
    <t>M</t>
  </si>
  <si>
    <t>Lflex</t>
  </si>
  <si>
    <t>Flags</t>
  </si>
  <si>
    <t>Flex Links</t>
  </si>
  <si>
    <t>From Flex</t>
  </si>
  <si>
    <t>Tot per Turn</t>
  </si>
  <si>
    <t>Vertical Load on Joint/Shoe</t>
  </si>
  <si>
    <t>R Cu at Tinit</t>
  </si>
  <si>
    <t>Bolt Elasticity</t>
  </si>
  <si>
    <t>Bolt Length</t>
  </si>
  <si>
    <t>K per Bolt</t>
  </si>
  <si>
    <t>#Collar Gaps</t>
  </si>
  <si>
    <t>Collar K for Circumferential Displacement</t>
  </si>
  <si>
    <t>Net Collar K for Circumferential Displacement</t>
  </si>
  <si>
    <t>Net Collar K for Radial Displacement</t>
  </si>
  <si>
    <t>Net Bolt K for Circumferential Displacement</t>
  </si>
  <si>
    <t>∆R Cu EOFT</t>
  </si>
  <si>
    <t>∆R Cu EOP</t>
  </si>
  <si>
    <t>Thermal Force SOFT</t>
  </si>
  <si>
    <t>Thermal Hoop Tension SOFT</t>
  </si>
  <si>
    <t>Thermal Force EOFT</t>
  </si>
  <si>
    <t>Thermal Hoop Tension EOFT</t>
  </si>
  <si>
    <t>Thermal Force EOP</t>
  </si>
  <si>
    <t>Thermal Hoop Tension EOP</t>
  </si>
  <si>
    <t>Collar Hoop Tension for Compression</t>
  </si>
  <si>
    <t>SOFT Hoop Tension Deficit=Preload</t>
  </si>
  <si>
    <t>EOP Hoop Tension Maximum</t>
  </si>
  <si>
    <t>Collar Hoop Stress Maximum</t>
  </si>
  <si>
    <t>GUIDE RING BOLT</t>
  </si>
  <si>
    <t>BZ12(PF3)</t>
  </si>
  <si>
    <t>BZ12(PF5)</t>
  </si>
  <si>
    <t>BZ12</t>
  </si>
  <si>
    <t>BZ21(OH)</t>
  </si>
  <si>
    <t>BZ21(PF1A)</t>
  </si>
  <si>
    <t>BZ21(PF1B)</t>
  </si>
  <si>
    <t>Collar Safety Factor</t>
  </si>
  <si>
    <t>Compression for Safety Factor</t>
  </si>
  <si>
    <t>Bolt Mat'l  Tensile Yield for Safety Factor</t>
  </si>
  <si>
    <t>Tensile Force/Bolt</t>
  </si>
  <si>
    <t>BZ21(PF2)</t>
  </si>
  <si>
    <t>BZ21(PF3)</t>
  </si>
  <si>
    <t>BZ21(PF5)</t>
  </si>
  <si>
    <t>BZ21</t>
  </si>
  <si>
    <t>BZ22(OH)</t>
  </si>
  <si>
    <t>BZ22(PF1A)</t>
  </si>
  <si>
    <t>BZ22(PF1B)</t>
  </si>
  <si>
    <t>BZ22(PF2)</t>
  </si>
  <si>
    <t>BZ22(PF3)</t>
  </si>
  <si>
    <t>BZ22(PF5)</t>
  </si>
  <si>
    <t>BZ22</t>
  </si>
  <si>
    <t>ITF</t>
  </si>
  <si>
    <t>IOH</t>
  </si>
  <si>
    <t>IPF1A</t>
  </si>
  <si>
    <t>IPF1B</t>
  </si>
  <si>
    <t>IPF2</t>
  </si>
  <si>
    <t>IPF3</t>
  </si>
  <si>
    <t>IPF5</t>
  </si>
  <si>
    <r>
      <t>F</t>
    </r>
    <r>
      <rPr>
        <sz val="9"/>
        <rFont val="Symbol"/>
        <family val="0"/>
      </rPr>
      <t>F</t>
    </r>
    <r>
      <rPr>
        <sz val="9"/>
        <rFont val="Geneva"/>
        <family val="0"/>
      </rPr>
      <t>11</t>
    </r>
  </si>
  <si>
    <r>
      <t>F</t>
    </r>
    <r>
      <rPr>
        <sz val="9"/>
        <rFont val="Symbol"/>
        <family val="0"/>
      </rPr>
      <t>F</t>
    </r>
    <r>
      <rPr>
        <sz val="9"/>
        <rFont val="Geneva"/>
        <family val="0"/>
      </rPr>
      <t>12</t>
    </r>
  </si>
  <si>
    <r>
      <t>F</t>
    </r>
    <r>
      <rPr>
        <sz val="9"/>
        <rFont val="Symbol"/>
        <family val="0"/>
      </rPr>
      <t>F</t>
    </r>
    <r>
      <rPr>
        <sz val="9"/>
        <rFont val="Geneva"/>
        <family val="0"/>
      </rPr>
      <t>21</t>
    </r>
  </si>
  <si>
    <r>
      <t>F</t>
    </r>
    <r>
      <rPr>
        <sz val="9"/>
        <rFont val="Symbol"/>
        <family val="0"/>
      </rPr>
      <t>F</t>
    </r>
    <r>
      <rPr>
        <sz val="9"/>
        <rFont val="Geneva"/>
        <family val="0"/>
      </rPr>
      <t>22</t>
    </r>
  </si>
  <si>
    <r>
      <t>F</t>
    </r>
    <r>
      <rPr>
        <sz val="9"/>
        <rFont val="Symbol"/>
        <family val="0"/>
      </rPr>
      <t>F</t>
    </r>
    <r>
      <rPr>
        <sz val="9"/>
        <rFont val="Geneva"/>
        <family val="0"/>
      </rPr>
      <t>1</t>
    </r>
  </si>
  <si>
    <r>
      <t>F</t>
    </r>
    <r>
      <rPr>
        <sz val="9"/>
        <rFont val="Symbol"/>
        <family val="0"/>
      </rPr>
      <t>F</t>
    </r>
    <r>
      <rPr>
        <sz val="9"/>
        <rFont val="Geneva"/>
        <family val="0"/>
      </rPr>
      <t>2</t>
    </r>
  </si>
  <si>
    <r>
      <t>∑F</t>
    </r>
    <r>
      <rPr>
        <sz val="9"/>
        <rFont val="Symbol"/>
        <family val="0"/>
      </rPr>
      <t>F</t>
    </r>
    <r>
      <rPr>
        <sz val="9"/>
        <rFont val="Geneva"/>
        <family val="0"/>
      </rPr>
      <t>1</t>
    </r>
  </si>
  <si>
    <r>
      <t>∑F</t>
    </r>
    <r>
      <rPr>
        <sz val="9"/>
        <rFont val="Symbol"/>
        <family val="0"/>
      </rPr>
      <t>F</t>
    </r>
    <r>
      <rPr>
        <sz val="9"/>
        <rFont val="Geneva"/>
        <family val="0"/>
      </rPr>
      <t>2</t>
    </r>
  </si>
  <si>
    <t>Flag</t>
  </si>
  <si>
    <t>Link</t>
  </si>
  <si>
    <t>Outer Leg</t>
  </si>
  <si>
    <t>R'</t>
  </si>
  <si>
    <t>(lbf/in)</t>
  </si>
  <si>
    <t>(lbf)</t>
  </si>
  <si>
    <t>(inch)</t>
  </si>
  <si>
    <t>Rx</t>
  </si>
  <si>
    <t>Itf</t>
  </si>
  <si>
    <t>R0</t>
  </si>
  <si>
    <t>B0</t>
  </si>
  <si>
    <t>mu0</t>
  </si>
  <si>
    <t>Ntf</t>
  </si>
  <si>
    <t>Nouter</t>
  </si>
  <si>
    <t>Ninner</t>
  </si>
  <si>
    <t>NI12</t>
  </si>
  <si>
    <t>NI11</t>
  </si>
  <si>
    <t>NI21</t>
  </si>
  <si>
    <t>NI22</t>
  </si>
  <si>
    <t>Flag Width</t>
  </si>
  <si>
    <t>DZ11</t>
  </si>
  <si>
    <t>DZ12</t>
  </si>
  <si>
    <t>DZ21</t>
  </si>
  <si>
    <t>DZ22</t>
  </si>
  <si>
    <t>Z11-Z12</t>
  </si>
  <si>
    <t>Z11-Z21</t>
  </si>
  <si>
    <t>Z21-Z22</t>
  </si>
  <si>
    <t>DZ Tiers</t>
  </si>
  <si>
    <t>Z11-Z22</t>
  </si>
  <si>
    <t>Z12-Z21</t>
  </si>
  <si>
    <t>Z12-Z22</t>
  </si>
  <si>
    <t>Flag Length</t>
  </si>
  <si>
    <t>F(11-12)</t>
  </si>
  <si>
    <t>F(11-21)</t>
  </si>
  <si>
    <t>F(11-22)</t>
  </si>
  <si>
    <t>F(12-21)</t>
  </si>
  <si>
    <t>F(12-22)</t>
  </si>
  <si>
    <t>F(21-22)</t>
  </si>
  <si>
    <t>NR</t>
  </si>
  <si>
    <t>Collar Height</t>
  </si>
  <si>
    <t>Inner Leg Groundwall Outer Radius</t>
  </si>
  <si>
    <t>Circumference</t>
  </si>
  <si>
    <t>Area</t>
  </si>
  <si>
    <t>in^2</t>
  </si>
  <si>
    <t>Torque in Collar</t>
  </si>
  <si>
    <t>N-m</t>
  </si>
  <si>
    <t>ft-lbs</t>
  </si>
  <si>
    <t>f Torsion to Collar</t>
  </si>
  <si>
    <t>Cu Coeff of Expansion</t>
  </si>
  <si>
    <t>per degC</t>
  </si>
  <si>
    <t>degC</t>
  </si>
  <si>
    <t>Wet Lay-up Elasticity</t>
  </si>
  <si>
    <t>Collar Elasticity</t>
  </si>
  <si>
    <t>Wet Lay-up Thickness</t>
  </si>
  <si>
    <t>Wet Lay-up K</t>
  </si>
  <si>
    <t>Net K</t>
  </si>
  <si>
    <t>Pitch Dia</t>
  </si>
  <si>
    <t>Axial load/bolt</t>
  </si>
  <si>
    <t>Thread engagement length</t>
  </si>
  <si>
    <t>Shear area</t>
  </si>
  <si>
    <t>Torsional Load</t>
  </si>
  <si>
    <t>Torsional Force in Collar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</si>
</sst>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1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.25"/>
      <name val="Geneva"/>
      <family val="0"/>
    </font>
    <font>
      <sz val="1.5"/>
      <name val="Geneva"/>
      <family val="0"/>
    </font>
    <font>
      <b/>
      <sz val="1.5"/>
      <name val="Geneva"/>
      <family val="0"/>
    </font>
    <font>
      <b/>
      <sz val="2"/>
      <name val="Geneva"/>
      <family val="0"/>
    </font>
    <font>
      <sz val="9"/>
      <name val="Symbol"/>
      <family val="0"/>
    </font>
    <font>
      <b/>
      <sz val="12"/>
      <name val="Geneva"/>
      <family val="0"/>
    </font>
    <font>
      <sz val="12"/>
      <name val="Times"/>
      <family val="0"/>
    </font>
    <font>
      <sz val="9"/>
      <name val="Times"/>
      <family val="0"/>
    </font>
    <font>
      <sz val="18"/>
      <name val="Times"/>
      <family val="0"/>
    </font>
    <font>
      <sz val="14"/>
      <name val="Times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2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/>
    </xf>
    <xf numFmtId="0" fontId="13" fillId="0" borderId="1" xfId="0" applyFont="1" applyBorder="1" applyAlignment="1">
      <alignment/>
    </xf>
    <xf numFmtId="0" fontId="13" fillId="0" borderId="0" xfId="0" applyFont="1" applyAlignment="1">
      <alignment/>
    </xf>
    <xf numFmtId="164" fontId="13" fillId="0" borderId="1" xfId="0" applyNumberFormat="1" applyFont="1" applyBorder="1" applyAlignment="1">
      <alignment/>
    </xf>
    <xf numFmtId="2" fontId="13" fillId="0" borderId="1" xfId="0" applyNumberFormat="1" applyFont="1" applyBorder="1" applyAlignment="1">
      <alignment/>
    </xf>
    <xf numFmtId="0" fontId="13" fillId="0" borderId="1" xfId="0" applyFont="1" applyFill="1" applyBorder="1" applyAlignment="1">
      <alignment/>
    </xf>
    <xf numFmtId="11" fontId="13" fillId="0" borderId="1" xfId="0" applyNumberFormat="1" applyFont="1" applyBorder="1" applyAlignment="1">
      <alignment/>
    </xf>
    <xf numFmtId="1" fontId="13" fillId="0" borderId="1" xfId="0" applyNumberFormat="1" applyFont="1" applyBorder="1" applyAlignment="1">
      <alignment/>
    </xf>
    <xf numFmtId="2" fontId="0" fillId="2" borderId="0" xfId="0" applyNumberFormat="1" applyFill="1" applyAlignment="1">
      <alignment/>
    </xf>
    <xf numFmtId="0" fontId="13" fillId="0" borderId="1" xfId="0" applyFont="1" applyBorder="1" applyAlignment="1">
      <alignment wrapText="1"/>
    </xf>
    <xf numFmtId="165" fontId="13" fillId="0" borderId="1" xfId="0" applyNumberFormat="1" applyFont="1" applyBorder="1" applyAlignment="1">
      <alignment/>
    </xf>
    <xf numFmtId="164" fontId="13" fillId="0" borderId="0" xfId="0" applyNumberFormat="1" applyFont="1" applyAlignment="1">
      <alignment/>
    </xf>
    <xf numFmtId="11" fontId="13" fillId="2" borderId="1" xfId="0" applyNumberFormat="1" applyFont="1" applyFill="1" applyBorder="1" applyAlignment="1">
      <alignment/>
    </xf>
    <xf numFmtId="164" fontId="13" fillId="2" borderId="1" xfId="0" applyNumberFormat="1" applyFont="1" applyFill="1" applyBorder="1" applyAlignment="1">
      <alignment/>
    </xf>
    <xf numFmtId="1" fontId="13" fillId="0" borderId="1" xfId="0" applyNumberFormat="1" applyFont="1" applyFill="1" applyBorder="1" applyAlignment="1">
      <alignment/>
    </xf>
    <xf numFmtId="1" fontId="13" fillId="3" borderId="1" xfId="0" applyNumberFormat="1" applyFont="1" applyFill="1" applyBorder="1" applyAlignment="1">
      <alignment/>
    </xf>
    <xf numFmtId="2" fontId="13" fillId="2" borderId="1" xfId="0" applyNumberFormat="1" applyFont="1" applyFill="1" applyBorder="1" applyAlignment="1">
      <alignment/>
    </xf>
    <xf numFmtId="2" fontId="13" fillId="0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'In Plane'!$A$64</c:f>
              <c:strCache>
                <c:ptCount val="1"/>
                <c:pt idx="0">
                  <c:v>F11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'In Plane'!$B$63:$L$63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'In Plane'!$B$64:$L$64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'In Plane'!$A$65</c:f>
              <c:strCache>
                <c:ptCount val="1"/>
                <c:pt idx="0">
                  <c:v>F12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'In Plane'!$B$63:$L$63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'In Plane'!$B$65:$L$65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'In Plane'!$A$66</c:f>
              <c:strCache>
                <c:ptCount val="1"/>
                <c:pt idx="0">
                  <c:v>F21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'In Plane'!$B$63:$L$63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'In Plane'!$B$66:$L$66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'In Plane'!$A$67</c:f>
              <c:strCache>
                <c:ptCount val="1"/>
                <c:pt idx="0">
                  <c:v>F22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'In Plane'!$B$63:$L$63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'In Plane'!$B$67:$L$67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14918808"/>
        <c:axId val="51545"/>
      </c:scatterChart>
      <c:valAx>
        <c:axId val="14918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45"/>
        <c:crosses val="autoZero"/>
        <c:crossBetween val="midCat"/>
        <c:dispUnits/>
      </c:valAx>
      <c:valAx>
        <c:axId val="515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188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Geneva"/>
                <a:ea typeface="Geneva"/>
                <a:cs typeface="Geneva"/>
              </a:rPr>
              <a:t>Bolt Preload and Peak Force vs. End-Jack Force for Inner Tier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Preload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'In Plane'!#REF!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'In Plane'!#REF!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Peak Force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'In Plane'!#REF!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'In Plane'!#REF!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63906"/>
        <c:axId val="4175155"/>
      </c:scatterChart>
      <c:valAx>
        <c:axId val="463906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Geneva"/>
                    <a:ea typeface="Geneva"/>
                    <a:cs typeface="Geneva"/>
                  </a:rPr>
                  <a:t>End Jack Force (lbs)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5155"/>
        <c:crosses val="autoZero"/>
        <c:crossBetween val="midCat"/>
        <c:dispUnits/>
      </c:valAx>
      <c:valAx>
        <c:axId val="4175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Geneva"/>
                    <a:ea typeface="Geneva"/>
                    <a:cs typeface="Geneva"/>
                  </a:rPr>
                  <a:t>Bolt Force (lbs)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9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Geneva"/>
                <a:ea typeface="Geneva"/>
                <a:cs typeface="Geneva"/>
              </a:rPr>
              <a:t>Bolt Preload and Peak Force vs. End-Jack Force for Outer Tier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Preload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'In Plane'!#REF!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'In Plane'!#REF!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Peak Force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'In Plane'!#REF!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'In Plane'!#REF!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7576396"/>
        <c:axId val="2643245"/>
      </c:scatterChart>
      <c:valAx>
        <c:axId val="37576396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Geneva"/>
                    <a:ea typeface="Geneva"/>
                    <a:cs typeface="Geneva"/>
                  </a:rPr>
                  <a:t>End Jack Force (lbs)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3245"/>
        <c:crosses val="autoZero"/>
        <c:crossBetween val="midCat"/>
        <c:dispUnits/>
      </c:valAx>
      <c:valAx>
        <c:axId val="2643245"/>
        <c:scaling>
          <c:orientation val="minMax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Geneva"/>
                    <a:ea typeface="Geneva"/>
                    <a:cs typeface="Geneva"/>
                  </a:rPr>
                  <a:t>Bolt Force (lbs)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763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Fields on Inner Tier, Inner Edge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'Out of Plane'!$B$36</c:f>
              <c:strCache>
                <c:ptCount val="1"/>
                <c:pt idx="0">
                  <c:v>BZ11(OH)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'Out of Plane'!$A$37:$A$66</c:f>
              <c:numCache/>
            </c:numRef>
          </c:xVal>
          <c:yVal>
            <c:numRef>
              <c:f>'Out of Plane'!$B$37:$B$66</c:f>
              <c:numCache/>
            </c:numRef>
          </c:yVal>
          <c:smooth val="0"/>
        </c:ser>
        <c:ser>
          <c:idx val="1"/>
          <c:order val="1"/>
          <c:tx>
            <c:strRef>
              <c:f>'Out of Plane'!$C$36</c:f>
              <c:strCache>
                <c:ptCount val="1"/>
                <c:pt idx="0">
                  <c:v>BZ11(PF1A)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'Out of Plane'!$A$37:$A$66</c:f>
              <c:numCache/>
            </c:numRef>
          </c:xVal>
          <c:yVal>
            <c:numRef>
              <c:f>'Out of Plane'!$C$37:$C$66</c:f>
              <c:numCache/>
            </c:numRef>
          </c:yVal>
          <c:smooth val="0"/>
        </c:ser>
        <c:ser>
          <c:idx val="2"/>
          <c:order val="2"/>
          <c:tx>
            <c:strRef>
              <c:f>'Out of Plane'!$D$36</c:f>
              <c:strCache>
                <c:ptCount val="1"/>
                <c:pt idx="0">
                  <c:v>BZ11(PF1B)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'Out of Plane'!$A$37:$A$66</c:f>
              <c:numCache/>
            </c:numRef>
          </c:xVal>
          <c:yVal>
            <c:numRef>
              <c:f>'Out of Plane'!$D$37:$D$66</c:f>
              <c:numCache/>
            </c:numRef>
          </c:yVal>
          <c:smooth val="0"/>
        </c:ser>
        <c:ser>
          <c:idx val="3"/>
          <c:order val="3"/>
          <c:tx>
            <c:strRef>
              <c:f>'Out of Plane'!$E$36</c:f>
              <c:strCache>
                <c:ptCount val="1"/>
                <c:pt idx="0">
                  <c:v>BZ11(PF2)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'Out of Plane'!$A$37:$A$66</c:f>
              <c:numCache/>
            </c:numRef>
          </c:xVal>
          <c:yVal>
            <c:numRef>
              <c:f>'Out of Plane'!$E$37:$E$66</c:f>
              <c:numCache/>
            </c:numRef>
          </c:yVal>
          <c:smooth val="0"/>
        </c:ser>
        <c:ser>
          <c:idx val="4"/>
          <c:order val="4"/>
          <c:tx>
            <c:strRef>
              <c:f>'Out of Plane'!$F$36</c:f>
              <c:strCache>
                <c:ptCount val="1"/>
                <c:pt idx="0">
                  <c:v>BZ11(PF3)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'Out of Plane'!$A$37:$A$66</c:f>
              <c:numCache/>
            </c:numRef>
          </c:xVal>
          <c:yVal>
            <c:numRef>
              <c:f>'Out of Plane'!$F$37:$F$66</c:f>
              <c:numCache/>
            </c:numRef>
          </c:yVal>
          <c:smooth val="0"/>
        </c:ser>
        <c:ser>
          <c:idx val="5"/>
          <c:order val="5"/>
          <c:tx>
            <c:strRef>
              <c:f>'Out of Plane'!$G$36</c:f>
              <c:strCache>
                <c:ptCount val="1"/>
                <c:pt idx="0">
                  <c:v>BZ11(PF5)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'Out of Plane'!$A$37:$A$66</c:f>
              <c:numCache/>
            </c:numRef>
          </c:xVal>
          <c:yVal>
            <c:numRef>
              <c:f>'Out of Plane'!$G$37:$G$66</c:f>
              <c:numCache/>
            </c:numRef>
          </c:yVal>
          <c:smooth val="0"/>
        </c:ser>
        <c:ser>
          <c:idx val="6"/>
          <c:order val="6"/>
          <c:tx>
            <c:strRef>
              <c:f>'Out of Plane'!$H$36</c:f>
              <c:strCache>
                <c:ptCount val="1"/>
                <c:pt idx="0">
                  <c:v>BZ11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'Out of Plane'!$A$37:$A$66</c:f>
              <c:numCache/>
            </c:numRef>
          </c:xVal>
          <c:yVal>
            <c:numRef>
              <c:f>'Out of Plane'!$H$37:$H$66</c:f>
              <c:numCache/>
            </c:numRef>
          </c:yVal>
          <c:smooth val="0"/>
        </c:ser>
        <c:axId val="23789206"/>
        <c:axId val="12776263"/>
      </c:scatterChart>
      <c:valAx>
        <c:axId val="23789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Radius (inch)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2776263"/>
        <c:crosses val="autoZero"/>
        <c:crossBetween val="midCat"/>
        <c:dispUnits/>
      </c:valAx>
      <c:valAx>
        <c:axId val="12776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Bz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37892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Vertical Field at Flags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6"/>
          <c:order val="0"/>
          <c:tx>
            <c:strRef>
              <c:f>'Out of Plane'!$H$36</c:f>
              <c:strCache>
                <c:ptCount val="1"/>
                <c:pt idx="0">
                  <c:v>BZ11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'Out of Plane'!$A$37:$A$66</c:f>
              <c:numCache/>
            </c:numRef>
          </c:xVal>
          <c:yVal>
            <c:numRef>
              <c:f>'Out of Plane'!$H$37:$H$66</c:f>
              <c:numCache/>
            </c:numRef>
          </c:yVal>
          <c:smooth val="0"/>
        </c:ser>
        <c:ser>
          <c:idx val="13"/>
          <c:order val="1"/>
          <c:tx>
            <c:strRef>
              <c:f>'Out of Plane'!$O$36</c:f>
              <c:strCache>
                <c:ptCount val="1"/>
                <c:pt idx="0">
                  <c:v>BZ12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'Out of Plane'!$A$37:$A$66</c:f>
              <c:numCache/>
            </c:numRef>
          </c:xVal>
          <c:yVal>
            <c:numRef>
              <c:f>'Out of Plane'!$O$37:$O$66</c:f>
              <c:numCache/>
            </c:numRef>
          </c:yVal>
          <c:smooth val="0"/>
        </c:ser>
        <c:ser>
          <c:idx val="20"/>
          <c:order val="2"/>
          <c:tx>
            <c:strRef>
              <c:f>'Out of Plane'!$V$36</c:f>
              <c:strCache>
                <c:ptCount val="1"/>
                <c:pt idx="0">
                  <c:v>BZ21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'Out of Plane'!$A$37:$A$66</c:f>
              <c:numCache/>
            </c:numRef>
          </c:xVal>
          <c:yVal>
            <c:numRef>
              <c:f>'Out of Plane'!$V$37:$V$66</c:f>
              <c:numCache/>
            </c:numRef>
          </c:yVal>
          <c:smooth val="0"/>
        </c:ser>
        <c:ser>
          <c:idx val="27"/>
          <c:order val="3"/>
          <c:tx>
            <c:strRef>
              <c:f>'Out of Plane'!$AC$36</c:f>
              <c:strCache>
                <c:ptCount val="1"/>
                <c:pt idx="0">
                  <c:v>BZ22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'Out of Plane'!$A$37:$A$66</c:f>
              <c:numCache/>
            </c:numRef>
          </c:xVal>
          <c:yVal>
            <c:numRef>
              <c:f>'Out of Plane'!$AC$37:$AC$66</c:f>
              <c:numCache/>
            </c:numRef>
          </c:yVal>
          <c:smooth val="0"/>
        </c:ser>
        <c:axId val="47877504"/>
        <c:axId val="28244353"/>
      </c:scatterChart>
      <c:valAx>
        <c:axId val="47877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Radius (inch)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44353"/>
        <c:crosses val="autoZero"/>
        <c:crossBetween val="midCat"/>
        <c:dispUnits/>
      </c:valAx>
      <c:valAx>
        <c:axId val="28244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Bz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8775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12</xdr:row>
      <xdr:rowOff>95250</xdr:rowOff>
    </xdr:from>
    <xdr:to>
      <xdr:col>9</xdr:col>
      <xdr:colOff>247650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4267200" y="2038350"/>
        <a:ext cx="6124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76200</xdr:colOff>
      <xdr:row>19</xdr:row>
      <xdr:rowOff>114300</xdr:rowOff>
    </xdr:from>
    <xdr:to>
      <xdr:col>13</xdr:col>
      <xdr:colOff>247650</xdr:colOff>
      <xdr:row>50</xdr:row>
      <xdr:rowOff>19050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3190875"/>
          <a:ext cx="5200650" cy="462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514350</xdr:colOff>
      <xdr:row>71</xdr:row>
      <xdr:rowOff>0</xdr:rowOff>
    </xdr:from>
    <xdr:to>
      <xdr:col>15</xdr:col>
      <xdr:colOff>38100</xdr:colOff>
      <xdr:row>71</xdr:row>
      <xdr:rowOff>0</xdr:rowOff>
    </xdr:to>
    <xdr:graphicFrame>
      <xdr:nvGraphicFramePr>
        <xdr:cNvPr id="3" name="Chart 23"/>
        <xdr:cNvGraphicFramePr/>
      </xdr:nvGraphicFramePr>
      <xdr:xfrm>
        <a:off x="8982075" y="11191875"/>
        <a:ext cx="6229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447675</xdr:colOff>
      <xdr:row>71</xdr:row>
      <xdr:rowOff>0</xdr:rowOff>
    </xdr:from>
    <xdr:to>
      <xdr:col>14</xdr:col>
      <xdr:colOff>828675</xdr:colOff>
      <xdr:row>71</xdr:row>
      <xdr:rowOff>0</xdr:rowOff>
    </xdr:to>
    <xdr:graphicFrame>
      <xdr:nvGraphicFramePr>
        <xdr:cNvPr id="4" name="Chart 24"/>
        <xdr:cNvGraphicFramePr/>
      </xdr:nvGraphicFramePr>
      <xdr:xfrm>
        <a:off x="8915400" y="11191875"/>
        <a:ext cx="62484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13</xdr:row>
      <xdr:rowOff>9525</xdr:rowOff>
    </xdr:from>
    <xdr:to>
      <xdr:col>11</xdr:col>
      <xdr:colOff>533400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3486150" y="2114550"/>
        <a:ext cx="62674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7</xdr:row>
      <xdr:rowOff>114300</xdr:rowOff>
    </xdr:from>
    <xdr:to>
      <xdr:col>8</xdr:col>
      <xdr:colOff>9525</xdr:colOff>
      <xdr:row>30</xdr:row>
      <xdr:rowOff>47625</xdr:rowOff>
    </xdr:to>
    <xdr:graphicFrame>
      <xdr:nvGraphicFramePr>
        <xdr:cNvPr id="2" name="Chart 2"/>
        <xdr:cNvGraphicFramePr/>
      </xdr:nvGraphicFramePr>
      <xdr:xfrm>
        <a:off x="447675" y="1247775"/>
        <a:ext cx="626745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workbookViewId="0" topLeftCell="A41">
      <selection activeCell="D73" sqref="D73"/>
    </sheetView>
  </sheetViews>
  <sheetFormatPr defaultColWidth="11.00390625" defaultRowHeight="12"/>
  <cols>
    <col min="1" max="1" width="28.375" style="0" bestFit="1" customWidth="1"/>
    <col min="2" max="2" width="12.00390625" style="0" bestFit="1" customWidth="1"/>
    <col min="5" max="5" width="28.50390625" style="0" bestFit="1" customWidth="1"/>
    <col min="6" max="6" width="12.125" style="0" bestFit="1" customWidth="1"/>
    <col min="7" max="7" width="8.125" style="0" bestFit="1" customWidth="1"/>
  </cols>
  <sheetData>
    <row r="1" spans="1:3" ht="12.75">
      <c r="A1" s="1" t="s">
        <v>213</v>
      </c>
      <c r="B1" s="1">
        <f>4*PI()*0.0000001</f>
        <v>1.2566370614359173E-06</v>
      </c>
      <c r="C1" s="1"/>
    </row>
    <row r="2" spans="1:3" ht="12.75">
      <c r="A2" s="1" t="s">
        <v>211</v>
      </c>
      <c r="B2" s="1">
        <v>0.854</v>
      </c>
      <c r="C2" s="1" t="s">
        <v>113</v>
      </c>
    </row>
    <row r="3" spans="1:3" ht="12.75">
      <c r="A3" s="1" t="s">
        <v>212</v>
      </c>
      <c r="B3" s="1">
        <v>0.6</v>
      </c>
      <c r="C3" s="1" t="s">
        <v>114</v>
      </c>
    </row>
    <row r="4" spans="1:3" ht="12.75">
      <c r="A4" s="1" t="s">
        <v>214</v>
      </c>
      <c r="B4" s="1">
        <v>36</v>
      </c>
      <c r="C4" s="1" t="s">
        <v>115</v>
      </c>
    </row>
    <row r="5" spans="1:3" ht="12.75">
      <c r="A5" s="1" t="s">
        <v>210</v>
      </c>
      <c r="B5" s="1">
        <f>2*PI()*B2*B3/mu0/B4</f>
        <v>71166.66666666667</v>
      </c>
      <c r="C5" s="1" t="s">
        <v>116</v>
      </c>
    </row>
    <row r="6" spans="1:3" ht="12.75">
      <c r="A6" s="1" t="s">
        <v>215</v>
      </c>
      <c r="B6" s="1">
        <v>24</v>
      </c>
      <c r="C6" s="1" t="s">
        <v>115</v>
      </c>
    </row>
    <row r="7" spans="1:3" ht="12.75">
      <c r="A7" s="1" t="s">
        <v>216</v>
      </c>
      <c r="B7" s="1">
        <v>12</v>
      </c>
      <c r="C7" s="1" t="s">
        <v>115</v>
      </c>
    </row>
    <row r="8" spans="1:3" ht="12.75">
      <c r="A8" s="1" t="s">
        <v>122</v>
      </c>
      <c r="B8" s="1">
        <v>3</v>
      </c>
      <c r="C8" s="1"/>
    </row>
    <row r="9" spans="1:3" ht="12.75">
      <c r="A9" s="1" t="s">
        <v>123</v>
      </c>
      <c r="B9" s="2">
        <f>ITF/(1+1/Rat)</f>
        <v>53375.00000000001</v>
      </c>
      <c r="C9" s="1"/>
    </row>
    <row r="10" spans="1:3" ht="12.75">
      <c r="A10" s="1" t="s">
        <v>124</v>
      </c>
      <c r="B10" s="2">
        <f>ITF-B9</f>
        <v>17791.666666666664</v>
      </c>
      <c r="C10" s="1"/>
    </row>
    <row r="11" spans="1:3" ht="12.75">
      <c r="A11" s="1" t="s">
        <v>125</v>
      </c>
      <c r="B11" s="2">
        <f>B9</f>
        <v>53375.00000000001</v>
      </c>
      <c r="C11" s="1"/>
    </row>
    <row r="12" spans="1:3" ht="12.75">
      <c r="A12" s="1" t="s">
        <v>126</v>
      </c>
      <c r="B12" s="2">
        <f>B10</f>
        <v>17791.666666666664</v>
      </c>
      <c r="C12" s="1"/>
    </row>
    <row r="13" spans="1:4" ht="12.75">
      <c r="A13" s="1" t="s">
        <v>218</v>
      </c>
      <c r="B13" s="3">
        <f>B6*(B9/2+B10)+B7*(B11+B12)</f>
        <v>1921500</v>
      </c>
      <c r="C13" s="1" t="s">
        <v>117</v>
      </c>
      <c r="D13" t="s">
        <v>127</v>
      </c>
    </row>
    <row r="14" spans="1:3" ht="12.75">
      <c r="A14" s="1" t="s">
        <v>217</v>
      </c>
      <c r="B14" s="3">
        <f>B6*(B10/2)+B7*(B11+B12)</f>
        <v>1067500</v>
      </c>
      <c r="C14" s="1" t="s">
        <v>117</v>
      </c>
    </row>
    <row r="15" spans="1:4" ht="12.75">
      <c r="A15" s="1" t="s">
        <v>219</v>
      </c>
      <c r="B15" s="3">
        <f>B7*(B11/2+B12)</f>
        <v>533750</v>
      </c>
      <c r="C15" s="1" t="s">
        <v>117</v>
      </c>
      <c r="D15" t="s">
        <v>127</v>
      </c>
    </row>
    <row r="16" spans="1:3" ht="12.75">
      <c r="A16" s="1" t="s">
        <v>220</v>
      </c>
      <c r="B16" s="3">
        <f>B7*(B12/2)</f>
        <v>106749.99999999999</v>
      </c>
      <c r="C16" s="1" t="s">
        <v>117</v>
      </c>
    </row>
    <row r="17" spans="1:3" ht="12.75">
      <c r="A17" s="1" t="s">
        <v>222</v>
      </c>
      <c r="B17" s="1">
        <v>2.812</v>
      </c>
      <c r="C17" s="1" t="s">
        <v>118</v>
      </c>
    </row>
    <row r="18" spans="1:3" ht="12.75">
      <c r="A18" s="1" t="s">
        <v>223</v>
      </c>
      <c r="B18" s="1">
        <v>2.438</v>
      </c>
      <c r="C18" s="1" t="s">
        <v>118</v>
      </c>
    </row>
    <row r="19" spans="1:3" ht="12.75">
      <c r="A19" s="1" t="s">
        <v>224</v>
      </c>
      <c r="B19" s="1">
        <f>B17</f>
        <v>2.812</v>
      </c>
      <c r="C19" s="1" t="s">
        <v>118</v>
      </c>
    </row>
    <row r="20" spans="1:3" ht="12">
      <c r="A20" s="1" t="s">
        <v>225</v>
      </c>
      <c r="B20" s="1">
        <f>B18</f>
        <v>2.438</v>
      </c>
      <c r="C20" s="1" t="s">
        <v>118</v>
      </c>
    </row>
    <row r="21" spans="1:3" ht="12">
      <c r="A21" s="1" t="s">
        <v>229</v>
      </c>
      <c r="B21" s="1">
        <f>10-2.438-0.125-2.812</f>
        <v>4.625</v>
      </c>
      <c r="C21" s="1" t="s">
        <v>118</v>
      </c>
    </row>
    <row r="22" spans="1:3" ht="12">
      <c r="A22" s="1" t="s">
        <v>226</v>
      </c>
      <c r="B22" s="1">
        <f>B17/2+0.125+B18/2</f>
        <v>2.75</v>
      </c>
      <c r="C22" s="1" t="s">
        <v>118</v>
      </c>
    </row>
    <row r="23" spans="1:3" ht="12">
      <c r="A23" s="1" t="s">
        <v>227</v>
      </c>
      <c r="B23" s="1">
        <f>B17/2+0.125+B18+B21+B19/2</f>
        <v>10.000000000000002</v>
      </c>
      <c r="C23" s="1" t="s">
        <v>118</v>
      </c>
    </row>
    <row r="24" spans="1:3" ht="12">
      <c r="A24" s="1" t="s">
        <v>230</v>
      </c>
      <c r="B24" s="1">
        <f>B23+B19/2+0.125+B20/2</f>
        <v>12.750000000000002</v>
      </c>
      <c r="C24" s="1" t="s">
        <v>118</v>
      </c>
    </row>
    <row r="25" spans="1:3" ht="12">
      <c r="A25" s="1" t="s">
        <v>231</v>
      </c>
      <c r="B25" s="1">
        <f>B18/2+B21+B19/2</f>
        <v>7.25</v>
      </c>
      <c r="C25" s="1" t="s">
        <v>118</v>
      </c>
    </row>
    <row r="26" spans="1:3" ht="12">
      <c r="A26" s="1" t="s">
        <v>232</v>
      </c>
      <c r="B26" s="1">
        <f>B18/2+B21+B19+B20/2/2</f>
        <v>9.265500000000001</v>
      </c>
      <c r="C26" s="1" t="s">
        <v>118</v>
      </c>
    </row>
    <row r="27" spans="1:3" ht="12">
      <c r="A27" s="1" t="s">
        <v>228</v>
      </c>
      <c r="B27" s="1">
        <f>B19/2+0.125+B20/2</f>
        <v>2.75</v>
      </c>
      <c r="C27" s="1" t="s">
        <v>118</v>
      </c>
    </row>
    <row r="28" spans="1:3" ht="12">
      <c r="A28" s="1" t="s">
        <v>221</v>
      </c>
      <c r="B28" s="1">
        <v>1</v>
      </c>
      <c r="C28" s="1" t="s">
        <v>118</v>
      </c>
    </row>
    <row r="29" spans="1:3" ht="12">
      <c r="A29" s="1" t="s">
        <v>233</v>
      </c>
      <c r="B29" s="1">
        <f>11</f>
        <v>11</v>
      </c>
      <c r="C29" s="1" t="s">
        <v>118</v>
      </c>
    </row>
    <row r="30" spans="1:3" ht="12">
      <c r="A30" s="1" t="s">
        <v>234</v>
      </c>
      <c r="B30" s="2">
        <f>1.25*5.4*B9*B10*0.0000001/12/B22</f>
        <v>19.42425426136364</v>
      </c>
      <c r="C30" s="1" t="s">
        <v>119</v>
      </c>
    </row>
    <row r="31" spans="1:3" ht="12">
      <c r="A31" s="1" t="s">
        <v>235</v>
      </c>
      <c r="B31" s="2">
        <f>1.25*5.4*B9*B11*0.0000001/12/B23</f>
        <v>16.025009765625004</v>
      </c>
      <c r="C31" s="1" t="s">
        <v>119</v>
      </c>
    </row>
    <row r="32" spans="1:3" ht="12">
      <c r="A32" s="1" t="s">
        <v>236</v>
      </c>
      <c r="B32" s="2">
        <f>1.25*5.4*B9*B12*0.0000001/12/B24</f>
        <v>4.189545036764706</v>
      </c>
      <c r="C32" s="1" t="s">
        <v>119</v>
      </c>
    </row>
    <row r="33" spans="1:3" ht="12">
      <c r="A33" s="1" t="s">
        <v>237</v>
      </c>
      <c r="B33" s="2">
        <f>1.25*5.4*B10*B11*0.0000001/12/B25</f>
        <v>7.367820581896552</v>
      </c>
      <c r="C33" s="1" t="s">
        <v>119</v>
      </c>
    </row>
    <row r="34" spans="1:3" ht="12">
      <c r="A34" s="1" t="s">
        <v>238</v>
      </c>
      <c r="B34" s="2">
        <f>1.25*5.4*B10*B12*0.0000001/12/B26</f>
        <v>1.921705942070044</v>
      </c>
      <c r="C34" s="1" t="s">
        <v>119</v>
      </c>
    </row>
    <row r="35" spans="1:3" ht="12">
      <c r="A35" s="1" t="s">
        <v>239</v>
      </c>
      <c r="B35" s="2">
        <f>1.25*5.4*B11*B12*0.0000001/12/B27</f>
        <v>19.42425426136364</v>
      </c>
      <c r="C35" s="1" t="s">
        <v>119</v>
      </c>
    </row>
    <row r="36" spans="1:3" ht="12">
      <c r="A36" s="1" t="s">
        <v>240</v>
      </c>
      <c r="B36" s="1">
        <v>11</v>
      </c>
      <c r="C36" s="1"/>
    </row>
    <row r="37" spans="1:3" ht="12">
      <c r="A37" s="1" t="s">
        <v>102</v>
      </c>
      <c r="B37" s="1">
        <f>B29/B36</f>
        <v>1</v>
      </c>
      <c r="C37" s="1" t="s">
        <v>118</v>
      </c>
    </row>
    <row r="38" spans="1:3" ht="12">
      <c r="A38" s="5" t="s">
        <v>128</v>
      </c>
      <c r="B38" s="1">
        <v>3.848</v>
      </c>
      <c r="C38" s="5" t="s">
        <v>129</v>
      </c>
    </row>
    <row r="39" spans="1:3" ht="12">
      <c r="A39" s="1" t="s">
        <v>138</v>
      </c>
      <c r="B39" s="1">
        <v>6</v>
      </c>
      <c r="C39" s="1" t="s">
        <v>129</v>
      </c>
    </row>
    <row r="41" spans="1:3" ht="12">
      <c r="A41" s="8" t="s">
        <v>140</v>
      </c>
      <c r="B41" s="9">
        <v>1</v>
      </c>
      <c r="C41" s="9">
        <v>2</v>
      </c>
    </row>
    <row r="42" spans="1:4" ht="12">
      <c r="A42" s="1" t="s">
        <v>132</v>
      </c>
      <c r="B42" s="4">
        <f>mu0*(B6*ITF/2+B7*ITF)/2/PI()*(LN(Ril+Lflag+Lflex)-LN(Ril+Lflag))/(Lflex*2.54/100)</f>
        <v>0.7607388164441006</v>
      </c>
      <c r="C42" s="4">
        <f>mu0*ITF*B7/2/2/PI()*(LN(Ril+Lflag+Lflex)-LN(Ril+Lflag))/(Lflex*2.54/100)</f>
        <v>0.19018470411102514</v>
      </c>
      <c r="D42" t="s">
        <v>114</v>
      </c>
    </row>
    <row r="43" spans="1:4" ht="12">
      <c r="A43" s="1" t="s">
        <v>134</v>
      </c>
      <c r="B43" s="4">
        <f>(I_11+I_12)*B42*0.2248*2.54/100</f>
        <v>309.1307622085905</v>
      </c>
      <c r="C43" s="4">
        <f>(I_21+I_22)*C42*0.2248*2.54/100</f>
        <v>77.28269055214763</v>
      </c>
      <c r="D43" t="s">
        <v>119</v>
      </c>
    </row>
    <row r="44" spans="1:4" ht="12">
      <c r="A44" s="1" t="s">
        <v>135</v>
      </c>
      <c r="B44" s="4">
        <f>mu0*(B6*ITF/2+B7*ITF)/2/PI()/B42*100/2.54</f>
        <v>17.67862846870522</v>
      </c>
      <c r="C44" s="4">
        <f>mu0*ITF*B7/2/2/PI()/C42*100/2.54</f>
        <v>17.67862846870522</v>
      </c>
      <c r="D44" t="s">
        <v>129</v>
      </c>
    </row>
    <row r="45" spans="1:4" ht="12">
      <c r="A45" s="1" t="s">
        <v>133</v>
      </c>
      <c r="B45" s="4">
        <f>B44-(Ril+Lflag)</f>
        <v>2.8306284687052212</v>
      </c>
      <c r="C45" s="4">
        <f>C44-(Ril+Lflag)</f>
        <v>2.8306284687052212</v>
      </c>
      <c r="D45" t="s">
        <v>129</v>
      </c>
    </row>
    <row r="46" spans="1:4" ht="12">
      <c r="A46" s="1" t="s">
        <v>136</v>
      </c>
      <c r="B46" s="10">
        <f>B43*Lflex</f>
        <v>1854.784573251543</v>
      </c>
      <c r="C46" s="10">
        <f>C43*Lflex</f>
        <v>463.69614331288574</v>
      </c>
      <c r="D46" t="s">
        <v>120</v>
      </c>
    </row>
    <row r="47" spans="1:4" ht="12">
      <c r="A47" s="1" t="s">
        <v>209</v>
      </c>
      <c r="B47" s="10">
        <f>B45+Lflag</f>
        <v>13.830628468705221</v>
      </c>
      <c r="C47" s="10">
        <f>C45+Lflag</f>
        <v>13.830628468705221</v>
      </c>
      <c r="D47" t="s">
        <v>129</v>
      </c>
    </row>
    <row r="48" spans="1:4" ht="12">
      <c r="A48" s="5" t="s">
        <v>137</v>
      </c>
      <c r="B48" s="10">
        <f>B46*B47</f>
        <v>25652.836322128056</v>
      </c>
      <c r="C48" s="10">
        <f>C46*C47</f>
        <v>6413.209080532014</v>
      </c>
      <c r="D48" t="s">
        <v>121</v>
      </c>
    </row>
    <row r="50" spans="1:5" ht="12">
      <c r="A50" s="8" t="s">
        <v>139</v>
      </c>
      <c r="B50" s="9">
        <v>11</v>
      </c>
      <c r="C50" s="9">
        <v>12</v>
      </c>
      <c r="D50" s="9">
        <v>21</v>
      </c>
      <c r="E50" s="9">
        <v>22</v>
      </c>
    </row>
    <row r="51" spans="1:6" ht="12">
      <c r="A51" s="1" t="s">
        <v>132</v>
      </c>
      <c r="B51" s="4">
        <f>mu0*NI11/2/PI()*(LN(Ril+Lflag)-LN(Ril))/(Lflag*2.54/100)</f>
        <v>1.8572826216795981</v>
      </c>
      <c r="C51" s="4">
        <f>mu0*NI12/2/PI()*(LN(Ril+Lflag)-LN(Ril))/(Lflag*2.54/100)</f>
        <v>1.0318236787108879</v>
      </c>
      <c r="D51" s="4">
        <f>mu0*NI21/2/PI()*(LN(Ril+Lflag)-LN(Ril))/(Lflag*2.54/100)</f>
        <v>0.5159118393554439</v>
      </c>
      <c r="E51" s="4">
        <f>mu0*NI22/2/PI()*(LN(Ril+Lflag)-LN(Ril))/(Lflag*2.54/100)</f>
        <v>0.10318236787108877</v>
      </c>
      <c r="F51" t="s">
        <v>114</v>
      </c>
    </row>
    <row r="52" spans="1:6" ht="12.75">
      <c r="A52" s="1" t="s">
        <v>134</v>
      </c>
      <c r="B52" s="4">
        <f>I_11*B51*0.2248*2.54/100</f>
        <v>566.0384156157737</v>
      </c>
      <c r="C52" s="4">
        <f>I_12*C51*0.2248*2.54/100</f>
        <v>104.82192881773587</v>
      </c>
      <c r="D52" s="4">
        <f>I_21*D51*0.2248*2.54/100</f>
        <v>157.23289322660384</v>
      </c>
      <c r="E52" s="4">
        <f>I_22*E51*0.2248*2.54/100</f>
        <v>10.482192881773583</v>
      </c>
      <c r="F52" t="s">
        <v>119</v>
      </c>
    </row>
    <row r="53" spans="1:6" ht="12.75">
      <c r="A53" s="1" t="s">
        <v>135</v>
      </c>
      <c r="B53" s="4">
        <f>mu0*NI11/2/PI()/B51*100/2.54</f>
        <v>8.146267607974528</v>
      </c>
      <c r="C53" s="4">
        <f>mu0*NI12/2/PI()/C51*100/2.54</f>
        <v>8.146267607974528</v>
      </c>
      <c r="D53" s="4">
        <f>mu0*NI21/2/PI()/D51*100/2.54</f>
        <v>8.146267607974528</v>
      </c>
      <c r="E53" s="4">
        <f>mu0*NI22/2/PI()/E51*100/2.54</f>
        <v>8.14626760797453</v>
      </c>
      <c r="F53" t="s">
        <v>129</v>
      </c>
    </row>
    <row r="54" spans="1:9" ht="12.75">
      <c r="A54" s="1" t="s">
        <v>133</v>
      </c>
      <c r="B54" s="4">
        <f>B53-Ril</f>
        <v>4.298267607974528</v>
      </c>
      <c r="C54" s="4">
        <f>C53-Ril</f>
        <v>4.298267607974528</v>
      </c>
      <c r="D54" s="4">
        <f>D53-Ril</f>
        <v>4.298267607974528</v>
      </c>
      <c r="E54" s="4">
        <f>E53-Ril</f>
        <v>4.2982676079745294</v>
      </c>
      <c r="F54" t="s">
        <v>129</v>
      </c>
      <c r="I54" s="12"/>
    </row>
    <row r="55" spans="1:6" ht="12.75">
      <c r="A55" s="1" t="s">
        <v>209</v>
      </c>
      <c r="B55" s="4">
        <f>B54</f>
        <v>4.298267607974528</v>
      </c>
      <c r="C55" s="4">
        <f>C54</f>
        <v>4.298267607974528</v>
      </c>
      <c r="D55" s="4">
        <f>D54</f>
        <v>4.298267607974528</v>
      </c>
      <c r="E55" s="4">
        <f>E54</f>
        <v>4.2982676079745294</v>
      </c>
      <c r="F55" t="s">
        <v>129</v>
      </c>
    </row>
    <row r="56" spans="1:8" ht="12.75">
      <c r="A56" s="1" t="s">
        <v>136</v>
      </c>
      <c r="B56" s="10">
        <f>B52*Lflag</f>
        <v>6226.422571773511</v>
      </c>
      <c r="C56" s="10">
        <f>C52*Lflag</f>
        <v>1153.0412169950946</v>
      </c>
      <c r="D56" s="10">
        <f>D52*Lflag</f>
        <v>1729.5618254926421</v>
      </c>
      <c r="E56" s="10">
        <f>E52*Lflag</f>
        <v>115.30412169950942</v>
      </c>
      <c r="F56" t="s">
        <v>120</v>
      </c>
      <c r="H56" s="12"/>
    </row>
    <row r="57" spans="1:6" ht="12.75">
      <c r="A57" s="1" t="s">
        <v>137</v>
      </c>
      <c r="B57" s="10">
        <f>B55*B56</f>
        <v>26762.830453815535</v>
      </c>
      <c r="C57" s="10">
        <f>C55*C56</f>
        <v>4956.079713669544</v>
      </c>
      <c r="D57" s="10">
        <f>D55*D56</f>
        <v>7434.1195705043165</v>
      </c>
      <c r="E57" s="10">
        <f>E55*E56</f>
        <v>495.6079713669544</v>
      </c>
      <c r="F57" t="s">
        <v>121</v>
      </c>
    </row>
    <row r="58" spans="1:6" ht="12.75">
      <c r="A58" s="13"/>
      <c r="B58" s="10">
        <f>B56+C56</f>
        <v>7379.463788768606</v>
      </c>
      <c r="D58" s="10">
        <f>D56+E56</f>
        <v>1844.8659471921515</v>
      </c>
      <c r="E58" s="14" t="s">
        <v>120</v>
      </c>
      <c r="F58" s="14" t="s">
        <v>120</v>
      </c>
    </row>
    <row r="59" spans="1:6" ht="12.75">
      <c r="A59" s="13"/>
      <c r="B59" s="10">
        <f>B57+C57</f>
        <v>31718.91016748508</v>
      </c>
      <c r="D59" s="10">
        <f>D57+E57</f>
        <v>7929.727541871271</v>
      </c>
      <c r="E59" s="14" t="s">
        <v>121</v>
      </c>
      <c r="F59" s="14" t="s">
        <v>121</v>
      </c>
    </row>
    <row r="60" ht="12.75">
      <c r="E60" s="15"/>
    </row>
    <row r="61" ht="12.75">
      <c r="A61" s="9" t="s">
        <v>0</v>
      </c>
    </row>
    <row r="62" spans="1:18" ht="12.75">
      <c r="A62" s="1" t="s">
        <v>103</v>
      </c>
      <c r="B62" s="9">
        <v>1</v>
      </c>
      <c r="C62" s="9">
        <f>B62+1</f>
        <v>2</v>
      </c>
      <c r="D62" s="9">
        <f aca="true" t="shared" si="0" ref="D62:L62">C62+1</f>
        <v>3</v>
      </c>
      <c r="E62" s="9">
        <f t="shared" si="0"/>
        <v>4</v>
      </c>
      <c r="F62" s="9">
        <f t="shared" si="0"/>
        <v>5</v>
      </c>
      <c r="G62" s="9">
        <f t="shared" si="0"/>
        <v>6</v>
      </c>
      <c r="H62" s="9">
        <f t="shared" si="0"/>
        <v>7</v>
      </c>
      <c r="I62" s="9">
        <f t="shared" si="0"/>
        <v>8</v>
      </c>
      <c r="J62" s="9">
        <f t="shared" si="0"/>
        <v>9</v>
      </c>
      <c r="K62" s="9">
        <f t="shared" si="0"/>
        <v>10</v>
      </c>
      <c r="L62" s="9">
        <f t="shared" si="0"/>
        <v>11</v>
      </c>
      <c r="M62" s="1" t="s">
        <v>130</v>
      </c>
      <c r="N62" s="1" t="s">
        <v>141</v>
      </c>
      <c r="P62" s="1" t="s">
        <v>142</v>
      </c>
      <c r="R62" t="s">
        <v>131</v>
      </c>
    </row>
    <row r="63" spans="1:18" ht="12.75">
      <c r="A63" s="1" t="s">
        <v>104</v>
      </c>
      <c r="B63" s="2">
        <f>Ril+DR/2</f>
        <v>4.348</v>
      </c>
      <c r="C63" s="2">
        <f>B63+DR</f>
        <v>5.348</v>
      </c>
      <c r="D63" s="2">
        <f aca="true" t="shared" si="1" ref="D63:L63">C63+DR</f>
        <v>6.348</v>
      </c>
      <c r="E63" s="2">
        <f t="shared" si="1"/>
        <v>7.348</v>
      </c>
      <c r="F63" s="2">
        <f t="shared" si="1"/>
        <v>8.347999999999999</v>
      </c>
      <c r="G63" s="2">
        <f t="shared" si="1"/>
        <v>9.347999999999999</v>
      </c>
      <c r="H63" s="2">
        <f t="shared" si="1"/>
        <v>10.347999999999999</v>
      </c>
      <c r="I63" s="2">
        <f t="shared" si="1"/>
        <v>11.347999999999999</v>
      </c>
      <c r="J63" s="2">
        <f t="shared" si="1"/>
        <v>12.347999999999999</v>
      </c>
      <c r="K63" s="2">
        <f t="shared" si="1"/>
        <v>13.347999999999999</v>
      </c>
      <c r="L63" s="2">
        <f t="shared" si="1"/>
        <v>14.347999999999999</v>
      </c>
      <c r="M63" s="2"/>
      <c r="N63" s="2">
        <f>L63</f>
        <v>14.347999999999999</v>
      </c>
      <c r="O63" s="6" t="s">
        <v>118</v>
      </c>
      <c r="P63" s="1"/>
      <c r="R63" s="1"/>
    </row>
    <row r="64" spans="1:19" ht="12.75">
      <c r="A64" s="1" t="s">
        <v>105</v>
      </c>
      <c r="B64" s="2">
        <f aca="true" t="shared" si="2" ref="B64:L64">I_11*DR*2.54/100*mu0*NI11/2/PI()/(B63*2.54/100)*0.2248+(F_1112+F_1121+F_1122)*DR</f>
        <v>1100.149482936799</v>
      </c>
      <c r="C64" s="2">
        <f t="shared" si="2"/>
        <v>901.8490577548532</v>
      </c>
      <c r="D64" s="2">
        <f t="shared" si="2"/>
        <v>766.0251370410695</v>
      </c>
      <c r="E64" s="2">
        <f t="shared" si="2"/>
        <v>667.1701658955445</v>
      </c>
      <c r="F64" s="2">
        <f t="shared" si="2"/>
        <v>591.9987048471748</v>
      </c>
      <c r="G64" s="2">
        <f t="shared" si="2"/>
        <v>532.9101408994404</v>
      </c>
      <c r="H64" s="2">
        <f t="shared" si="2"/>
        <v>485.24186376031327</v>
      </c>
      <c r="I64" s="2">
        <f t="shared" si="2"/>
        <v>445.9747634169435</v>
      </c>
      <c r="J64" s="2">
        <f t="shared" si="2"/>
        <v>413.0677376351821</v>
      </c>
      <c r="K64" s="2">
        <f t="shared" si="2"/>
        <v>385.09134202749334</v>
      </c>
      <c r="L64" s="2">
        <f t="shared" si="2"/>
        <v>361.014639144601</v>
      </c>
      <c r="M64" s="2">
        <f aca="true" t="shared" si="3" ref="M64:M71">SUM(B64:L64)</f>
        <v>6650.493035359415</v>
      </c>
      <c r="N64" s="2">
        <f>B46</f>
        <v>1854.784573251543</v>
      </c>
      <c r="O64" s="6" t="s">
        <v>120</v>
      </c>
      <c r="P64" s="11">
        <f>M64+M65+N64</f>
        <v>9544.622665658504</v>
      </c>
      <c r="Q64" s="7" t="s">
        <v>120</v>
      </c>
      <c r="R64" s="1">
        <f>B6*P64</f>
        <v>229070.94397580408</v>
      </c>
      <c r="S64" s="1" t="s">
        <v>120</v>
      </c>
    </row>
    <row r="65" spans="1:19" ht="12.75">
      <c r="A65" s="1" t="s">
        <v>106</v>
      </c>
      <c r="B65" s="2">
        <f aca="true" t="shared" si="4" ref="B65:L65">I_12*DR*2.54/100*mu0*NI12/2/PI()/(B63*2.54/100)*0.2248+(F_1221+F_1222-F_1112)*DR</f>
        <v>186.2561377946483</v>
      </c>
      <c r="C65" s="2">
        <f t="shared" si="4"/>
        <v>149.53383683502878</v>
      </c>
      <c r="D65" s="2">
        <f t="shared" si="4"/>
        <v>124.38125892506883</v>
      </c>
      <c r="E65" s="2">
        <f t="shared" si="4"/>
        <v>106.0747827870087</v>
      </c>
      <c r="F65" s="2">
        <f t="shared" si="4"/>
        <v>92.1541418521254</v>
      </c>
      <c r="G65" s="2">
        <f t="shared" si="4"/>
        <v>81.21181519513755</v>
      </c>
      <c r="H65" s="2">
        <f t="shared" si="4"/>
        <v>72.38435646566957</v>
      </c>
      <c r="I65" s="2">
        <f t="shared" si="4"/>
        <v>65.11267121689741</v>
      </c>
      <c r="J65" s="2">
        <f t="shared" si="4"/>
        <v>59.01877755360826</v>
      </c>
      <c r="K65" s="2">
        <f t="shared" si="4"/>
        <v>53.83796355218441</v>
      </c>
      <c r="L65" s="2">
        <f t="shared" si="4"/>
        <v>49.37931487016732</v>
      </c>
      <c r="M65" s="2">
        <f t="shared" si="3"/>
        <v>1039.3450570475447</v>
      </c>
      <c r="N65" s="2" t="s">
        <v>127</v>
      </c>
      <c r="O65" s="6" t="s">
        <v>120</v>
      </c>
      <c r="P65" s="1"/>
      <c r="R65" s="1">
        <f>B6*P65</f>
        <v>0</v>
      </c>
      <c r="S65" s="1" t="s">
        <v>120</v>
      </c>
    </row>
    <row r="66" spans="1:19" ht="12.75">
      <c r="A66" s="1" t="s">
        <v>107</v>
      </c>
      <c r="B66" s="2">
        <f aca="true" t="shared" si="5" ref="B66:L66">I_21*DR*2.54/100*mu0*NI21/2/PI()/(B63*2.54/100)*0.2248+(F_2122-F_1121-F_1221)*DR</f>
        <v>290.61772221191023</v>
      </c>
      <c r="C66" s="2">
        <f t="shared" si="5"/>
        <v>235.53427077248088</v>
      </c>
      <c r="D66" s="2">
        <f t="shared" si="5"/>
        <v>197.80540390754098</v>
      </c>
      <c r="E66" s="2">
        <f t="shared" si="5"/>
        <v>170.34568970045072</v>
      </c>
      <c r="F66" s="2">
        <f t="shared" si="5"/>
        <v>149.4647282981258</v>
      </c>
      <c r="G66" s="2">
        <f t="shared" si="5"/>
        <v>133.05123831264402</v>
      </c>
      <c r="H66" s="2">
        <f t="shared" si="5"/>
        <v>119.81005021844206</v>
      </c>
      <c r="I66" s="2">
        <f t="shared" si="5"/>
        <v>108.90252234528378</v>
      </c>
      <c r="J66" s="2">
        <f t="shared" si="5"/>
        <v>99.76168185035004</v>
      </c>
      <c r="K66" s="2">
        <f t="shared" si="5"/>
        <v>91.9904608482143</v>
      </c>
      <c r="L66" s="2">
        <f t="shared" si="5"/>
        <v>85.30248782518865</v>
      </c>
      <c r="M66" s="2">
        <f t="shared" si="3"/>
        <v>1682.5862562906314</v>
      </c>
      <c r="N66" s="2">
        <f>C46</f>
        <v>463.69614331288574</v>
      </c>
      <c r="O66" s="6" t="s">
        <v>120</v>
      </c>
      <c r="P66" s="11">
        <f>M66+M67+N66</f>
        <v>1980.474548177226</v>
      </c>
      <c r="Q66" s="7" t="s">
        <v>120</v>
      </c>
      <c r="R66" s="1">
        <f>B7*P66</f>
        <v>23765.694578126713</v>
      </c>
      <c r="S66" s="1" t="s">
        <v>120</v>
      </c>
    </row>
    <row r="67" spans="1:19" ht="12.75">
      <c r="A67" s="1" t="s">
        <v>108</v>
      </c>
      <c r="B67" s="2">
        <f aca="true" t="shared" si="6" ref="B67:L67">I_22*DR*2.54/100*mu0*NI22/2/PI()/(B63*2.54/100)*0.2248-(F_2122+F_1222+F_1122)*DR</f>
        <v>-5.896418686993854</v>
      </c>
      <c r="C67" s="2">
        <f t="shared" si="6"/>
        <v>-9.56864878295581</v>
      </c>
      <c r="D67" s="2">
        <f t="shared" si="6"/>
        <v>-12.083906573951804</v>
      </c>
      <c r="E67" s="2">
        <f t="shared" si="6"/>
        <v>-13.91455418775782</v>
      </c>
      <c r="F67" s="2">
        <f t="shared" si="6"/>
        <v>-15.306618281246147</v>
      </c>
      <c r="G67" s="2">
        <f t="shared" si="6"/>
        <v>-16.400850946944935</v>
      </c>
      <c r="H67" s="2">
        <f t="shared" si="6"/>
        <v>-17.28359681989173</v>
      </c>
      <c r="I67" s="2">
        <f t="shared" si="6"/>
        <v>-18.010765344768945</v>
      </c>
      <c r="J67" s="2">
        <f t="shared" si="6"/>
        <v>-18.62015471109786</v>
      </c>
      <c r="K67" s="2">
        <f t="shared" si="6"/>
        <v>-19.138236111240246</v>
      </c>
      <c r="L67" s="2">
        <f t="shared" si="6"/>
        <v>-19.584100979441956</v>
      </c>
      <c r="M67" s="2">
        <f t="shared" si="3"/>
        <v>-165.8078514262911</v>
      </c>
      <c r="N67" s="2" t="s">
        <v>127</v>
      </c>
      <c r="O67" s="6" t="s">
        <v>120</v>
      </c>
      <c r="P67" s="1"/>
      <c r="R67" s="1">
        <f>B7*P67</f>
        <v>0</v>
      </c>
      <c r="S67" s="1" t="s">
        <v>120</v>
      </c>
    </row>
    <row r="68" spans="1:19" ht="12.75">
      <c r="A68" s="1" t="s">
        <v>109</v>
      </c>
      <c r="B68" s="2">
        <f>B64*(B63-Ril)</f>
        <v>550.0747414683995</v>
      </c>
      <c r="C68" s="2">
        <f aca="true" t="shared" si="7" ref="C68:L68">C64*(C63-Ril)</f>
        <v>1352.7735866322798</v>
      </c>
      <c r="D68" s="2">
        <f t="shared" si="7"/>
        <v>1915.0628426026738</v>
      </c>
      <c r="E68" s="2">
        <f t="shared" si="7"/>
        <v>2335.095580634406</v>
      </c>
      <c r="F68" s="2">
        <f t="shared" si="7"/>
        <v>2663.9941718122864</v>
      </c>
      <c r="G68" s="2">
        <f t="shared" si="7"/>
        <v>2931.005774946922</v>
      </c>
      <c r="H68" s="2">
        <f t="shared" si="7"/>
        <v>3154.072114442036</v>
      </c>
      <c r="I68" s="2">
        <f t="shared" si="7"/>
        <v>3344.810725627076</v>
      </c>
      <c r="J68" s="2">
        <f t="shared" si="7"/>
        <v>3511.075769899048</v>
      </c>
      <c r="K68" s="2">
        <f t="shared" si="7"/>
        <v>3658.367749261187</v>
      </c>
      <c r="L68" s="2">
        <f t="shared" si="7"/>
        <v>3790.653711018311</v>
      </c>
      <c r="M68" s="2">
        <f t="shared" si="3"/>
        <v>29206.98676834462</v>
      </c>
      <c r="N68" s="2">
        <f>N64*(N63-Ril)</f>
        <v>19475.2380191412</v>
      </c>
      <c r="O68" s="6" t="s">
        <v>121</v>
      </c>
      <c r="P68" s="11">
        <f>M68+M69+N68</f>
        <v>53033.67354085248</v>
      </c>
      <c r="Q68" s="7" t="s">
        <v>121</v>
      </c>
      <c r="R68" s="11">
        <f>SUM(R64:R67)</f>
        <v>252836.6385539308</v>
      </c>
      <c r="S68" s="1" t="s">
        <v>120</v>
      </c>
    </row>
    <row r="69" spans="1:16" ht="12.75">
      <c r="A69" s="1" t="s">
        <v>110</v>
      </c>
      <c r="B69" s="2">
        <f>B65*(B63-Ril)</f>
        <v>93.12806889732416</v>
      </c>
      <c r="C69" s="2">
        <f aca="true" t="shared" si="8" ref="C69:L69">C65*(C63-Ril)</f>
        <v>224.30075525254318</v>
      </c>
      <c r="D69" s="2">
        <f t="shared" si="8"/>
        <v>310.95314731267206</v>
      </c>
      <c r="E69" s="2">
        <f t="shared" si="8"/>
        <v>371.2617397545305</v>
      </c>
      <c r="F69" s="2">
        <f t="shared" si="8"/>
        <v>414.69363833456424</v>
      </c>
      <c r="G69" s="2">
        <f t="shared" si="8"/>
        <v>446.66498357325645</v>
      </c>
      <c r="H69" s="2">
        <f t="shared" si="8"/>
        <v>470.49831702685213</v>
      </c>
      <c r="I69" s="2">
        <f t="shared" si="8"/>
        <v>488.3450341267305</v>
      </c>
      <c r="J69" s="2">
        <f t="shared" si="8"/>
        <v>501.6596092056702</v>
      </c>
      <c r="K69" s="2">
        <f t="shared" si="8"/>
        <v>511.4606537457519</v>
      </c>
      <c r="L69" s="2">
        <f t="shared" si="8"/>
        <v>518.4828061367568</v>
      </c>
      <c r="M69" s="2">
        <f t="shared" si="3"/>
        <v>4351.448753366652</v>
      </c>
      <c r="N69" s="2"/>
      <c r="O69" s="6" t="s">
        <v>121</v>
      </c>
      <c r="P69" s="1"/>
    </row>
    <row r="70" spans="1:17" ht="12.75">
      <c r="A70" s="1" t="s">
        <v>111</v>
      </c>
      <c r="B70" s="2">
        <f>B66*(B63-Ril)</f>
        <v>145.30886110595512</v>
      </c>
      <c r="C70" s="2">
        <f aca="true" t="shared" si="9" ref="C70:L70">C66*(C63-Ril)</f>
        <v>353.3014061587213</v>
      </c>
      <c r="D70" s="2">
        <f t="shared" si="9"/>
        <v>494.51350976885243</v>
      </c>
      <c r="E70" s="2">
        <f t="shared" si="9"/>
        <v>596.2099139515775</v>
      </c>
      <c r="F70" s="2">
        <f t="shared" si="9"/>
        <v>672.591277341566</v>
      </c>
      <c r="G70" s="2">
        <f t="shared" si="9"/>
        <v>731.781810719542</v>
      </c>
      <c r="H70" s="2">
        <f t="shared" si="9"/>
        <v>778.7653264198733</v>
      </c>
      <c r="I70" s="2">
        <f t="shared" si="9"/>
        <v>816.7689175896282</v>
      </c>
      <c r="J70" s="2">
        <f t="shared" si="9"/>
        <v>847.9742957279753</v>
      </c>
      <c r="K70" s="2">
        <f t="shared" si="9"/>
        <v>873.9093780580358</v>
      </c>
      <c r="L70" s="2">
        <f t="shared" si="9"/>
        <v>895.6761221644808</v>
      </c>
      <c r="M70" s="2">
        <f t="shared" si="3"/>
        <v>7206.800819006208</v>
      </c>
      <c r="N70" s="2">
        <f>N66*(N63-Ril)</f>
        <v>4868.8095047853</v>
      </c>
      <c r="O70" s="6" t="s">
        <v>121</v>
      </c>
      <c r="P70" s="11">
        <f>M70+M71+N70</f>
        <v>11027.172234907423</v>
      </c>
      <c r="Q70" s="7" t="s">
        <v>121</v>
      </c>
    </row>
    <row r="71" spans="1:16" ht="12.75">
      <c r="A71" s="1" t="s">
        <v>112</v>
      </c>
      <c r="B71" s="2">
        <f>B67*(B63-Ril)</f>
        <v>-2.948209343496927</v>
      </c>
      <c r="C71" s="2">
        <f aca="true" t="shared" si="10" ref="C71:L71">C67*(C63-Ril)</f>
        <v>-14.352973174433714</v>
      </c>
      <c r="D71" s="2">
        <f t="shared" si="10"/>
        <v>-30.209766434879512</v>
      </c>
      <c r="E71" s="2">
        <f t="shared" si="10"/>
        <v>-48.700939657152375</v>
      </c>
      <c r="F71" s="2">
        <f t="shared" si="10"/>
        <v>-68.87978226560764</v>
      </c>
      <c r="G71" s="2">
        <f t="shared" si="10"/>
        <v>-90.20468020819713</v>
      </c>
      <c r="H71" s="2">
        <f t="shared" si="10"/>
        <v>-112.34337932929624</v>
      </c>
      <c r="I71" s="2">
        <f t="shared" si="10"/>
        <v>-135.08074008576708</v>
      </c>
      <c r="J71" s="2">
        <f t="shared" si="10"/>
        <v>-158.27131504433183</v>
      </c>
      <c r="K71" s="2">
        <f t="shared" si="10"/>
        <v>-181.81324305678234</v>
      </c>
      <c r="L71" s="2">
        <f t="shared" si="10"/>
        <v>-205.63306028414053</v>
      </c>
      <c r="M71" s="2">
        <f t="shared" si="3"/>
        <v>-1048.4380888840853</v>
      </c>
      <c r="N71" s="2"/>
      <c r="O71" s="6" t="s">
        <v>121</v>
      </c>
      <c r="P71" s="1"/>
    </row>
    <row r="72" spans="2:4" ht="12.75">
      <c r="B72">
        <v>1</v>
      </c>
      <c r="D72">
        <v>2</v>
      </c>
    </row>
    <row r="73" spans="1:4" ht="12.75">
      <c r="A73" t="s">
        <v>43</v>
      </c>
      <c r="B73" s="27">
        <f>B46+B58</f>
        <v>9234.24836202015</v>
      </c>
      <c r="D73" s="27">
        <f>C46+D58</f>
        <v>2308.5620905050373</v>
      </c>
    </row>
  </sheetData>
  <printOptions/>
  <pageMargins left="0.75" right="0.75" top="1" bottom="1" header="0.5" footer="0.5"/>
  <pageSetup fitToHeight="1" fitToWidth="1" orientation="landscape" paperSize="9" scale="7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8"/>
  <sheetViews>
    <sheetView tabSelected="1" workbookViewId="0" topLeftCell="A1">
      <selection activeCell="N33" sqref="N33"/>
    </sheetView>
  </sheetViews>
  <sheetFormatPr defaultColWidth="11.00390625" defaultRowHeight="12"/>
  <cols>
    <col min="8" max="8" width="11.00390625" style="0" customWidth="1"/>
    <col min="15" max="15" width="10.375" style="0" customWidth="1"/>
  </cols>
  <sheetData>
    <row r="1" spans="1:29" ht="12.75">
      <c r="A1" t="s">
        <v>104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21</v>
      </c>
      <c r="M1" t="s">
        <v>166</v>
      </c>
      <c r="N1" t="s">
        <v>167</v>
      </c>
      <c r="O1" t="s">
        <v>168</v>
      </c>
      <c r="P1" t="s">
        <v>169</v>
      </c>
      <c r="Q1" t="s">
        <v>170</v>
      </c>
      <c r="R1" t="s">
        <v>171</v>
      </c>
      <c r="S1" t="s">
        <v>176</v>
      </c>
      <c r="T1" t="s">
        <v>177</v>
      </c>
      <c r="U1" t="s">
        <v>178</v>
      </c>
      <c r="V1" t="s">
        <v>179</v>
      </c>
      <c r="W1" t="s">
        <v>180</v>
      </c>
      <c r="X1" t="s">
        <v>181</v>
      </c>
      <c r="Y1" t="s">
        <v>182</v>
      </c>
      <c r="Z1" t="s">
        <v>183</v>
      </c>
      <c r="AA1" t="s">
        <v>184</v>
      </c>
      <c r="AB1" t="s">
        <v>185</v>
      </c>
      <c r="AC1" t="s">
        <v>186</v>
      </c>
    </row>
    <row r="2" spans="1:29" ht="12.75">
      <c r="A2">
        <v>3.848</v>
      </c>
      <c r="B2" s="16">
        <v>1.0712921E-05</v>
      </c>
      <c r="C2" s="16">
        <v>1.1998372E-06</v>
      </c>
      <c r="D2" s="16">
        <v>5.5659793E-06</v>
      </c>
      <c r="E2" s="16">
        <v>1.3150111E-05</v>
      </c>
      <c r="F2" s="16">
        <v>8.566974E-06</v>
      </c>
      <c r="G2" s="16">
        <v>3.1181414E-06</v>
      </c>
      <c r="H2" s="16">
        <f>SUM(B2:G2)</f>
        <v>4.23139639E-05</v>
      </c>
      <c r="I2" s="16">
        <v>5.924486E-06</v>
      </c>
      <c r="J2" s="16">
        <v>8.1485063E-07</v>
      </c>
      <c r="K2" s="16">
        <v>3.4555416E-06</v>
      </c>
      <c r="L2" s="16">
        <v>1.04772634E-05</v>
      </c>
      <c r="M2" s="16">
        <v>7.664029E-06</v>
      </c>
      <c r="N2" s="16">
        <v>2.8347417E-06</v>
      </c>
      <c r="O2" s="16">
        <f>SUM(I2:N2)</f>
        <v>3.117091233E-05</v>
      </c>
      <c r="P2" s="16">
        <v>3.7338904E-06</v>
      </c>
      <c r="Q2" s="16">
        <v>5.8321006E-07</v>
      </c>
      <c r="R2" s="16">
        <v>2.28754E-06</v>
      </c>
      <c r="S2" s="16">
        <v>8.313547E-06</v>
      </c>
      <c r="T2" s="16">
        <v>6.8300473E-06</v>
      </c>
      <c r="U2" s="16">
        <v>2.5824085E-06</v>
      </c>
      <c r="V2" s="16">
        <f>SUM(P2:U2)</f>
        <v>2.433064326E-05</v>
      </c>
      <c r="W2" s="16">
        <v>2.5242425E-06</v>
      </c>
      <c r="X2" s="16">
        <v>4.2883644E-07</v>
      </c>
      <c r="Y2" s="16">
        <v>1.56851E-06</v>
      </c>
      <c r="Z2" s="16">
        <v>6.5494464E-06</v>
      </c>
      <c r="AA2" s="16">
        <v>6.0415654E-06</v>
      </c>
      <c r="AB2" s="16">
        <v>2.3474503E-06</v>
      </c>
      <c r="AC2" s="16">
        <f>SUM(W2:AB2)</f>
        <v>1.946005104E-05</v>
      </c>
    </row>
    <row r="3" spans="1:29" ht="12.75">
      <c r="A3">
        <v>4.8479995</v>
      </c>
      <c r="B3" s="16">
        <v>1.0047991E-05</v>
      </c>
      <c r="C3" s="16">
        <v>1.1752315E-06</v>
      </c>
      <c r="D3" s="16">
        <v>5.405993E-06</v>
      </c>
      <c r="E3" s="16">
        <v>1.3121546E-05</v>
      </c>
      <c r="F3" s="16">
        <v>8.565222E-06</v>
      </c>
      <c r="G3" s="16">
        <v>3.115869E-06</v>
      </c>
      <c r="H3" s="16">
        <f aca="true" t="shared" si="0" ref="H3:H31">SUM(B3:G3)</f>
        <v>4.14318525E-05</v>
      </c>
      <c r="I3" s="16">
        <v>5.7063925E-06</v>
      </c>
      <c r="J3" s="16">
        <v>8.0206564E-07</v>
      </c>
      <c r="K3" s="16">
        <v>3.3766475E-06</v>
      </c>
      <c r="L3" s="16">
        <v>1.0436737E-05</v>
      </c>
      <c r="M3" s="16">
        <v>7.659712E-06</v>
      </c>
      <c r="N3" s="16">
        <v>2.8325582E-06</v>
      </c>
      <c r="O3" s="16">
        <f aca="true" t="shared" si="1" ref="O3:O31">SUM(I3:N3)</f>
        <v>3.0814112840000005E-05</v>
      </c>
      <c r="P3" s="16">
        <v>3.6436342E-06</v>
      </c>
      <c r="Q3" s="16">
        <v>5.759535E-07</v>
      </c>
      <c r="R3" s="16">
        <v>2.2457543E-06</v>
      </c>
      <c r="S3" s="16">
        <v>8.273514E-06</v>
      </c>
      <c r="T3" s="16">
        <v>6.824217E-06</v>
      </c>
      <c r="U3" s="16">
        <v>2.5803133E-06</v>
      </c>
      <c r="V3" s="16">
        <f aca="true" t="shared" si="2" ref="V3:V31">SUM(P3:U3)</f>
        <v>2.41433863E-05</v>
      </c>
      <c r="W3" s="16">
        <v>2.4818048E-06</v>
      </c>
      <c r="X3" s="16">
        <v>4.2451583E-07</v>
      </c>
      <c r="Y3" s="16">
        <v>1.5454563E-06</v>
      </c>
      <c r="Z3" s="16">
        <v>6.5151493E-06</v>
      </c>
      <c r="AA3" s="16">
        <v>6.0349707E-06</v>
      </c>
      <c r="AB3" s="16">
        <v>2.345507E-06</v>
      </c>
      <c r="AC3" s="16">
        <f aca="true" t="shared" si="3" ref="AC3:AC31">SUM(W3:AB3)</f>
        <v>1.934740393E-05</v>
      </c>
    </row>
    <row r="4" spans="1:29" ht="12.75">
      <c r="A4">
        <v>5.848</v>
      </c>
      <c r="B4" s="16">
        <v>9.307929E-06</v>
      </c>
      <c r="C4" s="16">
        <v>1.1458415E-06</v>
      </c>
      <c r="D4" s="16">
        <v>5.2146642E-06</v>
      </c>
      <c r="E4" s="16">
        <v>1.308512E-05</v>
      </c>
      <c r="F4" s="16">
        <v>8.563015E-06</v>
      </c>
      <c r="G4" s="16">
        <v>3.113103E-06</v>
      </c>
      <c r="H4" s="16">
        <f t="shared" si="0"/>
        <v>4.04296727E-05</v>
      </c>
      <c r="I4" s="16">
        <v>5.454458E-06</v>
      </c>
      <c r="J4" s="16">
        <v>7.8669165E-07</v>
      </c>
      <c r="K4" s="16">
        <v>3.2820757E-06</v>
      </c>
      <c r="L4" s="16">
        <v>1.0386159E-05</v>
      </c>
      <c r="M4" s="16">
        <v>7.6543465E-06</v>
      </c>
      <c r="N4" s="16">
        <v>2.8298743E-06</v>
      </c>
      <c r="O4" s="16">
        <f t="shared" si="1"/>
        <v>3.039360515E-05</v>
      </c>
      <c r="P4" s="16">
        <v>3.5373157E-06</v>
      </c>
      <c r="Q4" s="16">
        <v>5.671788E-07</v>
      </c>
      <c r="R4" s="16">
        <v>2.1954963E-06</v>
      </c>
      <c r="S4" s="16">
        <v>8.223988E-06</v>
      </c>
      <c r="T4" s="16">
        <v>6.8169997E-06</v>
      </c>
      <c r="U4" s="16">
        <v>2.5777437E-06</v>
      </c>
      <c r="V4" s="16">
        <f t="shared" si="2"/>
        <v>2.3918722200000002E-05</v>
      </c>
      <c r="W4" s="16">
        <v>2.4311091E-06</v>
      </c>
      <c r="X4" s="16">
        <v>4.1926105E-07</v>
      </c>
      <c r="Y4" s="16">
        <v>1.5176215E-06</v>
      </c>
      <c r="Z4" s="16">
        <v>6.4729547E-06</v>
      </c>
      <c r="AA4" s="16">
        <v>6.0268712E-06</v>
      </c>
      <c r="AB4" s="16">
        <v>2.3431143E-06</v>
      </c>
      <c r="AC4" s="16">
        <f t="shared" si="3"/>
        <v>1.9210931850000003E-05</v>
      </c>
    </row>
    <row r="5" spans="1:29" ht="12.75">
      <c r="A5">
        <v>6.8479995</v>
      </c>
      <c r="B5" s="16">
        <v>8.527757E-06</v>
      </c>
      <c r="C5" s="16">
        <v>1.1121575E-06</v>
      </c>
      <c r="D5" s="16">
        <v>4.995287E-06</v>
      </c>
      <c r="E5" s="16">
        <v>1.3040035E-05</v>
      </c>
      <c r="F5" s="16">
        <v>8.560298E-06</v>
      </c>
      <c r="G5" s="16">
        <v>3.1097927E-06</v>
      </c>
      <c r="H5" s="16">
        <f t="shared" si="0"/>
        <v>3.93453272E-05</v>
      </c>
      <c r="I5" s="16">
        <v>5.1768006E-06</v>
      </c>
      <c r="J5" s="16">
        <v>7.689155E-07</v>
      </c>
      <c r="K5" s="16">
        <v>3.1732715E-06</v>
      </c>
      <c r="L5" s="16">
        <v>1.0325089E-05</v>
      </c>
      <c r="M5" s="16">
        <v>7.647909E-06</v>
      </c>
      <c r="N5" s="16">
        <v>2.826659E-06</v>
      </c>
      <c r="O5" s="16">
        <f t="shared" si="1"/>
        <v>2.99186446E-05</v>
      </c>
      <c r="P5" s="16">
        <v>3.4172192E-06</v>
      </c>
      <c r="Q5" s="16">
        <v>5.5696284E-07</v>
      </c>
      <c r="R5" s="16">
        <v>2.1374091E-06</v>
      </c>
      <c r="S5" s="16">
        <v>8.1647694E-06</v>
      </c>
      <c r="T5" s="16">
        <v>6.808388E-06</v>
      </c>
      <c r="U5" s="16">
        <v>2.5747053E-06</v>
      </c>
      <c r="V5" s="16">
        <f t="shared" si="2"/>
        <v>2.365945384E-05</v>
      </c>
      <c r="W5" s="16">
        <v>2.373031E-06</v>
      </c>
      <c r="X5" s="16">
        <v>4.1316215E-07</v>
      </c>
      <c r="Y5" s="16">
        <v>1.485312E-06</v>
      </c>
      <c r="Z5" s="16">
        <v>6.4227592E-06</v>
      </c>
      <c r="AA5" s="16">
        <v>6.0171964E-06</v>
      </c>
      <c r="AB5" s="16">
        <v>2.3402724E-06</v>
      </c>
      <c r="AC5" s="16">
        <f t="shared" si="3"/>
        <v>1.9051733149999997E-05</v>
      </c>
    </row>
    <row r="6" spans="1:29" ht="12.75">
      <c r="A6">
        <v>7.848</v>
      </c>
      <c r="B6" s="16">
        <v>7.739218E-06</v>
      </c>
      <c r="C6" s="16">
        <v>1.0747318E-06</v>
      </c>
      <c r="D6" s="16">
        <v>4.751668E-06</v>
      </c>
      <c r="E6" s="16">
        <v>1.2985272E-05</v>
      </c>
      <c r="F6" s="16">
        <v>8.556988E-06</v>
      </c>
      <c r="G6" s="16">
        <v>3.1060012E-06</v>
      </c>
      <c r="H6" s="16">
        <f t="shared" si="0"/>
        <v>3.8213879E-05</v>
      </c>
      <c r="I6" s="16">
        <v>4.8815873E-06</v>
      </c>
      <c r="J6" s="16">
        <v>7.489806E-07</v>
      </c>
      <c r="K6" s="16">
        <v>3.0519181E-06</v>
      </c>
      <c r="L6" s="16">
        <v>1.0252964E-05</v>
      </c>
      <c r="M6" s="16">
        <v>7.640298E-06</v>
      </c>
      <c r="N6" s="16">
        <v>2.8229751E-06</v>
      </c>
      <c r="O6" s="16">
        <f t="shared" si="1"/>
        <v>2.9398723099999998E-05</v>
      </c>
      <c r="P6" s="16">
        <v>3.2859654E-06</v>
      </c>
      <c r="Q6" s="16">
        <v>5.454563E-07</v>
      </c>
      <c r="R6" s="16">
        <v>2.072239E-06</v>
      </c>
      <c r="S6" s="16">
        <v>8.095646E-06</v>
      </c>
      <c r="T6" s="16">
        <v>6.7982873E-06</v>
      </c>
      <c r="U6" s="16">
        <v>2.5711924E-06</v>
      </c>
      <c r="V6" s="16">
        <f t="shared" si="2"/>
        <v>2.33687864E-05</v>
      </c>
      <c r="W6" s="16">
        <v>2.3084855E-06</v>
      </c>
      <c r="X6" s="16">
        <v>4.0621694E-07</v>
      </c>
      <c r="Y6" s="16">
        <v>1.4489011E-06</v>
      </c>
      <c r="Z6" s="16">
        <v>6.3645484E-06</v>
      </c>
      <c r="AA6" s="16">
        <v>6.005929E-06</v>
      </c>
      <c r="AB6" s="16">
        <v>2.3369746E-06</v>
      </c>
      <c r="AC6" s="16">
        <f t="shared" si="3"/>
        <v>1.887105554E-05</v>
      </c>
    </row>
    <row r="7" spans="1:29" ht="12.75">
      <c r="A7">
        <v>8.848</v>
      </c>
      <c r="B7" s="16">
        <v>6.968601E-06</v>
      </c>
      <c r="C7" s="16">
        <v>1.0341237E-06</v>
      </c>
      <c r="D7" s="16">
        <v>4.488007E-06</v>
      </c>
      <c r="E7" s="16">
        <v>1.2919676E-05</v>
      </c>
      <c r="F7" s="16">
        <v>8.553072E-06</v>
      </c>
      <c r="G7" s="16">
        <v>3.1016397E-06</v>
      </c>
      <c r="H7" s="16">
        <f t="shared" si="0"/>
        <v>3.7065119400000004E-05</v>
      </c>
      <c r="I7" s="16">
        <v>4.5765864E-06</v>
      </c>
      <c r="J7" s="16">
        <v>7.271181E-07</v>
      </c>
      <c r="K7" s="16">
        <v>2.919711E-06</v>
      </c>
      <c r="L7" s="16">
        <v>1.01692285E-05</v>
      </c>
      <c r="M7" s="16">
        <v>7.631521E-06</v>
      </c>
      <c r="N7" s="16">
        <v>2.8187594E-06</v>
      </c>
      <c r="O7" s="16">
        <f t="shared" si="1"/>
        <v>2.88429244E-05</v>
      </c>
      <c r="P7" s="16">
        <v>3.1462598E-06</v>
      </c>
      <c r="Q7" s="16">
        <v>5.3273333E-07</v>
      </c>
      <c r="R7" s="16">
        <v>2.0008192E-06</v>
      </c>
      <c r="S7" s="16">
        <v>8.0164554E-06</v>
      </c>
      <c r="T7" s="16">
        <v>6.786706E-06</v>
      </c>
      <c r="U7" s="16">
        <v>2.5671793E-06</v>
      </c>
      <c r="V7" s="16">
        <f t="shared" si="2"/>
        <v>2.305015303E-05</v>
      </c>
      <c r="W7" s="16">
        <v>2.238491E-06</v>
      </c>
      <c r="X7" s="16">
        <v>3.9851877E-07</v>
      </c>
      <c r="Y7" s="16">
        <v>1.4087193E-06</v>
      </c>
      <c r="Z7" s="16">
        <v>6.2983294E-06</v>
      </c>
      <c r="AA7" s="16">
        <v>5.99304E-06</v>
      </c>
      <c r="AB7" s="16">
        <v>2.3332336E-06</v>
      </c>
      <c r="AC7" s="16">
        <f t="shared" si="3"/>
        <v>1.867033207E-05</v>
      </c>
    </row>
    <row r="8" spans="1:29" ht="12.75">
      <c r="A8">
        <v>9.848001</v>
      </c>
      <c r="B8" s="16">
        <v>6.2356116E-06</v>
      </c>
      <c r="C8" s="16">
        <v>9.909298E-07</v>
      </c>
      <c r="D8" s="16">
        <v>4.2087913E-06</v>
      </c>
      <c r="E8" s="16">
        <v>1.2841938E-05</v>
      </c>
      <c r="F8" s="16">
        <v>8.5484634E-06</v>
      </c>
      <c r="G8" s="16">
        <v>3.096747E-06</v>
      </c>
      <c r="H8" s="16">
        <f t="shared" si="0"/>
        <v>3.59224811E-05</v>
      </c>
      <c r="I8" s="16">
        <v>4.268729E-06</v>
      </c>
      <c r="J8" s="16">
        <v>7.0359976E-07</v>
      </c>
      <c r="K8" s="16">
        <v>2.778665E-06</v>
      </c>
      <c r="L8" s="16">
        <v>1.0073207E-05</v>
      </c>
      <c r="M8" s="16">
        <v>7.6214832E-06</v>
      </c>
      <c r="N8" s="16">
        <v>2.814025E-06</v>
      </c>
      <c r="O8" s="16">
        <f t="shared" si="1"/>
        <v>2.8259708959999995E-05</v>
      </c>
      <c r="P8" s="16">
        <v>3.000521E-06</v>
      </c>
      <c r="Q8" s="16">
        <v>5.189423E-07</v>
      </c>
      <c r="R8" s="16">
        <v>1.9239632E-06</v>
      </c>
      <c r="S8" s="16">
        <v>7.926926E-06</v>
      </c>
      <c r="T8" s="16">
        <v>6.773556E-06</v>
      </c>
      <c r="U8" s="16">
        <v>2.5626914E-06</v>
      </c>
      <c r="V8" s="16">
        <f t="shared" si="2"/>
        <v>2.2706599900000002E-05</v>
      </c>
      <c r="W8" s="16">
        <v>2.1639787E-06</v>
      </c>
      <c r="X8" s="16">
        <v>3.901124E-07</v>
      </c>
      <c r="Y8" s="16">
        <v>1.3652075E-06</v>
      </c>
      <c r="Z8" s="16">
        <v>6.224095E-06</v>
      </c>
      <c r="AA8" s="16">
        <v>5.9784956E-06</v>
      </c>
      <c r="AB8" s="16">
        <v>2.3290433E-06</v>
      </c>
      <c r="AC8" s="16">
        <f t="shared" si="3"/>
        <v>1.84509325E-05</v>
      </c>
    </row>
    <row r="9" spans="1:29" ht="12.75">
      <c r="A9">
        <v>10.8480014</v>
      </c>
      <c r="B9" s="16">
        <v>5.553566E-06</v>
      </c>
      <c r="C9" s="16">
        <v>9.4574164E-07</v>
      </c>
      <c r="D9" s="16">
        <v>3.9186852E-06</v>
      </c>
      <c r="E9" s="16">
        <v>1.2750503E-05</v>
      </c>
      <c r="F9" s="16">
        <v>8.54307E-06</v>
      </c>
      <c r="G9" s="16">
        <v>3.0913288E-06</v>
      </c>
      <c r="H9" s="16">
        <f t="shared" si="0"/>
        <v>3.480289464E-05</v>
      </c>
      <c r="I9" s="16">
        <v>3.963977E-06</v>
      </c>
      <c r="J9" s="16">
        <v>6.786752E-07</v>
      </c>
      <c r="K9" s="16">
        <v>2.6306277E-06</v>
      </c>
      <c r="L9" s="16">
        <v>9.964159E-06</v>
      </c>
      <c r="M9" s="16">
        <v>7.6101223E-06</v>
      </c>
      <c r="N9" s="16">
        <v>2.8087711E-06</v>
      </c>
      <c r="O9" s="16">
        <f t="shared" si="1"/>
        <v>2.7656332299999997E-05</v>
      </c>
      <c r="P9" s="16">
        <v>2.8512215E-06</v>
      </c>
      <c r="Q9" s="16">
        <v>5.041906E-07</v>
      </c>
      <c r="R9" s="16">
        <v>1.8426325E-06</v>
      </c>
      <c r="S9" s="16">
        <v>7.826821E-06</v>
      </c>
      <c r="T9" s="16">
        <v>6.758854E-06</v>
      </c>
      <c r="U9" s="16">
        <v>2.5577164E-06</v>
      </c>
      <c r="V9" s="16">
        <f t="shared" si="2"/>
        <v>2.2341436E-05</v>
      </c>
      <c r="W9" s="16">
        <v>2.0859656E-06</v>
      </c>
      <c r="X9" s="16">
        <v>3.810661E-07</v>
      </c>
      <c r="Y9" s="16">
        <v>1.3187939E-06</v>
      </c>
      <c r="Z9" s="16">
        <v>6.141801E-06</v>
      </c>
      <c r="AA9" s="16">
        <v>5.962257E-06</v>
      </c>
      <c r="AB9" s="16">
        <v>2.3243974E-06</v>
      </c>
      <c r="AC9" s="16">
        <f t="shared" si="3"/>
        <v>1.8214281E-05</v>
      </c>
    </row>
    <row r="10" spans="1:29" ht="12.75">
      <c r="A10">
        <v>11.8480014</v>
      </c>
      <c r="B10" s="16">
        <v>4.929875E-06</v>
      </c>
      <c r="C10" s="16">
        <v>8.9912646E-07</v>
      </c>
      <c r="D10" s="16">
        <v>3.622464E-06</v>
      </c>
      <c r="E10" s="16">
        <v>1.2643648E-05</v>
      </c>
      <c r="F10" s="16">
        <v>8.5368264E-06</v>
      </c>
      <c r="G10" s="16">
        <v>3.0853664E-06</v>
      </c>
      <c r="H10" s="16">
        <f t="shared" si="0"/>
        <v>3.371730626E-05</v>
      </c>
      <c r="I10" s="16">
        <v>3.6671756E-06</v>
      </c>
      <c r="J10" s="16">
        <v>6.5261212E-07</v>
      </c>
      <c r="K10" s="16">
        <v>2.477687E-06</v>
      </c>
      <c r="L10" s="16">
        <v>9.84134E-06</v>
      </c>
      <c r="M10" s="16">
        <v>7.597374E-06</v>
      </c>
      <c r="N10" s="16">
        <v>2.8030174E-06</v>
      </c>
      <c r="O10" s="16">
        <f t="shared" si="1"/>
        <v>2.7039206119999998E-05</v>
      </c>
      <c r="P10" s="16">
        <v>2.7005423E-06</v>
      </c>
      <c r="Q10" s="16">
        <v>4.886239E-07</v>
      </c>
      <c r="R10" s="16">
        <v>1.7577266E-06</v>
      </c>
      <c r="S10" s="16">
        <v>7.715944E-06</v>
      </c>
      <c r="T10" s="16">
        <v>6.7424584E-06</v>
      </c>
      <c r="U10" s="16">
        <v>2.5522601E-06</v>
      </c>
      <c r="V10" s="16">
        <f t="shared" si="2"/>
        <v>2.19575553E-05</v>
      </c>
      <c r="W10" s="16">
        <v>2.0054435E-06</v>
      </c>
      <c r="X10" s="16">
        <v>3.7145042E-07</v>
      </c>
      <c r="Y10" s="16">
        <v>1.2699072E-06</v>
      </c>
      <c r="Z10" s="16">
        <v>6.051455E-06</v>
      </c>
      <c r="AA10" s="16">
        <v>5.944293E-06</v>
      </c>
      <c r="AB10" s="16">
        <v>2.3193083E-06</v>
      </c>
      <c r="AC10" s="16">
        <f t="shared" si="3"/>
        <v>1.796185742E-05</v>
      </c>
    </row>
    <row r="11" spans="1:29" ht="12.75">
      <c r="A11">
        <v>12.848002</v>
      </c>
      <c r="B11" s="16">
        <v>4.3671552E-06</v>
      </c>
      <c r="C11" s="16">
        <v>8.516637E-07</v>
      </c>
      <c r="D11" s="16">
        <v>3.3246365E-06</v>
      </c>
      <c r="E11" s="16">
        <v>1.2519535E-05</v>
      </c>
      <c r="F11" s="16">
        <v>8.5296014E-06</v>
      </c>
      <c r="G11" s="16">
        <v>3.0788592E-06</v>
      </c>
      <c r="H11" s="16">
        <f t="shared" si="0"/>
        <v>3.2671451E-05</v>
      </c>
      <c r="I11" s="16">
        <v>3.3820404E-06</v>
      </c>
      <c r="J11" s="16">
        <v>6.256732E-07</v>
      </c>
      <c r="K11" s="16">
        <v>2.3217244E-06</v>
      </c>
      <c r="L11" s="16">
        <v>9.703983E-06</v>
      </c>
      <c r="M11" s="16">
        <v>7.5831217E-06</v>
      </c>
      <c r="N11" s="16">
        <v>2.7967257E-06</v>
      </c>
      <c r="O11" s="16">
        <f t="shared" si="1"/>
        <v>2.64132684E-05</v>
      </c>
      <c r="P11" s="16">
        <v>2.5503813E-06</v>
      </c>
      <c r="Q11" s="16">
        <v>4.7236838E-07</v>
      </c>
      <c r="R11" s="16">
        <v>1.6701324E-06</v>
      </c>
      <c r="S11" s="16">
        <v>7.5940806E-06</v>
      </c>
      <c r="T11" s="16">
        <v>6.7243604E-06</v>
      </c>
      <c r="U11" s="16">
        <v>2.5462977E-06</v>
      </c>
      <c r="V11" s="16">
        <f t="shared" si="2"/>
        <v>2.155762078E-05</v>
      </c>
      <c r="W11" s="16">
        <v>1.9232732E-06</v>
      </c>
      <c r="X11" s="16">
        <v>3.6133334E-07</v>
      </c>
      <c r="Y11" s="16">
        <v>1.2190465E-06</v>
      </c>
      <c r="Z11" s="16">
        <v>5.9531375E-06</v>
      </c>
      <c r="AA11" s="16">
        <v>5.924541E-06</v>
      </c>
      <c r="AB11" s="16">
        <v>2.3137636E-06</v>
      </c>
      <c r="AC11" s="16">
        <f t="shared" si="3"/>
        <v>1.769509514E-05</v>
      </c>
    </row>
    <row r="12" spans="1:29" ht="12.75">
      <c r="A12">
        <v>13.848003</v>
      </c>
      <c r="B12" s="16">
        <v>3.86468E-06</v>
      </c>
      <c r="C12" s="16">
        <v>8.038274E-07</v>
      </c>
      <c r="D12" s="16">
        <v>3.029505E-06</v>
      </c>
      <c r="E12" s="16">
        <v>1.2376059E-05</v>
      </c>
      <c r="F12" s="16">
        <v>8.5213005E-06</v>
      </c>
      <c r="G12" s="16">
        <v>3.0717953E-06</v>
      </c>
      <c r="H12" s="16">
        <f t="shared" si="0"/>
        <v>3.16671672E-05</v>
      </c>
      <c r="I12" s="16">
        <v>3.1111965E-06</v>
      </c>
      <c r="J12" s="16">
        <v>5.9811395E-07</v>
      </c>
      <c r="K12" s="16">
        <v>2.1646028E-06</v>
      </c>
      <c r="L12" s="16">
        <v>9.551293E-06</v>
      </c>
      <c r="M12" s="16">
        <v>7.5673083E-06</v>
      </c>
      <c r="N12" s="16">
        <v>2.7899022E-06</v>
      </c>
      <c r="O12" s="16">
        <f t="shared" si="1"/>
        <v>2.578241675E-05</v>
      </c>
      <c r="P12" s="16">
        <v>2.4023972E-06</v>
      </c>
      <c r="Q12" s="16">
        <v>4.5555734E-07</v>
      </c>
      <c r="R12" s="16">
        <v>1.5807959E-06</v>
      </c>
      <c r="S12" s="16">
        <v>7.46104E-06</v>
      </c>
      <c r="T12" s="16">
        <v>6.7044506E-06</v>
      </c>
      <c r="U12" s="16">
        <v>2.5398603E-06</v>
      </c>
      <c r="V12" s="16">
        <f t="shared" si="2"/>
        <v>2.114410134E-05</v>
      </c>
      <c r="W12" s="16">
        <v>1.8402706E-06</v>
      </c>
      <c r="X12" s="16">
        <v>3.5078565E-07</v>
      </c>
      <c r="Y12" s="16">
        <v>1.1666293E-06</v>
      </c>
      <c r="Z12" s="16">
        <v>5.8469004E-06</v>
      </c>
      <c r="AA12" s="16">
        <v>5.9029684E-06</v>
      </c>
      <c r="AB12" s="16">
        <v>2.3077568E-06</v>
      </c>
      <c r="AC12" s="16">
        <f t="shared" si="3"/>
        <v>1.741531115E-05</v>
      </c>
    </row>
    <row r="13" spans="1:29" ht="12.75">
      <c r="A13">
        <v>14.848003</v>
      </c>
      <c r="B13" s="16">
        <v>3.4194097E-06</v>
      </c>
      <c r="C13" s="16">
        <v>7.561034E-07</v>
      </c>
      <c r="D13" s="16">
        <v>2.7409844E-06</v>
      </c>
      <c r="E13" s="16">
        <v>1.2210993E-05</v>
      </c>
      <c r="F13" s="16">
        <v>8.5118144E-06</v>
      </c>
      <c r="G13" s="16">
        <v>3.0641681E-06</v>
      </c>
      <c r="H13" s="16">
        <f t="shared" si="0"/>
        <v>3.0703473E-05</v>
      </c>
      <c r="I13" s="16">
        <v>2.8564115E-06</v>
      </c>
      <c r="J13" s="16">
        <v>5.7016944E-07</v>
      </c>
      <c r="K13" s="16">
        <v>2.0080924E-06</v>
      </c>
      <c r="L13" s="16">
        <v>9.382514E-06</v>
      </c>
      <c r="M13" s="16">
        <v>7.5498173E-06</v>
      </c>
      <c r="N13" s="16">
        <v>2.7825662E-06</v>
      </c>
      <c r="O13" s="16">
        <f t="shared" si="1"/>
        <v>2.5149570839999997E-05</v>
      </c>
      <c r="P13" s="16">
        <v>2.257937E-06</v>
      </c>
      <c r="Q13" s="16">
        <v>4.3831607E-07</v>
      </c>
      <c r="R13" s="16">
        <v>1.490559E-06</v>
      </c>
      <c r="S13" s="16">
        <v>7.3167184E-06</v>
      </c>
      <c r="T13" s="16">
        <v>6.682697E-06</v>
      </c>
      <c r="U13" s="16">
        <v>2.532904E-06</v>
      </c>
      <c r="V13" s="16">
        <f t="shared" si="2"/>
        <v>2.0719131470000003E-05</v>
      </c>
      <c r="W13" s="16">
        <v>1.7572196E-06</v>
      </c>
      <c r="X13" s="16">
        <v>3.3988217E-07</v>
      </c>
      <c r="Y13" s="16">
        <v>1.113106E-06</v>
      </c>
      <c r="Z13" s="16">
        <v>5.732898E-06</v>
      </c>
      <c r="AA13" s="16">
        <v>5.8795294E-06</v>
      </c>
      <c r="AB13" s="16">
        <v>2.3013067E-06</v>
      </c>
      <c r="AC13" s="16">
        <f t="shared" si="3"/>
        <v>1.7123941869999998E-05</v>
      </c>
    </row>
    <row r="14" spans="1:29" ht="12.75">
      <c r="A14">
        <v>15.848003</v>
      </c>
      <c r="B14" s="16">
        <v>3.0269354E-06</v>
      </c>
      <c r="C14" s="16">
        <v>7.0890024E-07</v>
      </c>
      <c r="D14" s="16">
        <v>2.462442E-06</v>
      </c>
      <c r="E14" s="16">
        <v>1.2022043E-05</v>
      </c>
      <c r="F14" s="16">
        <v>8.500954E-06</v>
      </c>
      <c r="G14" s="16">
        <v>3.055971E-06</v>
      </c>
      <c r="H14" s="16">
        <f t="shared" si="0"/>
        <v>2.977724564E-05</v>
      </c>
      <c r="I14" s="16">
        <v>2.618609E-06</v>
      </c>
      <c r="J14" s="16">
        <v>5.420636E-07</v>
      </c>
      <c r="K14" s="16">
        <v>1.8537881E-06</v>
      </c>
      <c r="L14" s="16">
        <v>9.196895E-06</v>
      </c>
      <c r="M14" s="16">
        <v>7.530538E-06</v>
      </c>
      <c r="N14" s="16">
        <v>2.7746984E-06</v>
      </c>
      <c r="O14" s="16">
        <f t="shared" si="1"/>
        <v>2.4516592099999998E-05</v>
      </c>
      <c r="P14" s="16">
        <v>2.1180676E-06</v>
      </c>
      <c r="Q14" s="16">
        <v>4.2077084E-07</v>
      </c>
      <c r="R14" s="16">
        <v>1.4002402E-06</v>
      </c>
      <c r="S14" s="16">
        <v>7.161021E-06</v>
      </c>
      <c r="T14" s="16">
        <v>6.658998E-06</v>
      </c>
      <c r="U14" s="16">
        <v>2.525473E-06</v>
      </c>
      <c r="V14" s="16">
        <f t="shared" si="2"/>
        <v>2.028457064E-05</v>
      </c>
      <c r="W14" s="16">
        <v>1.6747621E-06</v>
      </c>
      <c r="X14" s="16">
        <v>3.2868138E-07</v>
      </c>
      <c r="Y14" s="16">
        <v>1.0588817E-06</v>
      </c>
      <c r="Z14" s="16">
        <v>5.6111525E-06</v>
      </c>
      <c r="AA14" s="16">
        <v>5.8541436E-06</v>
      </c>
      <c r="AB14" s="16">
        <v>2.2943695E-06</v>
      </c>
      <c r="AC14" s="16">
        <f t="shared" si="3"/>
        <v>1.682199078E-05</v>
      </c>
    </row>
    <row r="15" spans="1:29" ht="12.75">
      <c r="A15">
        <v>16.848003</v>
      </c>
      <c r="B15" s="16">
        <v>2.6822858E-06</v>
      </c>
      <c r="C15" s="16">
        <v>6.6257945E-07</v>
      </c>
      <c r="D15" s="16">
        <v>2.196648E-06</v>
      </c>
      <c r="E15" s="16">
        <v>1.1806766E-05</v>
      </c>
      <c r="F15" s="16">
        <v>8.488623E-06</v>
      </c>
      <c r="G15" s="16">
        <v>3.04723E-06</v>
      </c>
      <c r="H15" s="16">
        <f t="shared" si="0"/>
        <v>2.888413225E-05</v>
      </c>
      <c r="I15" s="16">
        <v>2.3981192E-06</v>
      </c>
      <c r="J15" s="16">
        <v>5.1400456E-07</v>
      </c>
      <c r="K15" s="16">
        <v>1.7030882E-06</v>
      </c>
      <c r="L15" s="16">
        <v>8.993768E-06</v>
      </c>
      <c r="M15" s="16">
        <v>7.509328E-06</v>
      </c>
      <c r="N15" s="16">
        <v>2.7662863E-06</v>
      </c>
      <c r="O15" s="16">
        <f t="shared" si="1"/>
        <v>2.388459426E-05</v>
      </c>
      <c r="P15" s="16">
        <v>1.9836352E-06</v>
      </c>
      <c r="Q15" s="16">
        <v>4.0304621E-07</v>
      </c>
      <c r="R15" s="16">
        <v>1.310572E-06</v>
      </c>
      <c r="S15" s="16">
        <v>6.9939183E-06</v>
      </c>
      <c r="T15" s="16">
        <v>6.633234E-06</v>
      </c>
      <c r="U15" s="16">
        <v>2.5175354E-06</v>
      </c>
      <c r="V15" s="16">
        <f t="shared" si="2"/>
        <v>1.984194111E-05</v>
      </c>
      <c r="W15" s="16">
        <v>1.5934878E-06</v>
      </c>
      <c r="X15" s="16">
        <v>3.1725554E-07</v>
      </c>
      <c r="Y15" s="16">
        <v>1.0043775E-06</v>
      </c>
      <c r="Z15" s="16">
        <v>5.481914E-06</v>
      </c>
      <c r="AA15" s="16">
        <v>5.8267887E-06</v>
      </c>
      <c r="AB15" s="16">
        <v>2.2870015E-06</v>
      </c>
      <c r="AC15" s="16">
        <f t="shared" si="3"/>
        <v>1.651082504E-05</v>
      </c>
    </row>
    <row r="16" spans="1:29" ht="12.75">
      <c r="A16">
        <v>17.848005</v>
      </c>
      <c r="B16" s="16">
        <v>2.380248E-06</v>
      </c>
      <c r="C16" s="16">
        <v>6.174474E-07</v>
      </c>
      <c r="D16" s="16">
        <v>1.9457907E-06</v>
      </c>
      <c r="E16" s="16">
        <v>1.1562826E-05</v>
      </c>
      <c r="F16" s="16">
        <v>8.474658E-06</v>
      </c>
      <c r="G16" s="16">
        <v>3.0378935E-06</v>
      </c>
      <c r="H16" s="16">
        <f t="shared" si="0"/>
        <v>2.80188636E-05</v>
      </c>
      <c r="I16" s="16">
        <v>2.1947423E-06</v>
      </c>
      <c r="J16" s="16">
        <v>4.861777E-07</v>
      </c>
      <c r="K16" s="16">
        <v>1.5571939E-06</v>
      </c>
      <c r="L16" s="16">
        <v>8.7726384E-06</v>
      </c>
      <c r="M16" s="16">
        <v>7.486086E-06</v>
      </c>
      <c r="N16" s="16">
        <v>2.757336E-06</v>
      </c>
      <c r="O16" s="16">
        <f t="shared" si="1"/>
        <v>2.3254174300000002E-05</v>
      </c>
      <c r="P16" s="16">
        <v>1.8551945E-06</v>
      </c>
      <c r="Q16" s="16">
        <v>3.852391E-07</v>
      </c>
      <c r="R16" s="16">
        <v>1.2222408E-06</v>
      </c>
      <c r="S16" s="16">
        <v>6.8155354E-06</v>
      </c>
      <c r="T16" s="16">
        <v>6.605335E-06</v>
      </c>
      <c r="U16" s="16">
        <v>2.5090853E-06</v>
      </c>
      <c r="V16" s="16">
        <f t="shared" si="2"/>
        <v>1.93926301E-05</v>
      </c>
      <c r="W16" s="16">
        <v>1.5138751E-06</v>
      </c>
      <c r="X16" s="16">
        <v>3.056693E-07</v>
      </c>
      <c r="Y16" s="16">
        <v>9.4996084E-07</v>
      </c>
      <c r="Z16" s="16">
        <v>5.3454386E-06</v>
      </c>
      <c r="AA16" s="16">
        <v>5.797385E-06</v>
      </c>
      <c r="AB16" s="16">
        <v>2.279178E-06</v>
      </c>
      <c r="AC16" s="16">
        <f t="shared" si="3"/>
        <v>1.6191506839999998E-05</v>
      </c>
    </row>
    <row r="17" spans="1:29" ht="12.75">
      <c r="A17">
        <v>18.848005</v>
      </c>
      <c r="B17" s="16">
        <v>2.1158182E-06</v>
      </c>
      <c r="C17" s="16">
        <v>5.7375876E-07</v>
      </c>
      <c r="D17" s="16">
        <v>1.7114287E-06</v>
      </c>
      <c r="E17" s="16">
        <v>1.1287826E-05</v>
      </c>
      <c r="F17" s="16">
        <v>8.458861E-06</v>
      </c>
      <c r="G17" s="16">
        <v>3.0279747E-06</v>
      </c>
      <c r="H17" s="16">
        <f t="shared" si="0"/>
        <v>2.7175667359999998E-05</v>
      </c>
      <c r="I17" s="16">
        <v>2.0079264E-06</v>
      </c>
      <c r="J17" s="16">
        <v>4.5875248E-07</v>
      </c>
      <c r="K17" s="16">
        <v>1.4170924E-06</v>
      </c>
      <c r="L17" s="16">
        <v>8.533103E-06</v>
      </c>
      <c r="M17" s="16">
        <v>7.4606764E-06</v>
      </c>
      <c r="N17" s="16">
        <v>2.7478477E-06</v>
      </c>
      <c r="O17" s="16">
        <f t="shared" si="1"/>
        <v>2.262539838E-05</v>
      </c>
      <c r="P17" s="16">
        <v>1.7331579E-06</v>
      </c>
      <c r="Q17" s="16">
        <v>3.6746334E-07</v>
      </c>
      <c r="R17" s="16">
        <v>1.1358245E-06</v>
      </c>
      <c r="S17" s="16">
        <v>6.626012E-06</v>
      </c>
      <c r="T17" s="16">
        <v>6.575246E-06</v>
      </c>
      <c r="U17" s="16">
        <v>2.500154E-06</v>
      </c>
      <c r="V17" s="16">
        <f t="shared" si="2"/>
        <v>1.893785774E-05</v>
      </c>
      <c r="W17" s="16">
        <v>1.4363163E-06</v>
      </c>
      <c r="X17" s="16">
        <v>2.939867E-07</v>
      </c>
      <c r="Y17" s="16">
        <v>8.960048E-07</v>
      </c>
      <c r="Z17" s="16">
        <v>5.20197E-06</v>
      </c>
      <c r="AA17" s="16">
        <v>5.765869E-06</v>
      </c>
      <c r="AB17" s="16">
        <v>2.2708925E-06</v>
      </c>
      <c r="AC17" s="16">
        <f t="shared" si="3"/>
        <v>1.58650393E-05</v>
      </c>
    </row>
    <row r="18" spans="1:29" ht="12.75">
      <c r="A18">
        <v>19.848003</v>
      </c>
      <c r="B18" s="16">
        <v>1.8843364E-06</v>
      </c>
      <c r="C18" s="16">
        <v>5.31711E-07</v>
      </c>
      <c r="D18" s="16">
        <v>1.4945344E-06</v>
      </c>
      <c r="E18" s="16">
        <v>1.0979696E-05</v>
      </c>
      <c r="F18" s="16">
        <v>8.441035E-06</v>
      </c>
      <c r="G18" s="16">
        <v>3.0174614E-06</v>
      </c>
      <c r="H18" s="16">
        <f t="shared" si="0"/>
        <v>2.63487742E-05</v>
      </c>
      <c r="I18" s="16">
        <v>1.836938E-06</v>
      </c>
      <c r="J18" s="16">
        <v>4.3187256E-07</v>
      </c>
      <c r="K18" s="16">
        <v>1.2836438E-06</v>
      </c>
      <c r="L18" s="16">
        <v>8.274948E-06</v>
      </c>
      <c r="M18" s="16">
        <v>7.4329354E-06</v>
      </c>
      <c r="N18" s="16">
        <v>2.7377836E-06</v>
      </c>
      <c r="O18" s="16">
        <f t="shared" si="1"/>
        <v>2.199812136E-05</v>
      </c>
      <c r="P18" s="16">
        <v>1.6177127E-06</v>
      </c>
      <c r="Q18" s="16">
        <v>3.4980928E-07</v>
      </c>
      <c r="R18" s="16">
        <v>1.0518947E-06</v>
      </c>
      <c r="S18" s="16">
        <v>6.4256637E-06</v>
      </c>
      <c r="T18" s="16">
        <v>6.5428243E-06</v>
      </c>
      <c r="U18" s="16">
        <v>2.4907167E-06</v>
      </c>
      <c r="V18" s="16">
        <f t="shared" si="2"/>
        <v>1.8478621380000004E-05</v>
      </c>
      <c r="W18" s="16">
        <v>1.3611389E-06</v>
      </c>
      <c r="X18" s="16">
        <v>2.822646E-07</v>
      </c>
      <c r="Y18" s="16">
        <v>8.427648E-07</v>
      </c>
      <c r="Z18" s="16">
        <v>5.051891E-06</v>
      </c>
      <c r="AA18" s="16">
        <v>5.7321717E-06</v>
      </c>
      <c r="AB18" s="16">
        <v>2.2621575E-06</v>
      </c>
      <c r="AC18" s="16">
        <f t="shared" si="3"/>
        <v>1.55323885E-05</v>
      </c>
    </row>
    <row r="19" spans="1:29" ht="12.75">
      <c r="A19">
        <v>20.848003</v>
      </c>
      <c r="B19" s="16">
        <v>1.6815859E-06</v>
      </c>
      <c r="C19" s="16">
        <v>4.9145785E-07</v>
      </c>
      <c r="D19" s="16">
        <v>1.2955429E-06</v>
      </c>
      <c r="E19" s="16">
        <v>1.0636636E-05</v>
      </c>
      <c r="F19" s="16">
        <v>8.420976E-06</v>
      </c>
      <c r="G19" s="16">
        <v>3.0063463E-06</v>
      </c>
      <c r="H19" s="16">
        <f t="shared" si="0"/>
        <v>2.553254495E-05</v>
      </c>
      <c r="I19" s="16">
        <v>1.6808003E-06</v>
      </c>
      <c r="J19" s="16">
        <v>4.056585E-07</v>
      </c>
      <c r="K19" s="16">
        <v>1.1573785E-06</v>
      </c>
      <c r="L19" s="16">
        <v>7.998314E-06</v>
      </c>
      <c r="M19" s="16">
        <v>7.402696E-06</v>
      </c>
      <c r="N19" s="16">
        <v>2.7271942E-06</v>
      </c>
      <c r="O19" s="16">
        <f t="shared" si="1"/>
        <v>2.1372041499999998E-05</v>
      </c>
      <c r="P19" s="16">
        <v>1.5089425E-06</v>
      </c>
      <c r="Q19" s="16">
        <v>3.3235565E-07</v>
      </c>
      <c r="R19" s="16">
        <v>9.70836E-07</v>
      </c>
      <c r="S19" s="16">
        <v>6.214874E-06</v>
      </c>
      <c r="T19" s="16">
        <v>6.507937E-06</v>
      </c>
      <c r="U19" s="16">
        <v>2.48076E-06</v>
      </c>
      <c r="V19" s="16">
        <f t="shared" si="2"/>
        <v>1.801570515E-05</v>
      </c>
      <c r="W19" s="16">
        <v>1.2885823E-06</v>
      </c>
      <c r="X19" s="16">
        <v>2.7055574E-07</v>
      </c>
      <c r="Y19" s="16">
        <v>7.9057696E-07</v>
      </c>
      <c r="Z19" s="16">
        <v>4.8955616E-06</v>
      </c>
      <c r="AA19" s="16">
        <v>5.6962367E-06</v>
      </c>
      <c r="AB19" s="16">
        <v>2.2529477E-06</v>
      </c>
      <c r="AC19" s="16">
        <f t="shared" si="3"/>
        <v>1.5194461E-05</v>
      </c>
    </row>
    <row r="20" spans="1:29" ht="12.75">
      <c r="A20">
        <v>21.848003</v>
      </c>
      <c r="B20" s="16">
        <v>1.5037962E-06</v>
      </c>
      <c r="C20" s="16">
        <v>4.5310895E-07</v>
      </c>
      <c r="D20" s="16">
        <v>1.1144435E-06</v>
      </c>
      <c r="E20" s="16">
        <v>1.025731E-05</v>
      </c>
      <c r="F20" s="16">
        <v>8.398486E-06</v>
      </c>
      <c r="G20" s="16">
        <v>2.994668E-06</v>
      </c>
      <c r="H20" s="16">
        <f t="shared" si="0"/>
        <v>2.472181265E-05</v>
      </c>
      <c r="I20" s="16">
        <v>1.5384993E-06</v>
      </c>
      <c r="J20" s="16">
        <v>3.802185E-07</v>
      </c>
      <c r="K20" s="16">
        <v>1.0387139E-06</v>
      </c>
      <c r="L20" s="16">
        <v>7.703524E-06</v>
      </c>
      <c r="M20" s="16">
        <v>7.369818E-06</v>
      </c>
      <c r="N20" s="16">
        <v>2.716041E-06</v>
      </c>
      <c r="O20" s="16">
        <f t="shared" si="1"/>
        <v>2.0746814700000002E-05</v>
      </c>
      <c r="P20" s="16">
        <v>1.4067725E-06</v>
      </c>
      <c r="Q20" s="16">
        <v>3.151874E-07</v>
      </c>
      <c r="R20" s="16">
        <v>8.930221E-07</v>
      </c>
      <c r="S20" s="16">
        <v>5.9942885E-06</v>
      </c>
      <c r="T20" s="16">
        <v>6.4705045E-06</v>
      </c>
      <c r="U20" s="16">
        <v>2.4702842E-06</v>
      </c>
      <c r="V20" s="16">
        <f t="shared" si="2"/>
        <v>1.7550059199999998E-05</v>
      </c>
      <c r="W20" s="16">
        <v>1.2188328E-06</v>
      </c>
      <c r="X20" s="16">
        <v>2.5890847E-07</v>
      </c>
      <c r="Y20" s="16">
        <v>7.396791E-07</v>
      </c>
      <c r="Z20" s="16">
        <v>4.7335324E-06</v>
      </c>
      <c r="AA20" s="16">
        <v>5.658E-06</v>
      </c>
      <c r="AB20" s="16">
        <v>2.2432634E-06</v>
      </c>
      <c r="AC20" s="16">
        <f t="shared" si="3"/>
        <v>1.4852216169999999E-05</v>
      </c>
    </row>
    <row r="21" spans="1:29" ht="12.75">
      <c r="A21">
        <v>22.848001</v>
      </c>
      <c r="B21" s="16">
        <v>1.3476596E-06</v>
      </c>
      <c r="C21" s="16">
        <v>4.1673567E-07</v>
      </c>
      <c r="D21" s="16">
        <v>9.5084573E-07</v>
      </c>
      <c r="E21" s="16">
        <v>9.841135E-06</v>
      </c>
      <c r="F21" s="16">
        <v>8.373325E-06</v>
      </c>
      <c r="G21" s="16">
        <v>2.9823124E-06</v>
      </c>
      <c r="H21" s="16">
        <f t="shared" si="0"/>
        <v>2.39120134E-05</v>
      </c>
      <c r="I21" s="16">
        <v>1.4089796E-06</v>
      </c>
      <c r="J21" s="16">
        <v>3.5563195E-07</v>
      </c>
      <c r="K21" s="16">
        <v>9.27885E-07</v>
      </c>
      <c r="L21" s="16">
        <v>7.3912106E-06</v>
      </c>
      <c r="M21" s="16">
        <v>7.3341584E-06</v>
      </c>
      <c r="N21" s="16">
        <v>2.7043058E-06</v>
      </c>
      <c r="O21" s="16">
        <f t="shared" si="1"/>
        <v>2.012217135E-05</v>
      </c>
      <c r="P21" s="16">
        <v>1.3110962E-06</v>
      </c>
      <c r="Q21" s="16">
        <v>2.983655E-07</v>
      </c>
      <c r="R21" s="16">
        <v>8.18715E-07</v>
      </c>
      <c r="S21" s="16">
        <v>5.7644747E-06</v>
      </c>
      <c r="T21" s="16">
        <v>6.430417E-06</v>
      </c>
      <c r="U21" s="16">
        <v>2.459334E-06</v>
      </c>
      <c r="V21" s="16">
        <f t="shared" si="2"/>
        <v>1.70824024E-05</v>
      </c>
      <c r="W21" s="16">
        <v>1.1519937E-06</v>
      </c>
      <c r="X21" s="16">
        <v>2.4737295E-07</v>
      </c>
      <c r="Y21" s="16">
        <v>6.9026083E-07</v>
      </c>
      <c r="Z21" s="16">
        <v>4.566224E-06</v>
      </c>
      <c r="AA21" s="16">
        <v>5.617393E-06</v>
      </c>
      <c r="AB21" s="16">
        <v>2.2331548E-06</v>
      </c>
      <c r="AC21" s="16">
        <f t="shared" si="3"/>
        <v>1.450639928E-05</v>
      </c>
    </row>
    <row r="22" spans="1:29" ht="12.75">
      <c r="A22">
        <v>23.848001</v>
      </c>
      <c r="B22" s="16">
        <v>1.2102909E-06</v>
      </c>
      <c r="C22" s="16">
        <v>3.8238127E-07</v>
      </c>
      <c r="D22" s="16">
        <v>8.04057E-07</v>
      </c>
      <c r="E22" s="16">
        <v>9.3882945E-06</v>
      </c>
      <c r="F22" s="16">
        <v>8.345193E-06</v>
      </c>
      <c r="G22" s="16">
        <v>2.969368E-06</v>
      </c>
      <c r="H22" s="16">
        <f t="shared" si="0"/>
        <v>2.309958467E-05</v>
      </c>
      <c r="I22" s="16">
        <v>1.2912029E-06</v>
      </c>
      <c r="J22" s="16">
        <v>3.319654E-07</v>
      </c>
      <c r="K22" s="16">
        <v>8.249506E-07</v>
      </c>
      <c r="L22" s="16">
        <v>7.0624246E-06</v>
      </c>
      <c r="M22" s="16">
        <v>7.295426E-06</v>
      </c>
      <c r="N22" s="16">
        <v>2.6920324E-06</v>
      </c>
      <c r="O22" s="16">
        <f t="shared" si="1"/>
        <v>1.94980019E-05</v>
      </c>
      <c r="P22" s="16">
        <v>1.2216882E-06</v>
      </c>
      <c r="Q22" s="16">
        <v>2.8194415E-07</v>
      </c>
      <c r="R22" s="16">
        <v>7.481252E-07</v>
      </c>
      <c r="S22" s="16">
        <v>5.5263803E-06</v>
      </c>
      <c r="T22" s="16">
        <v>6.3875486E-06</v>
      </c>
      <c r="U22" s="16">
        <v>2.4478138E-06</v>
      </c>
      <c r="V22" s="16">
        <f t="shared" si="2"/>
        <v>1.6613500250000002E-05</v>
      </c>
      <c r="W22" s="16">
        <v>1.0881461E-06</v>
      </c>
      <c r="X22" s="16">
        <v>2.3598328E-07</v>
      </c>
      <c r="Y22" s="16">
        <v>6.425168E-07</v>
      </c>
      <c r="Z22" s="16">
        <v>4.394305E-06</v>
      </c>
      <c r="AA22" s="16">
        <v>5.5743194E-06</v>
      </c>
      <c r="AB22" s="16">
        <v>2.2225401E-06</v>
      </c>
      <c r="AC22" s="16">
        <f t="shared" si="3"/>
        <v>1.415781068E-05</v>
      </c>
    </row>
    <row r="23" spans="1:29" ht="12.75">
      <c r="A23">
        <v>24.848001</v>
      </c>
      <c r="B23" s="16">
        <v>1.0891828E-06</v>
      </c>
      <c r="C23" s="16">
        <v>3.5003492E-07</v>
      </c>
      <c r="D23" s="16">
        <v>6.73175E-07</v>
      </c>
      <c r="E23" s="16">
        <v>8.900017E-06</v>
      </c>
      <c r="F23" s="16">
        <v>8.313824E-06</v>
      </c>
      <c r="G23" s="16">
        <v>2.9557975E-06</v>
      </c>
      <c r="H23" s="16">
        <f t="shared" si="0"/>
        <v>2.228203122E-05</v>
      </c>
      <c r="I23" s="16">
        <v>1.1841524E-06</v>
      </c>
      <c r="J23" s="16">
        <v>3.0927603E-07</v>
      </c>
      <c r="K23" s="16">
        <v>7.2988495E-07</v>
      </c>
      <c r="L23" s="16">
        <v>6.7185715E-06</v>
      </c>
      <c r="M23" s="16">
        <v>7.2535344E-06</v>
      </c>
      <c r="N23" s="16">
        <v>2.6791644E-06</v>
      </c>
      <c r="O23" s="16">
        <f t="shared" si="1"/>
        <v>1.8874583680000002E-05</v>
      </c>
      <c r="P23" s="16">
        <v>1.1382959E-06</v>
      </c>
      <c r="Q23" s="16">
        <v>2.6597587E-07</v>
      </c>
      <c r="R23" s="16">
        <v>6.813746E-07</v>
      </c>
      <c r="S23" s="16">
        <v>5.280955E-06</v>
      </c>
      <c r="T23" s="16">
        <v>6.3417724E-06</v>
      </c>
      <c r="U23" s="16">
        <v>2.4358382E-06</v>
      </c>
      <c r="V23" s="16">
        <f t="shared" si="2"/>
        <v>1.6144211969999997E-05</v>
      </c>
      <c r="W23" s="16">
        <v>1.0273113E-06</v>
      </c>
      <c r="X23" s="16">
        <v>2.2479668E-07</v>
      </c>
      <c r="Y23" s="16">
        <v>5.965764E-07</v>
      </c>
      <c r="Z23" s="16">
        <v>4.2183414E-06</v>
      </c>
      <c r="AA23" s="16">
        <v>5.5287873E-06</v>
      </c>
      <c r="AB23" s="16">
        <v>2.211482E-06</v>
      </c>
      <c r="AC23" s="16">
        <f t="shared" si="3"/>
        <v>1.3807295079999999E-05</v>
      </c>
    </row>
    <row r="24" spans="1:29" ht="12.75">
      <c r="A24">
        <v>25.848001</v>
      </c>
      <c r="B24" s="16">
        <v>9.821814E-07</v>
      </c>
      <c r="C24" s="16">
        <v>3.196959E-07</v>
      </c>
      <c r="D24" s="16">
        <v>5.571615E-07</v>
      </c>
      <c r="E24" s="16">
        <v>8.3787144E-06</v>
      </c>
      <c r="F24" s="16">
        <v>8.278937E-06</v>
      </c>
      <c r="G24" s="16">
        <v>2.9415934E-06</v>
      </c>
      <c r="H24" s="16">
        <f t="shared" si="0"/>
        <v>2.14582836E-05</v>
      </c>
      <c r="I24" s="16">
        <v>1.0868667E-06</v>
      </c>
      <c r="J24" s="16">
        <v>2.8757892E-07</v>
      </c>
      <c r="K24" s="16">
        <v>6.4249422E-07</v>
      </c>
      <c r="L24" s="16">
        <v>6.361467E-06</v>
      </c>
      <c r="M24" s="16">
        <v>7.208215E-06</v>
      </c>
      <c r="N24" s="16">
        <v>2.6657453E-06</v>
      </c>
      <c r="O24" s="16">
        <f t="shared" si="1"/>
        <v>1.8252367140000002E-05</v>
      </c>
      <c r="P24" s="16">
        <v>1.0606383E-06</v>
      </c>
      <c r="Q24" s="16">
        <v>2.504995E-07</v>
      </c>
      <c r="R24" s="16">
        <v>6.1851773E-07</v>
      </c>
      <c r="S24" s="16">
        <v>5.0293083E-06</v>
      </c>
      <c r="T24" s="16">
        <v>6.292987E-06</v>
      </c>
      <c r="U24" s="16">
        <v>2.4232988E-06</v>
      </c>
      <c r="V24" s="16">
        <f t="shared" si="2"/>
        <v>1.5675249630000002E-05</v>
      </c>
      <c r="W24" s="16">
        <v>9.694857E-07</v>
      </c>
      <c r="X24" s="16">
        <v>2.1382036E-07</v>
      </c>
      <c r="Y24" s="16">
        <v>5.525474E-07</v>
      </c>
      <c r="Z24" s="16">
        <v>4.039113E-06</v>
      </c>
      <c r="AA24" s="16">
        <v>5.4806396E-06</v>
      </c>
      <c r="AB24" s="16">
        <v>2.1999746E-06</v>
      </c>
      <c r="AC24" s="16">
        <f t="shared" si="3"/>
        <v>1.345558066E-05</v>
      </c>
    </row>
    <row r="25" spans="1:29" ht="12.75">
      <c r="A25">
        <v>26.848</v>
      </c>
      <c r="B25" s="16">
        <v>8.8743064E-07</v>
      </c>
      <c r="C25" s="16">
        <v>2.9132604E-07</v>
      </c>
      <c r="D25" s="16">
        <v>4.54879E-07</v>
      </c>
      <c r="E25" s="16">
        <v>7.828049E-06</v>
      </c>
      <c r="F25" s="16">
        <v>8.240216E-06</v>
      </c>
      <c r="G25" s="16">
        <v>2.9267378E-06</v>
      </c>
      <c r="H25" s="16">
        <f t="shared" si="0"/>
        <v>2.062863848E-05</v>
      </c>
      <c r="I25" s="16">
        <v>9.984486E-07</v>
      </c>
      <c r="J25" s="16">
        <v>2.6691526E-07</v>
      </c>
      <c r="K25" s="16">
        <v>5.6254083E-07</v>
      </c>
      <c r="L25" s="16">
        <v>5.9932663E-06</v>
      </c>
      <c r="M25" s="16">
        <v>7.1593194E-06</v>
      </c>
      <c r="N25" s="16">
        <v>2.6517186E-06</v>
      </c>
      <c r="O25" s="16">
        <f t="shared" si="1"/>
        <v>1.763220899E-05</v>
      </c>
      <c r="P25" s="16">
        <v>9.884071E-07</v>
      </c>
      <c r="Q25" s="16">
        <v>2.3554567E-07</v>
      </c>
      <c r="R25" s="16">
        <v>5.596134E-07</v>
      </c>
      <c r="S25" s="16">
        <v>4.7726757E-06</v>
      </c>
      <c r="T25" s="16">
        <v>6.2410335E-06</v>
      </c>
      <c r="U25" s="16">
        <v>2.4102598E-06</v>
      </c>
      <c r="V25" s="16">
        <f t="shared" si="2"/>
        <v>1.5207535169999999E-05</v>
      </c>
      <c r="W25" s="16">
        <v>9.1460344E-07</v>
      </c>
      <c r="X25" s="16">
        <v>2.0309517E-07</v>
      </c>
      <c r="Y25" s="16">
        <v>5.105202E-07</v>
      </c>
      <c r="Z25" s="16">
        <v>3.857325E-06</v>
      </c>
      <c r="AA25" s="16">
        <v>5.429853E-06</v>
      </c>
      <c r="AB25" s="16">
        <v>2.1879861E-06</v>
      </c>
      <c r="AC25" s="16">
        <f t="shared" si="3"/>
        <v>1.310338291E-05</v>
      </c>
    </row>
    <row r="26" spans="1:29" ht="12.75">
      <c r="A26">
        <v>27.848</v>
      </c>
      <c r="B26" s="16">
        <v>8.0333217E-07</v>
      </c>
      <c r="C26" s="16">
        <v>2.6485801E-07</v>
      </c>
      <c r="D26" s="16">
        <v>3.6515254E-07</v>
      </c>
      <c r="E26" s="16">
        <v>7.2529114E-06</v>
      </c>
      <c r="F26" s="16">
        <v>8.197323E-06</v>
      </c>
      <c r="G26" s="16">
        <v>2.9112047E-06</v>
      </c>
      <c r="H26" s="16">
        <f t="shared" si="0"/>
        <v>1.979478182E-05</v>
      </c>
      <c r="I26" s="16">
        <v>9.180517E-07</v>
      </c>
      <c r="J26" s="16">
        <v>2.472829E-07</v>
      </c>
      <c r="K26" s="16">
        <v>4.8969695E-07</v>
      </c>
      <c r="L26" s="16">
        <v>5.6164913E-06</v>
      </c>
      <c r="M26" s="16">
        <v>7.106602E-06</v>
      </c>
      <c r="N26" s="16">
        <v>2.6371287E-06</v>
      </c>
      <c r="O26" s="16">
        <f t="shared" si="1"/>
        <v>1.701525355E-05</v>
      </c>
      <c r="P26" s="16">
        <v>9.212863E-07</v>
      </c>
      <c r="Q26" s="16">
        <v>2.2113495E-07</v>
      </c>
      <c r="R26" s="16">
        <v>5.0459755E-07</v>
      </c>
      <c r="S26" s="16">
        <v>4.512477E-06</v>
      </c>
      <c r="T26" s="16">
        <v>6.185811E-06</v>
      </c>
      <c r="U26" s="16">
        <v>2.3967015E-06</v>
      </c>
      <c r="V26" s="16">
        <f t="shared" si="2"/>
        <v>1.47420083E-05</v>
      </c>
      <c r="W26" s="16">
        <v>8.626511E-07</v>
      </c>
      <c r="X26" s="16">
        <v>1.9264E-07</v>
      </c>
      <c r="Y26" s="16">
        <v>4.7053177E-07</v>
      </c>
      <c r="Z26" s="16">
        <v>3.6736987E-06</v>
      </c>
      <c r="AA26" s="16">
        <v>5.376332E-06</v>
      </c>
      <c r="AB26" s="16">
        <v>2.1755483E-06</v>
      </c>
      <c r="AC26" s="16">
        <f t="shared" si="3"/>
        <v>1.2751401869999999E-05</v>
      </c>
    </row>
    <row r="27" spans="1:29" ht="12.75">
      <c r="A27">
        <v>28.848</v>
      </c>
      <c r="B27" s="16">
        <v>7.2851094E-07</v>
      </c>
      <c r="C27" s="16">
        <v>2.4024492E-07</v>
      </c>
      <c r="D27" s="16">
        <v>2.868236E-07</v>
      </c>
      <c r="E27" s="16">
        <v>6.659449E-06</v>
      </c>
      <c r="F27" s="16">
        <v>8.149928E-06</v>
      </c>
      <c r="G27" s="16">
        <v>2.8950448E-06</v>
      </c>
      <c r="H27" s="16">
        <f t="shared" si="0"/>
        <v>1.896000126E-05</v>
      </c>
      <c r="I27" s="16">
        <v>8.4491352E-07</v>
      </c>
      <c r="J27" s="16">
        <v>2.2868404E-07</v>
      </c>
      <c r="K27" s="16">
        <v>4.236037E-07</v>
      </c>
      <c r="L27" s="16">
        <v>5.2339655E-06</v>
      </c>
      <c r="M27" s="16">
        <v>7.0498822E-06</v>
      </c>
      <c r="N27" s="16">
        <v>2.6219313E-06</v>
      </c>
      <c r="O27" s="16">
        <f t="shared" si="1"/>
        <v>1.640298026E-05</v>
      </c>
      <c r="P27" s="16">
        <v>8.5895175E-07</v>
      </c>
      <c r="Q27" s="16">
        <v>2.0729126E-07</v>
      </c>
      <c r="R27" s="16">
        <v>4.533966E-07</v>
      </c>
      <c r="S27" s="16">
        <v>4.2501014E-06</v>
      </c>
      <c r="T27" s="16">
        <v>6.1272003E-06</v>
      </c>
      <c r="U27" s="16">
        <v>2.3826055E-06</v>
      </c>
      <c r="V27" s="16">
        <f t="shared" si="2"/>
        <v>1.4279546810000001E-05</v>
      </c>
      <c r="W27" s="16">
        <v>8.135058E-07</v>
      </c>
      <c r="X27" s="16">
        <v>1.8248515E-07</v>
      </c>
      <c r="Y27" s="16">
        <v>4.3261593E-07</v>
      </c>
      <c r="Z27" s="16">
        <v>3.4891168E-06</v>
      </c>
      <c r="AA27" s="16">
        <v>5.320085E-06</v>
      </c>
      <c r="AB27" s="16">
        <v>2.1626358E-06</v>
      </c>
      <c r="AC27" s="16">
        <f t="shared" si="3"/>
        <v>1.240044448E-05</v>
      </c>
    </row>
    <row r="28" spans="1:29" ht="12.75">
      <c r="A28">
        <v>29.847998</v>
      </c>
      <c r="B28" s="16">
        <v>6.61787E-07</v>
      </c>
      <c r="C28" s="16">
        <v>2.1739795E-07</v>
      </c>
      <c r="D28" s="16">
        <v>2.1873831E-07</v>
      </c>
      <c r="E28" s="16">
        <v>6.054676E-06</v>
      </c>
      <c r="F28" s="16">
        <v>8.097672E-06</v>
      </c>
      <c r="G28" s="16">
        <v>2.878208E-06</v>
      </c>
      <c r="H28" s="16">
        <f t="shared" si="0"/>
        <v>1.8128479260000002E-05</v>
      </c>
      <c r="I28" s="16">
        <v>7.783305E-07</v>
      </c>
      <c r="J28" s="16">
        <v>2.1110581E-07</v>
      </c>
      <c r="K28" s="16">
        <v>3.6384366E-07</v>
      </c>
      <c r="L28" s="16">
        <v>4.848638E-06</v>
      </c>
      <c r="M28" s="16">
        <v>6.9888765E-06</v>
      </c>
      <c r="N28" s="16">
        <v>2.6061513E-06</v>
      </c>
      <c r="O28" s="16">
        <f t="shared" si="1"/>
        <v>1.579694577E-05</v>
      </c>
      <c r="P28" s="16">
        <v>8.010889E-07</v>
      </c>
      <c r="Q28" s="16">
        <v>1.9401936E-07</v>
      </c>
      <c r="R28" s="16">
        <v>4.059149E-07</v>
      </c>
      <c r="S28" s="16">
        <v>3.987079E-06</v>
      </c>
      <c r="T28" s="16">
        <v>6.0650677E-06</v>
      </c>
      <c r="U28" s="16">
        <v>2.3679963E-06</v>
      </c>
      <c r="V28" s="16">
        <f t="shared" si="2"/>
        <v>1.3821166160000002E-05</v>
      </c>
      <c r="W28" s="16">
        <v>7.670878E-07</v>
      </c>
      <c r="X28" s="16">
        <v>1.7263572E-07</v>
      </c>
      <c r="Y28" s="16">
        <v>3.9678425E-07</v>
      </c>
      <c r="Z28" s="16">
        <v>3.3043068E-06</v>
      </c>
      <c r="AA28" s="16">
        <v>5.26101E-06</v>
      </c>
      <c r="AB28" s="16">
        <v>2.1492674E-06</v>
      </c>
      <c r="AC28" s="16">
        <f t="shared" si="3"/>
        <v>1.205109197E-05</v>
      </c>
    </row>
    <row r="29" spans="1:29" ht="12.75">
      <c r="A29">
        <v>30.847998</v>
      </c>
      <c r="B29" s="16">
        <v>6.0216154E-07</v>
      </c>
      <c r="C29" s="16">
        <v>1.9624184E-07</v>
      </c>
      <c r="D29" s="16">
        <v>1.5986019E-07</v>
      </c>
      <c r="E29" s="16">
        <v>5.4463516E-06</v>
      </c>
      <c r="F29" s="16">
        <v>8.040149E-06</v>
      </c>
      <c r="G29" s="16">
        <v>2.8606998E-06</v>
      </c>
      <c r="H29" s="16">
        <f t="shared" si="0"/>
        <v>1.730546397E-05</v>
      </c>
      <c r="I29" s="16">
        <v>7.1767806E-07</v>
      </c>
      <c r="J29" s="16">
        <v>1.9453145E-07</v>
      </c>
      <c r="K29" s="16">
        <v>3.1000644E-07</v>
      </c>
      <c r="L29" s="16">
        <v>4.4637376E-06</v>
      </c>
      <c r="M29" s="16">
        <v>6.9233956E-06</v>
      </c>
      <c r="N29" s="16">
        <v>2.5897702E-06</v>
      </c>
      <c r="O29" s="16">
        <f t="shared" si="1"/>
        <v>1.5199119349999999E-05</v>
      </c>
      <c r="P29" s="16">
        <v>7.4742115E-07</v>
      </c>
      <c r="Q29" s="16">
        <v>1.8133282E-07</v>
      </c>
      <c r="R29" s="16">
        <v>3.6200816E-07</v>
      </c>
      <c r="S29" s="16">
        <v>3.7249312E-06</v>
      </c>
      <c r="T29" s="16">
        <v>5.9992876E-06</v>
      </c>
      <c r="U29" s="16">
        <v>2.3528557E-06</v>
      </c>
      <c r="V29" s="16">
        <f t="shared" si="2"/>
        <v>1.3367836630000002E-05</v>
      </c>
      <c r="W29" s="16">
        <v>7.232872E-07</v>
      </c>
      <c r="X29" s="16">
        <v>1.6310882E-07</v>
      </c>
      <c r="Y29" s="16">
        <v>3.6301094E-07</v>
      </c>
      <c r="Z29" s="16">
        <v>3.1201805E-06</v>
      </c>
      <c r="AA29" s="16">
        <v>5.199043E-06</v>
      </c>
      <c r="AB29" s="16">
        <v>2.1354371E-06</v>
      </c>
      <c r="AC29" s="16">
        <f t="shared" si="3"/>
        <v>1.1704067559999999E-05</v>
      </c>
    </row>
    <row r="30" spans="1:29" ht="12.75">
      <c r="A30">
        <v>31.847998</v>
      </c>
      <c r="B30" s="16">
        <v>5.4872833E-07</v>
      </c>
      <c r="C30" s="16">
        <v>1.7668817E-07</v>
      </c>
      <c r="D30" s="16">
        <v>1.091331E-07</v>
      </c>
      <c r="E30" s="16">
        <v>4.842669E-06</v>
      </c>
      <c r="F30" s="16">
        <v>7.9769524E-06</v>
      </c>
      <c r="G30" s="16">
        <v>2.842521E-06</v>
      </c>
      <c r="H30" s="16">
        <f t="shared" si="0"/>
        <v>1.6496692E-05</v>
      </c>
      <c r="I30" s="16">
        <v>6.6235156E-07</v>
      </c>
      <c r="J30" s="16">
        <v>1.7893582E-07</v>
      </c>
      <c r="K30" s="16">
        <v>2.6166426E-07</v>
      </c>
      <c r="L30" s="16">
        <v>4.0824124E-06</v>
      </c>
      <c r="M30" s="16">
        <v>6.85325E-06</v>
      </c>
      <c r="N30" s="16">
        <v>2.5728002E-06</v>
      </c>
      <c r="O30" s="16">
        <f t="shared" si="1"/>
        <v>1.4611414240000001E-05</v>
      </c>
      <c r="P30" s="16">
        <v>6.976115E-07</v>
      </c>
      <c r="Q30" s="16">
        <v>1.6922917E-07</v>
      </c>
      <c r="R30" s="16">
        <v>3.215417E-07</v>
      </c>
      <c r="S30" s="16">
        <v>3.4651202E-06</v>
      </c>
      <c r="T30" s="16">
        <v>5.9297726E-06</v>
      </c>
      <c r="U30" s="16">
        <v>2.33719E-06</v>
      </c>
      <c r="V30" s="16">
        <f t="shared" si="2"/>
        <v>1.2920465169999999E-05</v>
      </c>
      <c r="W30" s="16">
        <v>6.819974E-07</v>
      </c>
      <c r="X30" s="16">
        <v>1.5391568E-07</v>
      </c>
      <c r="Y30" s="16">
        <v>3.312677E-07</v>
      </c>
      <c r="Z30" s="16">
        <v>2.93747E-06</v>
      </c>
      <c r="AA30" s="16">
        <v>5.1341444E-06</v>
      </c>
      <c r="AB30" s="16">
        <v>2.1211383E-06</v>
      </c>
      <c r="AC30" s="16">
        <f t="shared" si="3"/>
        <v>1.135993348E-05</v>
      </c>
    </row>
    <row r="31" spans="1:29" ht="12.75">
      <c r="A31">
        <v>32.847995</v>
      </c>
      <c r="B31" s="16">
        <v>5.0075965E-07</v>
      </c>
      <c r="C31" s="16">
        <v>1.5865075E-07</v>
      </c>
      <c r="D31" s="16">
        <v>6.56407E-08</v>
      </c>
      <c r="E31" s="16">
        <v>4.2515666E-06</v>
      </c>
      <c r="F31" s="16">
        <v>7.907721E-06</v>
      </c>
      <c r="G31" s="16">
        <v>2.8236206E-06</v>
      </c>
      <c r="H31" s="16">
        <f t="shared" si="0"/>
        <v>1.57079593E-05</v>
      </c>
      <c r="I31" s="16">
        <v>6.1185755E-07</v>
      </c>
      <c r="J31" s="16">
        <v>1.6429138E-07</v>
      </c>
      <c r="K31" s="16">
        <v>2.1839148E-07</v>
      </c>
      <c r="L31" s="16">
        <v>3.7077916E-06</v>
      </c>
      <c r="M31" s="16">
        <v>6.7781575E-06</v>
      </c>
      <c r="N31" s="16">
        <v>2.5552226E-06</v>
      </c>
      <c r="O31" s="16">
        <f t="shared" si="1"/>
        <v>1.4035712110000001E-05</v>
      </c>
      <c r="P31" s="16">
        <v>6.514049E-07</v>
      </c>
      <c r="Q31" s="16">
        <v>1.5770344E-07</v>
      </c>
      <c r="R31" s="16">
        <v>2.8433825E-07</v>
      </c>
      <c r="S31" s="16">
        <v>3.20919E-06</v>
      </c>
      <c r="T31" s="16">
        <v>5.856413E-06</v>
      </c>
      <c r="U31" s="16">
        <v>2.3210047E-06</v>
      </c>
      <c r="V31" s="16">
        <f t="shared" si="2"/>
        <v>1.2480054289999998E-05</v>
      </c>
      <c r="W31" s="16">
        <v>6.430984E-07</v>
      </c>
      <c r="X31" s="16">
        <v>1.4506075E-07</v>
      </c>
      <c r="Y31" s="16">
        <v>3.0151932E-07</v>
      </c>
      <c r="Z31" s="16">
        <v>2.7570094E-06</v>
      </c>
      <c r="AA31" s="16">
        <v>5.06634E-06</v>
      </c>
      <c r="AB31" s="16">
        <v>2.1063965E-06</v>
      </c>
      <c r="AC31" s="16">
        <f t="shared" si="3"/>
        <v>1.1019424369999999E-05</v>
      </c>
    </row>
    <row r="33" spans="1:14" ht="12.75">
      <c r="A33" t="s">
        <v>187</v>
      </c>
      <c r="B33" t="s">
        <v>188</v>
      </c>
      <c r="C33" t="s">
        <v>189</v>
      </c>
      <c r="D33" t="s">
        <v>190</v>
      </c>
      <c r="E33" t="s">
        <v>191</v>
      </c>
      <c r="F33" t="s">
        <v>192</v>
      </c>
      <c r="G33" t="s">
        <v>193</v>
      </c>
      <c r="N33">
        <f>45/54</f>
        <v>0.8333333333333334</v>
      </c>
    </row>
    <row r="34" spans="1:7" ht="12.75">
      <c r="A34" s="16">
        <v>71200</v>
      </c>
      <c r="B34" s="16">
        <v>24000</v>
      </c>
      <c r="C34" s="16">
        <v>15000</v>
      </c>
      <c r="D34" s="16">
        <v>20000</v>
      </c>
      <c r="E34" s="16">
        <v>20000</v>
      </c>
      <c r="F34" s="16">
        <v>20000</v>
      </c>
      <c r="G34" s="16">
        <v>20001</v>
      </c>
    </row>
    <row r="36" spans="1:29" ht="12.75">
      <c r="A36" s="17" t="str">
        <f>A1</f>
        <v>R</v>
      </c>
      <c r="B36" s="17" t="str">
        <f>B1</f>
        <v>BZ11(OH)</v>
      </c>
      <c r="C36" s="17" t="str">
        <f aca="true" t="shared" si="4" ref="C36:AC36">C1</f>
        <v>BZ11(PF1A)</v>
      </c>
      <c r="D36" s="17" t="str">
        <f t="shared" si="4"/>
        <v>BZ11(PF1B)</v>
      </c>
      <c r="E36" s="17" t="str">
        <f t="shared" si="4"/>
        <v>BZ11(PF2)</v>
      </c>
      <c r="F36" s="17" t="str">
        <f t="shared" si="4"/>
        <v>BZ11(PF3)</v>
      </c>
      <c r="G36" s="17" t="str">
        <f t="shared" si="4"/>
        <v>BZ11(PF5)</v>
      </c>
      <c r="H36" s="17" t="str">
        <f t="shared" si="4"/>
        <v>BZ11</v>
      </c>
      <c r="I36" s="17" t="str">
        <f t="shared" si="4"/>
        <v>BZ12(OH)</v>
      </c>
      <c r="J36" s="17" t="str">
        <f t="shared" si="4"/>
        <v>BZ12(PF1A)</v>
      </c>
      <c r="K36" s="17" t="str">
        <f t="shared" si="4"/>
        <v>BZ12(PF1B)</v>
      </c>
      <c r="L36" s="17" t="str">
        <f t="shared" si="4"/>
        <v>BZ12(PF2)</v>
      </c>
      <c r="M36" s="17" t="str">
        <f t="shared" si="4"/>
        <v>BZ12(PF3)</v>
      </c>
      <c r="N36" s="17" t="str">
        <f t="shared" si="4"/>
        <v>BZ12(PF5)</v>
      </c>
      <c r="O36" s="17" t="str">
        <f t="shared" si="4"/>
        <v>BZ12</v>
      </c>
      <c r="P36" s="17" t="str">
        <f t="shared" si="4"/>
        <v>BZ21(OH)</v>
      </c>
      <c r="Q36" s="17" t="str">
        <f t="shared" si="4"/>
        <v>BZ21(PF1A)</v>
      </c>
      <c r="R36" s="17" t="str">
        <f t="shared" si="4"/>
        <v>BZ21(PF1B)</v>
      </c>
      <c r="S36" s="17" t="str">
        <f t="shared" si="4"/>
        <v>BZ21(PF2)</v>
      </c>
      <c r="T36" s="17" t="str">
        <f t="shared" si="4"/>
        <v>BZ21(PF3)</v>
      </c>
      <c r="U36" s="17" t="str">
        <f t="shared" si="4"/>
        <v>BZ21(PF5)</v>
      </c>
      <c r="V36" s="17" t="str">
        <f t="shared" si="4"/>
        <v>BZ21</v>
      </c>
      <c r="W36" s="17" t="str">
        <f t="shared" si="4"/>
        <v>BZ22(OH)</v>
      </c>
      <c r="X36" s="17" t="str">
        <f t="shared" si="4"/>
        <v>BZ22(PF1A)</v>
      </c>
      <c r="Y36" s="17" t="str">
        <f t="shared" si="4"/>
        <v>BZ22(PF1B)</v>
      </c>
      <c r="Z36" s="17" t="str">
        <f t="shared" si="4"/>
        <v>BZ22(PF2)</v>
      </c>
      <c r="AA36" s="17" t="str">
        <f t="shared" si="4"/>
        <v>BZ22(PF3)</v>
      </c>
      <c r="AB36" s="17" t="str">
        <f t="shared" si="4"/>
        <v>BZ22(PF5)</v>
      </c>
      <c r="AC36" s="17" t="str">
        <f t="shared" si="4"/>
        <v>BZ22</v>
      </c>
    </row>
    <row r="37" spans="1:29" ht="12.75">
      <c r="A37" s="17">
        <f>A2</f>
        <v>3.848</v>
      </c>
      <c r="B37" s="17">
        <f>B2*IOH</f>
        <v>0.257110104</v>
      </c>
      <c r="C37" s="17">
        <f>C2*IPF1A</f>
        <v>0.017997558</v>
      </c>
      <c r="D37" s="17">
        <f>D2*IPF1B</f>
        <v>0.111319586</v>
      </c>
      <c r="E37" s="17">
        <f>E2*IPF2</f>
        <v>0.26300222</v>
      </c>
      <c r="F37" s="17">
        <f>F2*IPF3</f>
        <v>0.17133948</v>
      </c>
      <c r="G37" s="17">
        <f>G2*IPF5</f>
        <v>0.0623659461414</v>
      </c>
      <c r="H37" s="17">
        <f>SUM(B37:G37)</f>
        <v>0.8831348941414001</v>
      </c>
      <c r="I37" s="17">
        <f>I2*IOH</f>
        <v>0.142187664</v>
      </c>
      <c r="J37" s="17">
        <f>J2*IPF1A</f>
        <v>0.01222275945</v>
      </c>
      <c r="K37" s="17">
        <f>K2*IPF1B</f>
        <v>0.069110832</v>
      </c>
      <c r="L37" s="17">
        <f>L2*IPF2</f>
        <v>0.209545268</v>
      </c>
      <c r="M37" s="17">
        <f>M2*IPF3</f>
        <v>0.15328058000000003</v>
      </c>
      <c r="N37" s="17">
        <f>N2*IPF5</f>
        <v>0.05669766874169999</v>
      </c>
      <c r="O37" s="17">
        <f>SUM(I37:N37)</f>
        <v>0.6430447721917001</v>
      </c>
      <c r="P37" s="17">
        <f>P2*IOH</f>
        <v>0.08961336959999999</v>
      </c>
      <c r="Q37" s="17">
        <f>Q2*IPF1A</f>
        <v>0.008748150900000001</v>
      </c>
      <c r="R37" s="17">
        <f>R2*IPF1B</f>
        <v>0.0457508</v>
      </c>
      <c r="S37" s="17">
        <f>S2*IPF2</f>
        <v>0.16627093999999998</v>
      </c>
      <c r="T37" s="17">
        <f>T2*IPF3</f>
        <v>0.136600946</v>
      </c>
      <c r="U37" s="17">
        <f>U2*IPF5</f>
        <v>0.0516507524085</v>
      </c>
      <c r="V37" s="17">
        <f>SUM(P37:U37)</f>
        <v>0.49863495890849996</v>
      </c>
      <c r="W37" s="17">
        <f>W2*IOH</f>
        <v>0.060581819999999995</v>
      </c>
      <c r="X37" s="17">
        <f>X2*IPF1A</f>
        <v>0.0064325466</v>
      </c>
      <c r="Y37" s="17">
        <f>Y2*IPF1B</f>
        <v>0.0313702</v>
      </c>
      <c r="Z37" s="17">
        <f>Z2*IPF2</f>
        <v>0.130988928</v>
      </c>
      <c r="AA37" s="17">
        <f>AA2*IPF3</f>
        <v>0.120831308</v>
      </c>
      <c r="AB37" s="17">
        <f>AB2*IPF5</f>
        <v>0.0469513534503</v>
      </c>
      <c r="AC37" s="17">
        <f>SUM(W37:AB37)</f>
        <v>0.39715615605029997</v>
      </c>
    </row>
    <row r="38" spans="1:29" ht="12.75">
      <c r="A38" s="17">
        <f aca="true" t="shared" si="5" ref="A38:A66">A3</f>
        <v>4.8479995</v>
      </c>
      <c r="B38" s="17">
        <f aca="true" t="shared" si="6" ref="B38:B66">B3*IOH</f>
        <v>0.24115178399999998</v>
      </c>
      <c r="C38" s="17">
        <f aca="true" t="shared" si="7" ref="C38:C66">C3*IPF1A</f>
        <v>0.0176284725</v>
      </c>
      <c r="D38" s="17">
        <f aca="true" t="shared" si="8" ref="D38:D66">D3*IPF1B</f>
        <v>0.10811986</v>
      </c>
      <c r="E38" s="17">
        <f aca="true" t="shared" si="9" ref="E38:E66">E3*IPF2</f>
        <v>0.26243092</v>
      </c>
      <c r="F38" s="17">
        <f aca="true" t="shared" si="10" ref="F38:F66">F3*IPF3</f>
        <v>0.17130444</v>
      </c>
      <c r="G38" s="17">
        <f aca="true" t="shared" si="11" ref="G38:G66">G3*IPF5</f>
        <v>0.062320495869</v>
      </c>
      <c r="H38" s="17">
        <f aca="true" t="shared" si="12" ref="H38:H66">SUM(B38:G38)</f>
        <v>0.862955972369</v>
      </c>
      <c r="I38" s="17">
        <f aca="true" t="shared" si="13" ref="I38:I66">I3*IOH</f>
        <v>0.13695342</v>
      </c>
      <c r="J38" s="17">
        <f aca="true" t="shared" si="14" ref="J38:J66">J3*IPF1A</f>
        <v>0.012030984599999999</v>
      </c>
      <c r="K38" s="17">
        <f aca="true" t="shared" si="15" ref="K38:K66">K3*IPF1B</f>
        <v>0.06753295</v>
      </c>
      <c r="L38" s="17">
        <f aca="true" t="shared" si="16" ref="L38:L66">L3*IPF2</f>
        <v>0.20873474</v>
      </c>
      <c r="M38" s="17">
        <f aca="true" t="shared" si="17" ref="M38:M66">M3*IPF3</f>
        <v>0.15319424</v>
      </c>
      <c r="N38" s="17">
        <f aca="true" t="shared" si="18" ref="N38:N66">N3*IPF5</f>
        <v>0.056653996558200005</v>
      </c>
      <c r="O38" s="17">
        <f aca="true" t="shared" si="19" ref="O38:O66">SUM(I38:N38)</f>
        <v>0.6351003311582001</v>
      </c>
      <c r="P38" s="17">
        <f aca="true" t="shared" si="20" ref="P38:P66">P3*IOH</f>
        <v>0.0874472208</v>
      </c>
      <c r="Q38" s="17">
        <f aca="true" t="shared" si="21" ref="Q38:Q66">Q3*IPF1A</f>
        <v>0.0086393025</v>
      </c>
      <c r="R38" s="17">
        <f aca="true" t="shared" si="22" ref="R38:R66">R3*IPF1B</f>
        <v>0.044915086</v>
      </c>
      <c r="S38" s="17">
        <f aca="true" t="shared" si="23" ref="S38:S66">S3*IPF2</f>
        <v>0.16547028</v>
      </c>
      <c r="T38" s="17">
        <f aca="true" t="shared" si="24" ref="T38:T66">T3*IPF3</f>
        <v>0.13648433999999998</v>
      </c>
      <c r="U38" s="17">
        <f aca="true" t="shared" si="25" ref="U38:U66">U3*IPF5</f>
        <v>0.051608846313300004</v>
      </c>
      <c r="V38" s="17">
        <f aca="true" t="shared" si="26" ref="V38:V66">SUM(P38:U38)</f>
        <v>0.4945650756133</v>
      </c>
      <c r="W38" s="17">
        <f aca="true" t="shared" si="27" ref="W38:W66">W3*IOH</f>
        <v>0.0595633152</v>
      </c>
      <c r="X38" s="17">
        <f aca="true" t="shared" si="28" ref="X38:X66">X3*IPF1A</f>
        <v>0.00636773745</v>
      </c>
      <c r="Y38" s="17">
        <f aca="true" t="shared" si="29" ref="Y38:Y66">Y3*IPF1B</f>
        <v>0.030909126</v>
      </c>
      <c r="Z38" s="17">
        <f aca="true" t="shared" si="30" ref="Z38:Z66">Z3*IPF2</f>
        <v>0.130302986</v>
      </c>
      <c r="AA38" s="17">
        <f aca="true" t="shared" si="31" ref="AA38:AA66">AA3*IPF3</f>
        <v>0.12069941399999999</v>
      </c>
      <c r="AB38" s="17">
        <f aca="true" t="shared" si="32" ref="AB38:AB66">AB3*IPF5</f>
        <v>0.046912485506999994</v>
      </c>
      <c r="AC38" s="17">
        <f aca="true" t="shared" si="33" ref="AC38:AC66">SUM(W38:AB38)</f>
        <v>0.394755064157</v>
      </c>
    </row>
    <row r="39" spans="1:29" ht="12.75">
      <c r="A39" s="17">
        <f t="shared" si="5"/>
        <v>5.848</v>
      </c>
      <c r="B39" s="17">
        <f t="shared" si="6"/>
        <v>0.22339029600000002</v>
      </c>
      <c r="C39" s="17">
        <f t="shared" si="7"/>
        <v>0.017187622500000003</v>
      </c>
      <c r="D39" s="17">
        <f t="shared" si="8"/>
        <v>0.104293284</v>
      </c>
      <c r="E39" s="17">
        <f t="shared" si="9"/>
        <v>0.2617024</v>
      </c>
      <c r="F39" s="17">
        <f t="shared" si="10"/>
        <v>0.1712603</v>
      </c>
      <c r="G39" s="17">
        <f t="shared" si="11"/>
        <v>0.062265173103000004</v>
      </c>
      <c r="H39" s="17">
        <f t="shared" si="12"/>
        <v>0.840099075603</v>
      </c>
      <c r="I39" s="17">
        <f t="shared" si="13"/>
        <v>0.130906992</v>
      </c>
      <c r="J39" s="17">
        <f t="shared" si="14"/>
        <v>0.01180037475</v>
      </c>
      <c r="K39" s="17">
        <f t="shared" si="15"/>
        <v>0.065641514</v>
      </c>
      <c r="L39" s="17">
        <f t="shared" si="16"/>
        <v>0.20772318</v>
      </c>
      <c r="M39" s="17">
        <f t="shared" si="17"/>
        <v>0.15308692999999998</v>
      </c>
      <c r="N39" s="17">
        <f t="shared" si="18"/>
        <v>0.056600315874300006</v>
      </c>
      <c r="O39" s="17">
        <f t="shared" si="19"/>
        <v>0.6257593066243</v>
      </c>
      <c r="P39" s="17">
        <f t="shared" si="20"/>
        <v>0.08489557680000001</v>
      </c>
      <c r="Q39" s="17">
        <f t="shared" si="21"/>
        <v>0.008507682</v>
      </c>
      <c r="R39" s="17">
        <f t="shared" si="22"/>
        <v>0.043909926</v>
      </c>
      <c r="S39" s="17">
        <f t="shared" si="23"/>
        <v>0.16447976</v>
      </c>
      <c r="T39" s="17">
        <f t="shared" si="24"/>
        <v>0.13633999400000002</v>
      </c>
      <c r="U39" s="17">
        <f t="shared" si="25"/>
        <v>0.0515574517437</v>
      </c>
      <c r="V39" s="17">
        <f t="shared" si="26"/>
        <v>0.48969039054370006</v>
      </c>
      <c r="W39" s="17">
        <f t="shared" si="27"/>
        <v>0.058346618399999994</v>
      </c>
      <c r="X39" s="17">
        <f t="shared" si="28"/>
        <v>0.00628891575</v>
      </c>
      <c r="Y39" s="17">
        <f t="shared" si="29"/>
        <v>0.03035243</v>
      </c>
      <c r="Z39" s="17">
        <f t="shared" si="30"/>
        <v>0.129459094</v>
      </c>
      <c r="AA39" s="17">
        <f t="shared" si="31"/>
        <v>0.120537424</v>
      </c>
      <c r="AB39" s="17">
        <f t="shared" si="32"/>
        <v>0.0468646291143</v>
      </c>
      <c r="AC39" s="17">
        <f t="shared" si="33"/>
        <v>0.3918491112643</v>
      </c>
    </row>
    <row r="40" spans="1:29" ht="12.75">
      <c r="A40" s="17">
        <f t="shared" si="5"/>
        <v>6.8479995</v>
      </c>
      <c r="B40" s="17">
        <f t="shared" si="6"/>
        <v>0.204666168</v>
      </c>
      <c r="C40" s="17">
        <f t="shared" si="7"/>
        <v>0.0166823625</v>
      </c>
      <c r="D40" s="17">
        <f t="shared" si="8"/>
        <v>0.09990573999999999</v>
      </c>
      <c r="E40" s="17">
        <f t="shared" si="9"/>
        <v>0.2608007</v>
      </c>
      <c r="F40" s="17">
        <f t="shared" si="10"/>
        <v>0.17120596</v>
      </c>
      <c r="G40" s="17">
        <f t="shared" si="11"/>
        <v>0.0621989637927</v>
      </c>
      <c r="H40" s="17">
        <f t="shared" si="12"/>
        <v>0.8154598942926999</v>
      </c>
      <c r="I40" s="17">
        <f t="shared" si="13"/>
        <v>0.1242432144</v>
      </c>
      <c r="J40" s="17">
        <f t="shared" si="14"/>
        <v>0.0115337325</v>
      </c>
      <c r="K40" s="17">
        <f t="shared" si="15"/>
        <v>0.06346543</v>
      </c>
      <c r="L40" s="17">
        <f t="shared" si="16"/>
        <v>0.20650178</v>
      </c>
      <c r="M40" s="17">
        <f t="shared" si="17"/>
        <v>0.15295818</v>
      </c>
      <c r="N40" s="17">
        <f t="shared" si="18"/>
        <v>0.056536006659</v>
      </c>
      <c r="O40" s="17">
        <f t="shared" si="19"/>
        <v>0.615238343559</v>
      </c>
      <c r="P40" s="17">
        <f t="shared" si="20"/>
        <v>0.0820132608</v>
      </c>
      <c r="Q40" s="17">
        <f t="shared" si="21"/>
        <v>0.0083544426</v>
      </c>
      <c r="R40" s="17">
        <f t="shared" si="22"/>
        <v>0.042748182</v>
      </c>
      <c r="S40" s="17">
        <f t="shared" si="23"/>
        <v>0.163295388</v>
      </c>
      <c r="T40" s="17">
        <f t="shared" si="24"/>
        <v>0.13616776</v>
      </c>
      <c r="U40" s="17">
        <f t="shared" si="25"/>
        <v>0.051496680705299995</v>
      </c>
      <c r="V40" s="17">
        <f t="shared" si="26"/>
        <v>0.48407571410530004</v>
      </c>
      <c r="W40" s="17">
        <f t="shared" si="27"/>
        <v>0.056952744000000007</v>
      </c>
      <c r="X40" s="17">
        <f t="shared" si="28"/>
        <v>0.00619743225</v>
      </c>
      <c r="Y40" s="17">
        <f t="shared" si="29"/>
        <v>0.02970624</v>
      </c>
      <c r="Z40" s="17">
        <f t="shared" si="30"/>
        <v>0.128455184</v>
      </c>
      <c r="AA40" s="17">
        <f t="shared" si="31"/>
        <v>0.120343928</v>
      </c>
      <c r="AB40" s="17">
        <f t="shared" si="32"/>
        <v>0.0468077882724</v>
      </c>
      <c r="AC40" s="17">
        <f t="shared" si="33"/>
        <v>0.3884633165224</v>
      </c>
    </row>
    <row r="41" spans="1:29" ht="12.75">
      <c r="A41" s="17">
        <f t="shared" si="5"/>
        <v>7.848</v>
      </c>
      <c r="B41" s="17">
        <f t="shared" si="6"/>
        <v>0.18574123199999998</v>
      </c>
      <c r="C41" s="17">
        <f t="shared" si="7"/>
        <v>0.016120977</v>
      </c>
      <c r="D41" s="17">
        <f t="shared" si="8"/>
        <v>0.09503336</v>
      </c>
      <c r="E41" s="17">
        <f t="shared" si="9"/>
        <v>0.25970544</v>
      </c>
      <c r="F41" s="17">
        <f t="shared" si="10"/>
        <v>0.17113976</v>
      </c>
      <c r="G41" s="17">
        <f t="shared" si="11"/>
        <v>0.062123130001200004</v>
      </c>
      <c r="H41" s="17">
        <f t="shared" si="12"/>
        <v>0.7898638990011999</v>
      </c>
      <c r="I41" s="17">
        <f t="shared" si="13"/>
        <v>0.1171580952</v>
      </c>
      <c r="J41" s="17">
        <f t="shared" si="14"/>
        <v>0.011234708999999999</v>
      </c>
      <c r="K41" s="17">
        <f t="shared" si="15"/>
        <v>0.061038362</v>
      </c>
      <c r="L41" s="17">
        <f t="shared" si="16"/>
        <v>0.20505927999999998</v>
      </c>
      <c r="M41" s="17">
        <f t="shared" si="17"/>
        <v>0.15280596</v>
      </c>
      <c r="N41" s="17">
        <f t="shared" si="18"/>
        <v>0.056462324975099995</v>
      </c>
      <c r="O41" s="17">
        <f t="shared" si="19"/>
        <v>0.6037587311750999</v>
      </c>
      <c r="P41" s="17">
        <f t="shared" si="20"/>
        <v>0.07886316959999999</v>
      </c>
      <c r="Q41" s="17">
        <f t="shared" si="21"/>
        <v>0.0081818445</v>
      </c>
      <c r="R41" s="17">
        <f t="shared" si="22"/>
        <v>0.041444779999999994</v>
      </c>
      <c r="S41" s="17">
        <f t="shared" si="23"/>
        <v>0.16191292</v>
      </c>
      <c r="T41" s="17">
        <f t="shared" si="24"/>
        <v>0.135965746</v>
      </c>
      <c r="U41" s="17">
        <f t="shared" si="25"/>
        <v>0.0514264191924</v>
      </c>
      <c r="V41" s="17">
        <f t="shared" si="26"/>
        <v>0.47779487929239994</v>
      </c>
      <c r="W41" s="17">
        <f t="shared" si="27"/>
        <v>0.055403652</v>
      </c>
      <c r="X41" s="17">
        <f t="shared" si="28"/>
        <v>0.0060932541</v>
      </c>
      <c r="Y41" s="17">
        <f t="shared" si="29"/>
        <v>0.028978022</v>
      </c>
      <c r="Z41" s="17">
        <f t="shared" si="30"/>
        <v>0.127290968</v>
      </c>
      <c r="AA41" s="17">
        <f t="shared" si="31"/>
        <v>0.12011857999999999</v>
      </c>
      <c r="AB41" s="17">
        <f t="shared" si="32"/>
        <v>0.0467418289746</v>
      </c>
      <c r="AC41" s="17">
        <f t="shared" si="33"/>
        <v>0.3846263050746</v>
      </c>
    </row>
    <row r="42" spans="1:29" ht="12.75">
      <c r="A42" s="17">
        <f t="shared" si="5"/>
        <v>8.848</v>
      </c>
      <c r="B42" s="17">
        <f t="shared" si="6"/>
        <v>0.167246424</v>
      </c>
      <c r="C42" s="17">
        <f t="shared" si="7"/>
        <v>0.0155118555</v>
      </c>
      <c r="D42" s="17">
        <f t="shared" si="8"/>
        <v>0.08976014</v>
      </c>
      <c r="E42" s="17">
        <f t="shared" si="9"/>
        <v>0.25839352</v>
      </c>
      <c r="F42" s="17">
        <f t="shared" si="10"/>
        <v>0.17106143999999998</v>
      </c>
      <c r="G42" s="17">
        <f t="shared" si="11"/>
        <v>0.0620358956397</v>
      </c>
      <c r="H42" s="17">
        <f t="shared" si="12"/>
        <v>0.7640092751397</v>
      </c>
      <c r="I42" s="17">
        <f t="shared" si="13"/>
        <v>0.1098380736</v>
      </c>
      <c r="J42" s="17">
        <f t="shared" si="14"/>
        <v>0.0109067715</v>
      </c>
      <c r="K42" s="17">
        <f t="shared" si="15"/>
        <v>0.05839422</v>
      </c>
      <c r="L42" s="17">
        <f t="shared" si="16"/>
        <v>0.20338457000000001</v>
      </c>
      <c r="M42" s="17">
        <f t="shared" si="17"/>
        <v>0.15263042000000002</v>
      </c>
      <c r="N42" s="17">
        <f t="shared" si="18"/>
        <v>0.0563780067594</v>
      </c>
      <c r="O42" s="17">
        <f t="shared" si="19"/>
        <v>0.5915320618594</v>
      </c>
      <c r="P42" s="17">
        <f t="shared" si="20"/>
        <v>0.0755102352</v>
      </c>
      <c r="Q42" s="17">
        <f t="shared" si="21"/>
        <v>0.00799099995</v>
      </c>
      <c r="R42" s="17">
        <f t="shared" si="22"/>
        <v>0.040016384</v>
      </c>
      <c r="S42" s="17">
        <f t="shared" si="23"/>
        <v>0.160329108</v>
      </c>
      <c r="T42" s="17">
        <f t="shared" si="24"/>
        <v>0.13573412</v>
      </c>
      <c r="U42" s="17">
        <f t="shared" si="25"/>
        <v>0.051346153179300004</v>
      </c>
      <c r="V42" s="17">
        <f t="shared" si="26"/>
        <v>0.4709270003293</v>
      </c>
      <c r="W42" s="17">
        <f t="shared" si="27"/>
        <v>0.053723784</v>
      </c>
      <c r="X42" s="17">
        <f t="shared" si="28"/>
        <v>0.00597778155</v>
      </c>
      <c r="Y42" s="17">
        <f t="shared" si="29"/>
        <v>0.028174386000000003</v>
      </c>
      <c r="Z42" s="17">
        <f t="shared" si="30"/>
        <v>0.12596658800000002</v>
      </c>
      <c r="AA42" s="17">
        <f t="shared" si="31"/>
        <v>0.1198608</v>
      </c>
      <c r="AB42" s="17">
        <f t="shared" si="32"/>
        <v>0.0466670052336</v>
      </c>
      <c r="AC42" s="17">
        <f t="shared" si="33"/>
        <v>0.38037034478360005</v>
      </c>
    </row>
    <row r="43" spans="1:29" ht="12.75">
      <c r="A43" s="17">
        <f t="shared" si="5"/>
        <v>9.848001</v>
      </c>
      <c r="B43" s="17">
        <f t="shared" si="6"/>
        <v>0.1496546784</v>
      </c>
      <c r="C43" s="17">
        <f t="shared" si="7"/>
        <v>0.014863947</v>
      </c>
      <c r="D43" s="17">
        <f t="shared" si="8"/>
        <v>0.084175826</v>
      </c>
      <c r="E43" s="17">
        <f t="shared" si="9"/>
        <v>0.25683876</v>
      </c>
      <c r="F43" s="17">
        <f t="shared" si="10"/>
        <v>0.170969268</v>
      </c>
      <c r="G43" s="17">
        <f t="shared" si="11"/>
        <v>0.061938036747000005</v>
      </c>
      <c r="H43" s="17">
        <f t="shared" si="12"/>
        <v>0.738440516147</v>
      </c>
      <c r="I43" s="17">
        <f t="shared" si="13"/>
        <v>0.10244949599999999</v>
      </c>
      <c r="J43" s="17">
        <f t="shared" si="14"/>
        <v>0.0105539964</v>
      </c>
      <c r="K43" s="17">
        <f t="shared" si="15"/>
        <v>0.0555733</v>
      </c>
      <c r="L43" s="17">
        <f t="shared" si="16"/>
        <v>0.20146413999999999</v>
      </c>
      <c r="M43" s="17">
        <f t="shared" si="17"/>
        <v>0.152429664</v>
      </c>
      <c r="N43" s="17">
        <f t="shared" si="18"/>
        <v>0.056283314025</v>
      </c>
      <c r="O43" s="17">
        <f t="shared" si="19"/>
        <v>0.5787539104249999</v>
      </c>
      <c r="P43" s="17">
        <f t="shared" si="20"/>
        <v>0.07201250399999999</v>
      </c>
      <c r="Q43" s="17">
        <f t="shared" si="21"/>
        <v>0.0077841345000000004</v>
      </c>
      <c r="R43" s="17">
        <f t="shared" si="22"/>
        <v>0.038479264</v>
      </c>
      <c r="S43" s="17">
        <f t="shared" si="23"/>
        <v>0.15853852</v>
      </c>
      <c r="T43" s="17">
        <f t="shared" si="24"/>
        <v>0.13547112</v>
      </c>
      <c r="U43" s="17">
        <f t="shared" si="25"/>
        <v>0.051256390691400006</v>
      </c>
      <c r="V43" s="17">
        <f t="shared" si="26"/>
        <v>0.4635419331914</v>
      </c>
      <c r="W43" s="17">
        <f t="shared" si="27"/>
        <v>0.051935488800000006</v>
      </c>
      <c r="X43" s="17">
        <f t="shared" si="28"/>
        <v>0.005851686</v>
      </c>
      <c r="Y43" s="17">
        <f t="shared" si="29"/>
        <v>0.02730415</v>
      </c>
      <c r="Z43" s="17">
        <f t="shared" si="30"/>
        <v>0.12448189999999999</v>
      </c>
      <c r="AA43" s="17">
        <f t="shared" si="31"/>
        <v>0.119569912</v>
      </c>
      <c r="AB43" s="17">
        <f t="shared" si="32"/>
        <v>0.0465831950433</v>
      </c>
      <c r="AC43" s="17">
        <f t="shared" si="33"/>
        <v>0.3757263318433</v>
      </c>
    </row>
    <row r="44" spans="1:29" ht="12.75">
      <c r="A44" s="17">
        <f t="shared" si="5"/>
        <v>10.8480014</v>
      </c>
      <c r="B44" s="17">
        <f t="shared" si="6"/>
        <v>0.133285584</v>
      </c>
      <c r="C44" s="17">
        <f t="shared" si="7"/>
        <v>0.014186124599999999</v>
      </c>
      <c r="D44" s="17">
        <f t="shared" si="8"/>
        <v>0.078373704</v>
      </c>
      <c r="E44" s="17">
        <f t="shared" si="9"/>
        <v>0.25501006</v>
      </c>
      <c r="F44" s="17">
        <f t="shared" si="10"/>
        <v>0.1708614</v>
      </c>
      <c r="G44" s="17">
        <f t="shared" si="11"/>
        <v>0.0618296673288</v>
      </c>
      <c r="H44" s="17">
        <f t="shared" si="12"/>
        <v>0.7135465399288</v>
      </c>
      <c r="I44" s="17">
        <f t="shared" si="13"/>
        <v>0.095135448</v>
      </c>
      <c r="J44" s="17">
        <f t="shared" si="14"/>
        <v>0.010180128</v>
      </c>
      <c r="K44" s="17">
        <f t="shared" si="15"/>
        <v>0.052612554</v>
      </c>
      <c r="L44" s="17">
        <f t="shared" si="16"/>
        <v>0.19928318</v>
      </c>
      <c r="M44" s="17">
        <f t="shared" si="17"/>
        <v>0.152202446</v>
      </c>
      <c r="N44" s="17">
        <f t="shared" si="18"/>
        <v>0.0561782307711</v>
      </c>
      <c r="O44" s="17">
        <f t="shared" si="19"/>
        <v>0.5655919867711</v>
      </c>
      <c r="P44" s="17">
        <f t="shared" si="20"/>
        <v>0.068429316</v>
      </c>
      <c r="Q44" s="17">
        <f t="shared" si="21"/>
        <v>0.007562859</v>
      </c>
      <c r="R44" s="17">
        <f t="shared" si="22"/>
        <v>0.03685265</v>
      </c>
      <c r="S44" s="17">
        <f t="shared" si="23"/>
        <v>0.15653642</v>
      </c>
      <c r="T44" s="17">
        <f t="shared" si="24"/>
        <v>0.13517708</v>
      </c>
      <c r="U44" s="17">
        <f t="shared" si="25"/>
        <v>0.051156885716399994</v>
      </c>
      <c r="V44" s="17">
        <f t="shared" si="26"/>
        <v>0.45571521071640003</v>
      </c>
      <c r="W44" s="17">
        <f t="shared" si="27"/>
        <v>0.05006317440000001</v>
      </c>
      <c r="X44" s="17">
        <f t="shared" si="28"/>
        <v>0.0057159915</v>
      </c>
      <c r="Y44" s="17">
        <f t="shared" si="29"/>
        <v>0.026375878000000002</v>
      </c>
      <c r="Z44" s="17">
        <f t="shared" si="30"/>
        <v>0.12283601999999999</v>
      </c>
      <c r="AA44" s="17">
        <f t="shared" si="31"/>
        <v>0.11924514000000001</v>
      </c>
      <c r="AB44" s="17">
        <f t="shared" si="32"/>
        <v>0.0464902723974</v>
      </c>
      <c r="AC44" s="17">
        <f t="shared" si="33"/>
        <v>0.3707264762974</v>
      </c>
    </row>
    <row r="45" spans="1:29" ht="12.75">
      <c r="A45" s="17">
        <f t="shared" si="5"/>
        <v>11.8480014</v>
      </c>
      <c r="B45" s="17">
        <f t="shared" si="6"/>
        <v>0.118317</v>
      </c>
      <c r="C45" s="17">
        <f t="shared" si="7"/>
        <v>0.0134868969</v>
      </c>
      <c r="D45" s="17">
        <f t="shared" si="8"/>
        <v>0.07244928</v>
      </c>
      <c r="E45" s="17">
        <f t="shared" si="9"/>
        <v>0.25287296</v>
      </c>
      <c r="F45" s="17">
        <f t="shared" si="10"/>
        <v>0.170736528</v>
      </c>
      <c r="G45" s="17">
        <f t="shared" si="11"/>
        <v>0.0617104133664</v>
      </c>
      <c r="H45" s="17">
        <f t="shared" si="12"/>
        <v>0.6895730782664</v>
      </c>
      <c r="I45" s="17">
        <f t="shared" si="13"/>
        <v>0.0880122144</v>
      </c>
      <c r="J45" s="17">
        <f t="shared" si="14"/>
        <v>0.009789181800000001</v>
      </c>
      <c r="K45" s="17">
        <f t="shared" si="15"/>
        <v>0.04955374</v>
      </c>
      <c r="L45" s="17">
        <f t="shared" si="16"/>
        <v>0.1968268</v>
      </c>
      <c r="M45" s="17">
        <f t="shared" si="17"/>
        <v>0.15194748</v>
      </c>
      <c r="N45" s="17">
        <f t="shared" si="18"/>
        <v>0.056063151017400004</v>
      </c>
      <c r="O45" s="17">
        <f t="shared" si="19"/>
        <v>0.5521925672174001</v>
      </c>
      <c r="P45" s="17">
        <f t="shared" si="20"/>
        <v>0.0648130152</v>
      </c>
      <c r="Q45" s="17">
        <f t="shared" si="21"/>
        <v>0.007329358499999999</v>
      </c>
      <c r="R45" s="17">
        <f t="shared" si="22"/>
        <v>0.035154532</v>
      </c>
      <c r="S45" s="17">
        <f t="shared" si="23"/>
        <v>0.15431888000000002</v>
      </c>
      <c r="T45" s="17">
        <f t="shared" si="24"/>
        <v>0.134849168</v>
      </c>
      <c r="U45" s="17">
        <f t="shared" si="25"/>
        <v>0.0510477542601</v>
      </c>
      <c r="V45" s="17">
        <f t="shared" si="26"/>
        <v>0.4475127079601</v>
      </c>
      <c r="W45" s="17">
        <f t="shared" si="27"/>
        <v>0.048130644</v>
      </c>
      <c r="X45" s="17">
        <f t="shared" si="28"/>
        <v>0.0055717563</v>
      </c>
      <c r="Y45" s="17">
        <f t="shared" si="29"/>
        <v>0.025398144</v>
      </c>
      <c r="Z45" s="17">
        <f t="shared" si="30"/>
        <v>0.1210291</v>
      </c>
      <c r="AA45" s="17">
        <f t="shared" si="31"/>
        <v>0.11888586</v>
      </c>
      <c r="AB45" s="17">
        <f t="shared" si="32"/>
        <v>0.0463884853083</v>
      </c>
      <c r="AC45" s="17">
        <f t="shared" si="33"/>
        <v>0.3654039896083</v>
      </c>
    </row>
    <row r="46" spans="1:29" ht="12.75">
      <c r="A46" s="17">
        <f t="shared" si="5"/>
        <v>12.848002</v>
      </c>
      <c r="B46" s="17">
        <f t="shared" si="6"/>
        <v>0.1048117248</v>
      </c>
      <c r="C46" s="17">
        <f t="shared" si="7"/>
        <v>0.012774955499999999</v>
      </c>
      <c r="D46" s="17">
        <f t="shared" si="8"/>
        <v>0.06649273</v>
      </c>
      <c r="E46" s="17">
        <f t="shared" si="9"/>
        <v>0.2503907</v>
      </c>
      <c r="F46" s="17">
        <f t="shared" si="10"/>
        <v>0.17059202799999998</v>
      </c>
      <c r="G46" s="17">
        <f t="shared" si="11"/>
        <v>0.0615802628592</v>
      </c>
      <c r="H46" s="17">
        <f t="shared" si="12"/>
        <v>0.6666424011592</v>
      </c>
      <c r="I46" s="17">
        <f t="shared" si="13"/>
        <v>0.0811689696</v>
      </c>
      <c r="J46" s="17">
        <f t="shared" si="14"/>
        <v>0.009385098</v>
      </c>
      <c r="K46" s="17">
        <f t="shared" si="15"/>
        <v>0.046434488</v>
      </c>
      <c r="L46" s="17">
        <f t="shared" si="16"/>
        <v>0.19407966000000001</v>
      </c>
      <c r="M46" s="17">
        <f t="shared" si="17"/>
        <v>0.15166243399999998</v>
      </c>
      <c r="N46" s="17">
        <f t="shared" si="18"/>
        <v>0.0559373107257</v>
      </c>
      <c r="O46" s="17">
        <f t="shared" si="19"/>
        <v>0.5386679603257</v>
      </c>
      <c r="P46" s="17">
        <f t="shared" si="20"/>
        <v>0.061209151200000006</v>
      </c>
      <c r="Q46" s="17">
        <f t="shared" si="21"/>
        <v>0.0070855256999999994</v>
      </c>
      <c r="R46" s="17">
        <f t="shared" si="22"/>
        <v>0.033402648</v>
      </c>
      <c r="S46" s="17">
        <f t="shared" si="23"/>
        <v>0.151881612</v>
      </c>
      <c r="T46" s="17">
        <f t="shared" si="24"/>
        <v>0.134487208</v>
      </c>
      <c r="U46" s="17">
        <f t="shared" si="25"/>
        <v>0.050928500297700005</v>
      </c>
      <c r="V46" s="17">
        <f t="shared" si="26"/>
        <v>0.43899464519770004</v>
      </c>
      <c r="W46" s="17">
        <f t="shared" si="27"/>
        <v>0.0461585568</v>
      </c>
      <c r="X46" s="17">
        <f t="shared" si="28"/>
        <v>0.0054200001</v>
      </c>
      <c r="Y46" s="17">
        <f t="shared" si="29"/>
        <v>0.02438093</v>
      </c>
      <c r="Z46" s="17">
        <f t="shared" si="30"/>
        <v>0.11906275</v>
      </c>
      <c r="AA46" s="17">
        <f t="shared" si="31"/>
        <v>0.11849082000000001</v>
      </c>
      <c r="AB46" s="17">
        <f t="shared" si="32"/>
        <v>0.0462775857636</v>
      </c>
      <c r="AC46" s="17">
        <f t="shared" si="33"/>
        <v>0.35979064266359995</v>
      </c>
    </row>
    <row r="47" spans="1:29" ht="12.75">
      <c r="A47" s="17">
        <f t="shared" si="5"/>
        <v>13.848003</v>
      </c>
      <c r="B47" s="17">
        <f t="shared" si="6"/>
        <v>0.09275232</v>
      </c>
      <c r="C47" s="17">
        <f t="shared" si="7"/>
        <v>0.012057411</v>
      </c>
      <c r="D47" s="17">
        <f t="shared" si="8"/>
        <v>0.0605901</v>
      </c>
      <c r="E47" s="17">
        <f t="shared" si="9"/>
        <v>0.24752117999999998</v>
      </c>
      <c r="F47" s="17">
        <f t="shared" si="10"/>
        <v>0.17042601000000002</v>
      </c>
      <c r="G47" s="17">
        <f t="shared" si="11"/>
        <v>0.0614389777953</v>
      </c>
      <c r="H47" s="17">
        <f t="shared" si="12"/>
        <v>0.6447859987953</v>
      </c>
      <c r="I47" s="17">
        <f t="shared" si="13"/>
        <v>0.074668716</v>
      </c>
      <c r="J47" s="17">
        <f t="shared" si="14"/>
        <v>0.008971709250000001</v>
      </c>
      <c r="K47" s="17">
        <f t="shared" si="15"/>
        <v>0.043292056</v>
      </c>
      <c r="L47" s="17">
        <f t="shared" si="16"/>
        <v>0.19102586000000002</v>
      </c>
      <c r="M47" s="17">
        <f t="shared" si="17"/>
        <v>0.151346166</v>
      </c>
      <c r="N47" s="17">
        <f t="shared" si="18"/>
        <v>0.0558008339022</v>
      </c>
      <c r="O47" s="17">
        <f t="shared" si="19"/>
        <v>0.5251053411522</v>
      </c>
      <c r="P47" s="17">
        <f t="shared" si="20"/>
        <v>0.0576575328</v>
      </c>
      <c r="Q47" s="17">
        <f t="shared" si="21"/>
        <v>0.006833360100000001</v>
      </c>
      <c r="R47" s="17">
        <f t="shared" si="22"/>
        <v>0.031615918</v>
      </c>
      <c r="S47" s="17">
        <f t="shared" si="23"/>
        <v>0.1492208</v>
      </c>
      <c r="T47" s="17">
        <f t="shared" si="24"/>
        <v>0.134089012</v>
      </c>
      <c r="U47" s="17">
        <f t="shared" si="25"/>
        <v>0.0507997458603</v>
      </c>
      <c r="V47" s="17">
        <f t="shared" si="26"/>
        <v>0.4302163687603</v>
      </c>
      <c r="W47" s="17">
        <f t="shared" si="27"/>
        <v>0.0441664944</v>
      </c>
      <c r="X47" s="17">
        <f t="shared" si="28"/>
        <v>0.00526178475</v>
      </c>
      <c r="Y47" s="17">
        <f t="shared" si="29"/>
        <v>0.023332586</v>
      </c>
      <c r="Z47" s="17">
        <f t="shared" si="30"/>
        <v>0.116938008</v>
      </c>
      <c r="AA47" s="17">
        <f t="shared" si="31"/>
        <v>0.118059368</v>
      </c>
      <c r="AB47" s="17">
        <f t="shared" si="32"/>
        <v>0.046157443756800004</v>
      </c>
      <c r="AC47" s="17">
        <f t="shared" si="33"/>
        <v>0.35391568490680003</v>
      </c>
    </row>
    <row r="48" spans="1:29" ht="12.75">
      <c r="A48" s="17">
        <f t="shared" si="5"/>
        <v>14.848003</v>
      </c>
      <c r="B48" s="17">
        <f t="shared" si="6"/>
        <v>0.0820658328</v>
      </c>
      <c r="C48" s="17">
        <f t="shared" si="7"/>
        <v>0.011341551</v>
      </c>
      <c r="D48" s="17">
        <f t="shared" si="8"/>
        <v>0.054819688</v>
      </c>
      <c r="E48" s="17">
        <f t="shared" si="9"/>
        <v>0.24421985999999998</v>
      </c>
      <c r="F48" s="17">
        <f t="shared" si="10"/>
        <v>0.170236288</v>
      </c>
      <c r="G48" s="17">
        <f t="shared" si="11"/>
        <v>0.061286426168100004</v>
      </c>
      <c r="H48" s="17">
        <f t="shared" si="12"/>
        <v>0.6239696459681</v>
      </c>
      <c r="I48" s="17">
        <f t="shared" si="13"/>
        <v>0.068553876</v>
      </c>
      <c r="J48" s="17">
        <f t="shared" si="14"/>
        <v>0.0085525416</v>
      </c>
      <c r="K48" s="17">
        <f t="shared" si="15"/>
        <v>0.040161848</v>
      </c>
      <c r="L48" s="17">
        <f t="shared" si="16"/>
        <v>0.18765028</v>
      </c>
      <c r="M48" s="17">
        <f t="shared" si="17"/>
        <v>0.150996346</v>
      </c>
      <c r="N48" s="17">
        <f t="shared" si="18"/>
        <v>0.0556541065662</v>
      </c>
      <c r="O48" s="17">
        <f t="shared" si="19"/>
        <v>0.5115689981661999</v>
      </c>
      <c r="P48" s="17">
        <f t="shared" si="20"/>
        <v>0.054190488</v>
      </c>
      <c r="Q48" s="17">
        <f t="shared" si="21"/>
        <v>0.00657474105</v>
      </c>
      <c r="R48" s="17">
        <f t="shared" si="22"/>
        <v>0.029811180000000003</v>
      </c>
      <c r="S48" s="17">
        <f t="shared" si="23"/>
        <v>0.146334368</v>
      </c>
      <c r="T48" s="17">
        <f t="shared" si="24"/>
        <v>0.13365394</v>
      </c>
      <c r="U48" s="17">
        <f t="shared" si="25"/>
        <v>0.050660612904</v>
      </c>
      <c r="V48" s="17">
        <f t="shared" si="26"/>
        <v>0.42122532995399997</v>
      </c>
      <c r="W48" s="17">
        <f t="shared" si="27"/>
        <v>0.042173270400000004</v>
      </c>
      <c r="X48" s="17">
        <f t="shared" si="28"/>
        <v>0.00509823255</v>
      </c>
      <c r="Y48" s="17">
        <f t="shared" si="29"/>
        <v>0.02226212</v>
      </c>
      <c r="Z48" s="17">
        <f t="shared" si="30"/>
        <v>0.11465796</v>
      </c>
      <c r="AA48" s="17">
        <f t="shared" si="31"/>
        <v>0.117590588</v>
      </c>
      <c r="AB48" s="17">
        <f t="shared" si="32"/>
        <v>0.0460284353067</v>
      </c>
      <c r="AC48" s="17">
        <f t="shared" si="33"/>
        <v>0.34781060625669996</v>
      </c>
    </row>
    <row r="49" spans="1:29" ht="12.75">
      <c r="A49" s="17">
        <f t="shared" si="5"/>
        <v>15.848003</v>
      </c>
      <c r="B49" s="17">
        <f t="shared" si="6"/>
        <v>0.0726464496</v>
      </c>
      <c r="C49" s="17">
        <f t="shared" si="7"/>
        <v>0.0106335036</v>
      </c>
      <c r="D49" s="17">
        <f t="shared" si="8"/>
        <v>0.049248839999999995</v>
      </c>
      <c r="E49" s="17">
        <f t="shared" si="9"/>
        <v>0.24044086</v>
      </c>
      <c r="F49" s="17">
        <f t="shared" si="10"/>
        <v>0.17001908</v>
      </c>
      <c r="G49" s="17">
        <f t="shared" si="11"/>
        <v>0.061122475971</v>
      </c>
      <c r="H49" s="17">
        <f t="shared" si="12"/>
        <v>0.6041112091709999</v>
      </c>
      <c r="I49" s="17">
        <f t="shared" si="13"/>
        <v>0.062846616</v>
      </c>
      <c r="J49" s="17">
        <f t="shared" si="14"/>
        <v>0.008130954</v>
      </c>
      <c r="K49" s="17">
        <f t="shared" si="15"/>
        <v>0.037075762</v>
      </c>
      <c r="L49" s="17">
        <f t="shared" si="16"/>
        <v>0.1839379</v>
      </c>
      <c r="M49" s="17">
        <f t="shared" si="17"/>
        <v>0.15061076</v>
      </c>
      <c r="N49" s="17">
        <f t="shared" si="18"/>
        <v>0.0554967426984</v>
      </c>
      <c r="O49" s="17">
        <f t="shared" si="19"/>
        <v>0.4980987346984</v>
      </c>
      <c r="P49" s="17">
        <f t="shared" si="20"/>
        <v>0.0508336224</v>
      </c>
      <c r="Q49" s="17">
        <f t="shared" si="21"/>
        <v>0.0063115626</v>
      </c>
      <c r="R49" s="17">
        <f t="shared" si="22"/>
        <v>0.028004804</v>
      </c>
      <c r="S49" s="17">
        <f t="shared" si="23"/>
        <v>0.14322042</v>
      </c>
      <c r="T49" s="17">
        <f t="shared" si="24"/>
        <v>0.13317996</v>
      </c>
      <c r="U49" s="17">
        <f t="shared" si="25"/>
        <v>0.050511985473</v>
      </c>
      <c r="V49" s="17">
        <f t="shared" si="26"/>
        <v>0.412062354473</v>
      </c>
      <c r="W49" s="17">
        <f t="shared" si="27"/>
        <v>0.0401942904</v>
      </c>
      <c r="X49" s="17">
        <f t="shared" si="28"/>
        <v>0.0049302207</v>
      </c>
      <c r="Y49" s="17">
        <f t="shared" si="29"/>
        <v>0.021177634</v>
      </c>
      <c r="Z49" s="17">
        <f t="shared" si="30"/>
        <v>0.11222304999999999</v>
      </c>
      <c r="AA49" s="17">
        <f t="shared" si="31"/>
        <v>0.117082872</v>
      </c>
      <c r="AB49" s="17">
        <f t="shared" si="32"/>
        <v>0.0458896843695</v>
      </c>
      <c r="AC49" s="17">
        <f t="shared" si="33"/>
        <v>0.3414977514695</v>
      </c>
    </row>
    <row r="50" spans="1:29" ht="12.75">
      <c r="A50" s="17">
        <f t="shared" si="5"/>
        <v>16.848003</v>
      </c>
      <c r="B50" s="17">
        <f t="shared" si="6"/>
        <v>0.0643748592</v>
      </c>
      <c r="C50" s="17">
        <f t="shared" si="7"/>
        <v>0.00993869175</v>
      </c>
      <c r="D50" s="17">
        <f t="shared" si="8"/>
        <v>0.04393296</v>
      </c>
      <c r="E50" s="17">
        <f t="shared" si="9"/>
        <v>0.23613532</v>
      </c>
      <c r="F50" s="17">
        <f t="shared" si="10"/>
        <v>0.16977246</v>
      </c>
      <c r="G50" s="17">
        <f t="shared" si="11"/>
        <v>0.06094764723</v>
      </c>
      <c r="H50" s="17">
        <f t="shared" si="12"/>
        <v>0.58510193818</v>
      </c>
      <c r="I50" s="17">
        <f t="shared" si="13"/>
        <v>0.0575548608</v>
      </c>
      <c r="J50" s="17">
        <f t="shared" si="14"/>
        <v>0.0077100684</v>
      </c>
      <c r="K50" s="17">
        <f t="shared" si="15"/>
        <v>0.034061764</v>
      </c>
      <c r="L50" s="17">
        <f t="shared" si="16"/>
        <v>0.17987535999999998</v>
      </c>
      <c r="M50" s="17">
        <f t="shared" si="17"/>
        <v>0.15018656</v>
      </c>
      <c r="N50" s="17">
        <f t="shared" si="18"/>
        <v>0.0553284922863</v>
      </c>
      <c r="O50" s="17">
        <f t="shared" si="19"/>
        <v>0.4847171054863</v>
      </c>
      <c r="P50" s="17">
        <f t="shared" si="20"/>
        <v>0.047607244800000004</v>
      </c>
      <c r="Q50" s="17">
        <f t="shared" si="21"/>
        <v>0.00604569315</v>
      </c>
      <c r="R50" s="17">
        <f t="shared" si="22"/>
        <v>0.026211440000000003</v>
      </c>
      <c r="S50" s="17">
        <f t="shared" si="23"/>
        <v>0.139878366</v>
      </c>
      <c r="T50" s="17">
        <f t="shared" si="24"/>
        <v>0.13266468</v>
      </c>
      <c r="U50" s="17">
        <f t="shared" si="25"/>
        <v>0.050353225535400004</v>
      </c>
      <c r="V50" s="17">
        <f t="shared" si="26"/>
        <v>0.4027606494854</v>
      </c>
      <c r="W50" s="17">
        <f t="shared" si="27"/>
        <v>0.038243707200000004</v>
      </c>
      <c r="X50" s="17">
        <f t="shared" si="28"/>
        <v>0.0047588331</v>
      </c>
      <c r="Y50" s="17">
        <f t="shared" si="29"/>
        <v>0.02008755</v>
      </c>
      <c r="Z50" s="17">
        <f t="shared" si="30"/>
        <v>0.10963828</v>
      </c>
      <c r="AA50" s="17">
        <f t="shared" si="31"/>
        <v>0.116535774</v>
      </c>
      <c r="AB50" s="17">
        <f t="shared" si="32"/>
        <v>0.0457423170015</v>
      </c>
      <c r="AC50" s="17">
        <f t="shared" si="33"/>
        <v>0.33500646130149997</v>
      </c>
    </row>
    <row r="51" spans="1:29" ht="12.75">
      <c r="A51" s="17">
        <f t="shared" si="5"/>
        <v>17.848005</v>
      </c>
      <c r="B51" s="17">
        <f t="shared" si="6"/>
        <v>0.057125952</v>
      </c>
      <c r="C51" s="17">
        <f t="shared" si="7"/>
        <v>0.009261711</v>
      </c>
      <c r="D51" s="17">
        <f t="shared" si="8"/>
        <v>0.03891581399999999</v>
      </c>
      <c r="E51" s="17">
        <f t="shared" si="9"/>
        <v>0.23125652</v>
      </c>
      <c r="F51" s="17">
        <f t="shared" si="10"/>
        <v>0.16949316</v>
      </c>
      <c r="G51" s="17">
        <f t="shared" si="11"/>
        <v>0.0607609078935</v>
      </c>
      <c r="H51" s="17">
        <f t="shared" si="12"/>
        <v>0.5668140648935</v>
      </c>
      <c r="I51" s="17">
        <f t="shared" si="13"/>
        <v>0.0526738152</v>
      </c>
      <c r="J51" s="17">
        <f t="shared" si="14"/>
        <v>0.0072926655</v>
      </c>
      <c r="K51" s="17">
        <f t="shared" si="15"/>
        <v>0.031143878</v>
      </c>
      <c r="L51" s="17">
        <f t="shared" si="16"/>
        <v>0.175452768</v>
      </c>
      <c r="M51" s="17">
        <f t="shared" si="17"/>
        <v>0.14972172</v>
      </c>
      <c r="N51" s="17">
        <f t="shared" si="18"/>
        <v>0.055149477336</v>
      </c>
      <c r="O51" s="17">
        <f t="shared" si="19"/>
        <v>0.47143432403600005</v>
      </c>
      <c r="P51" s="17">
        <f t="shared" si="20"/>
        <v>0.044524668</v>
      </c>
      <c r="Q51" s="17">
        <f t="shared" si="21"/>
        <v>0.0057785865</v>
      </c>
      <c r="R51" s="17">
        <f t="shared" si="22"/>
        <v>0.024444815999999998</v>
      </c>
      <c r="S51" s="17">
        <f t="shared" si="23"/>
        <v>0.136310708</v>
      </c>
      <c r="T51" s="17">
        <f t="shared" si="24"/>
        <v>0.1321067</v>
      </c>
      <c r="U51" s="17">
        <f t="shared" si="25"/>
        <v>0.0501842150853</v>
      </c>
      <c r="V51" s="17">
        <f t="shared" si="26"/>
        <v>0.39334969358530003</v>
      </c>
      <c r="W51" s="17">
        <f t="shared" si="27"/>
        <v>0.036333002399999995</v>
      </c>
      <c r="X51" s="17">
        <f t="shared" si="28"/>
        <v>0.0045850395000000006</v>
      </c>
      <c r="Y51" s="17">
        <f t="shared" si="29"/>
        <v>0.0189992168</v>
      </c>
      <c r="Z51" s="17">
        <f t="shared" si="30"/>
        <v>0.106908772</v>
      </c>
      <c r="AA51" s="17">
        <f t="shared" si="31"/>
        <v>0.11594770000000001</v>
      </c>
      <c r="AB51" s="17">
        <f t="shared" si="32"/>
        <v>0.045585839178</v>
      </c>
      <c r="AC51" s="17">
        <f t="shared" si="33"/>
        <v>0.328359569878</v>
      </c>
    </row>
    <row r="52" spans="1:29" ht="12.75">
      <c r="A52" s="17">
        <f t="shared" si="5"/>
        <v>18.848005</v>
      </c>
      <c r="B52" s="17">
        <f t="shared" si="6"/>
        <v>0.0507796368</v>
      </c>
      <c r="C52" s="17">
        <f t="shared" si="7"/>
        <v>0.0086063814</v>
      </c>
      <c r="D52" s="17">
        <f t="shared" si="8"/>
        <v>0.034228574</v>
      </c>
      <c r="E52" s="17">
        <f t="shared" si="9"/>
        <v>0.22575652</v>
      </c>
      <c r="F52" s="17">
        <f t="shared" si="10"/>
        <v>0.16917722</v>
      </c>
      <c r="G52" s="17">
        <f t="shared" si="11"/>
        <v>0.0605625219747</v>
      </c>
      <c r="H52" s="17">
        <f t="shared" si="12"/>
        <v>0.5491108541747</v>
      </c>
      <c r="I52" s="17">
        <f t="shared" si="13"/>
        <v>0.0481902336</v>
      </c>
      <c r="J52" s="17">
        <f t="shared" si="14"/>
        <v>0.0068812872</v>
      </c>
      <c r="K52" s="17">
        <f t="shared" si="15"/>
        <v>0.028341848</v>
      </c>
      <c r="L52" s="17">
        <f t="shared" si="16"/>
        <v>0.17066206</v>
      </c>
      <c r="M52" s="17">
        <f t="shared" si="17"/>
        <v>0.149213528</v>
      </c>
      <c r="N52" s="17">
        <f t="shared" si="18"/>
        <v>0.0549597018477</v>
      </c>
      <c r="O52" s="17">
        <f t="shared" si="19"/>
        <v>0.4582486586477</v>
      </c>
      <c r="P52" s="17">
        <f t="shared" si="20"/>
        <v>0.041595789599999995</v>
      </c>
      <c r="Q52" s="17">
        <f t="shared" si="21"/>
        <v>0.0055119500999999994</v>
      </c>
      <c r="R52" s="17">
        <f t="shared" si="22"/>
        <v>0.02271649</v>
      </c>
      <c r="S52" s="17">
        <f t="shared" si="23"/>
        <v>0.13252024</v>
      </c>
      <c r="T52" s="17">
        <f t="shared" si="24"/>
        <v>0.13150492</v>
      </c>
      <c r="U52" s="17">
        <f t="shared" si="25"/>
        <v>0.050005580153999994</v>
      </c>
      <c r="V52" s="17">
        <f t="shared" si="26"/>
        <v>0.38385496985399997</v>
      </c>
      <c r="W52" s="17">
        <f t="shared" si="27"/>
        <v>0.0344715912</v>
      </c>
      <c r="X52" s="17">
        <f t="shared" si="28"/>
        <v>0.0044098005</v>
      </c>
      <c r="Y52" s="17">
        <f t="shared" si="29"/>
        <v>0.017920096</v>
      </c>
      <c r="Z52" s="17">
        <f t="shared" si="30"/>
        <v>0.1040394</v>
      </c>
      <c r="AA52" s="17">
        <f t="shared" si="31"/>
        <v>0.11531738000000001</v>
      </c>
      <c r="AB52" s="17">
        <f t="shared" si="32"/>
        <v>0.0454201208925</v>
      </c>
      <c r="AC52" s="17">
        <f t="shared" si="33"/>
        <v>0.3215783885925</v>
      </c>
    </row>
    <row r="53" spans="1:29" ht="12.75">
      <c r="A53" s="17">
        <f t="shared" si="5"/>
        <v>19.848003</v>
      </c>
      <c r="B53" s="17">
        <f t="shared" si="6"/>
        <v>0.0452240736</v>
      </c>
      <c r="C53" s="17">
        <f t="shared" si="7"/>
        <v>0.007975665</v>
      </c>
      <c r="D53" s="17">
        <f t="shared" si="8"/>
        <v>0.029890688</v>
      </c>
      <c r="E53" s="17">
        <f t="shared" si="9"/>
        <v>0.21959392</v>
      </c>
      <c r="F53" s="17">
        <f t="shared" si="10"/>
        <v>0.1688207</v>
      </c>
      <c r="G53" s="17">
        <f t="shared" si="11"/>
        <v>0.0603522454614</v>
      </c>
      <c r="H53" s="17">
        <f t="shared" si="12"/>
        <v>0.5318572920614</v>
      </c>
      <c r="I53" s="17">
        <f t="shared" si="13"/>
        <v>0.044086512</v>
      </c>
      <c r="J53" s="17">
        <f t="shared" si="14"/>
        <v>0.0064780884</v>
      </c>
      <c r="K53" s="17">
        <f t="shared" si="15"/>
        <v>0.025672875999999997</v>
      </c>
      <c r="L53" s="17">
        <f t="shared" si="16"/>
        <v>0.16549896</v>
      </c>
      <c r="M53" s="17">
        <f t="shared" si="17"/>
        <v>0.148658708</v>
      </c>
      <c r="N53" s="17">
        <f t="shared" si="18"/>
        <v>0.0547584097836</v>
      </c>
      <c r="O53" s="17">
        <f t="shared" si="19"/>
        <v>0.44515355418360003</v>
      </c>
      <c r="P53" s="17">
        <f t="shared" si="20"/>
        <v>0.0388251048</v>
      </c>
      <c r="Q53" s="17">
        <f t="shared" si="21"/>
        <v>0.0052471392000000006</v>
      </c>
      <c r="R53" s="17">
        <f t="shared" si="22"/>
        <v>0.021037894</v>
      </c>
      <c r="S53" s="17">
        <f t="shared" si="23"/>
        <v>0.128513274</v>
      </c>
      <c r="T53" s="17">
        <f t="shared" si="24"/>
        <v>0.130856486</v>
      </c>
      <c r="U53" s="17">
        <f t="shared" si="25"/>
        <v>0.0498168247167</v>
      </c>
      <c r="V53" s="17">
        <f t="shared" si="26"/>
        <v>0.3742967227167</v>
      </c>
      <c r="W53" s="17">
        <f t="shared" si="27"/>
        <v>0.0326673336</v>
      </c>
      <c r="X53" s="17">
        <f t="shared" si="28"/>
        <v>0.004233969</v>
      </c>
      <c r="Y53" s="17">
        <f t="shared" si="29"/>
        <v>0.016855296</v>
      </c>
      <c r="Z53" s="17">
        <f t="shared" si="30"/>
        <v>0.10103782</v>
      </c>
      <c r="AA53" s="17">
        <f t="shared" si="31"/>
        <v>0.114643434</v>
      </c>
      <c r="AB53" s="17">
        <f t="shared" si="32"/>
        <v>0.045245412157500005</v>
      </c>
      <c r="AC53" s="17">
        <f t="shared" si="33"/>
        <v>0.31468326475749997</v>
      </c>
    </row>
    <row r="54" spans="1:29" ht="12.75">
      <c r="A54" s="17">
        <f t="shared" si="5"/>
        <v>20.848003</v>
      </c>
      <c r="B54" s="17">
        <f t="shared" si="6"/>
        <v>0.0403580616</v>
      </c>
      <c r="C54" s="17">
        <f t="shared" si="7"/>
        <v>0.0073718677499999994</v>
      </c>
      <c r="D54" s="17">
        <f t="shared" si="8"/>
        <v>0.025910858</v>
      </c>
      <c r="E54" s="17">
        <f t="shared" si="9"/>
        <v>0.21273272</v>
      </c>
      <c r="F54" s="17">
        <f t="shared" si="10"/>
        <v>0.16841952000000002</v>
      </c>
      <c r="G54" s="17">
        <f t="shared" si="11"/>
        <v>0.06012993234630001</v>
      </c>
      <c r="H54" s="17">
        <f t="shared" si="12"/>
        <v>0.5149229596963001</v>
      </c>
      <c r="I54" s="17">
        <f t="shared" si="13"/>
        <v>0.040339207200000005</v>
      </c>
      <c r="J54" s="17">
        <f t="shared" si="14"/>
        <v>0.0060848775</v>
      </c>
      <c r="K54" s="17">
        <f t="shared" si="15"/>
        <v>0.023147570000000003</v>
      </c>
      <c r="L54" s="17">
        <f t="shared" si="16"/>
        <v>0.15996628</v>
      </c>
      <c r="M54" s="17">
        <f t="shared" si="17"/>
        <v>0.14805392</v>
      </c>
      <c r="N54" s="17">
        <f t="shared" si="18"/>
        <v>0.0545466111942</v>
      </c>
      <c r="O54" s="17">
        <f t="shared" si="19"/>
        <v>0.4321384658942</v>
      </c>
      <c r="P54" s="17">
        <f t="shared" si="20"/>
        <v>0.03621462</v>
      </c>
      <c r="Q54" s="17">
        <f t="shared" si="21"/>
        <v>0.00498533475</v>
      </c>
      <c r="R54" s="17">
        <f t="shared" si="22"/>
        <v>0.019416720000000002</v>
      </c>
      <c r="S54" s="17">
        <f t="shared" si="23"/>
        <v>0.12429748</v>
      </c>
      <c r="T54" s="17">
        <f t="shared" si="24"/>
        <v>0.13015874</v>
      </c>
      <c r="U54" s="17">
        <f t="shared" si="25"/>
        <v>0.049617680760000005</v>
      </c>
      <c r="V54" s="17">
        <f t="shared" si="26"/>
        <v>0.36469057551</v>
      </c>
      <c r="W54" s="17">
        <f t="shared" si="27"/>
        <v>0.0309259752</v>
      </c>
      <c r="X54" s="17">
        <f t="shared" si="28"/>
        <v>0.0040583361000000005</v>
      </c>
      <c r="Y54" s="17">
        <f t="shared" si="29"/>
        <v>0.0158115392</v>
      </c>
      <c r="Z54" s="17">
        <f t="shared" si="30"/>
        <v>0.097911232</v>
      </c>
      <c r="AA54" s="17">
        <f t="shared" si="31"/>
        <v>0.11392473400000001</v>
      </c>
      <c r="AB54" s="17">
        <f t="shared" si="32"/>
        <v>0.045061206947699994</v>
      </c>
      <c r="AC54" s="17">
        <f t="shared" si="33"/>
        <v>0.3076930234477</v>
      </c>
    </row>
    <row r="55" spans="1:29" ht="12.75">
      <c r="A55" s="17">
        <f t="shared" si="5"/>
        <v>21.848003</v>
      </c>
      <c r="B55" s="17">
        <f t="shared" si="6"/>
        <v>0.0360911088</v>
      </c>
      <c r="C55" s="17">
        <f t="shared" si="7"/>
        <v>0.00679663425</v>
      </c>
      <c r="D55" s="17">
        <f t="shared" si="8"/>
        <v>0.02228887</v>
      </c>
      <c r="E55" s="17">
        <f t="shared" si="9"/>
        <v>0.2051462</v>
      </c>
      <c r="F55" s="17">
        <f t="shared" si="10"/>
        <v>0.16796972</v>
      </c>
      <c r="G55" s="17">
        <f t="shared" si="11"/>
        <v>0.059896354667999994</v>
      </c>
      <c r="H55" s="17">
        <f t="shared" si="12"/>
        <v>0.49818888771799996</v>
      </c>
      <c r="I55" s="17">
        <f t="shared" si="13"/>
        <v>0.036923983199999996</v>
      </c>
      <c r="J55" s="17">
        <f t="shared" si="14"/>
        <v>0.0057032775</v>
      </c>
      <c r="K55" s="17">
        <f t="shared" si="15"/>
        <v>0.020774277999999997</v>
      </c>
      <c r="L55" s="17">
        <f t="shared" si="16"/>
        <v>0.15407048</v>
      </c>
      <c r="M55" s="17">
        <f t="shared" si="17"/>
        <v>0.14739636</v>
      </c>
      <c r="N55" s="17">
        <f t="shared" si="18"/>
        <v>0.054323536041</v>
      </c>
      <c r="O55" s="17">
        <f t="shared" si="19"/>
        <v>0.419191914741</v>
      </c>
      <c r="P55" s="17">
        <f t="shared" si="20"/>
        <v>0.03376254</v>
      </c>
      <c r="Q55" s="17">
        <f t="shared" si="21"/>
        <v>0.004727811</v>
      </c>
      <c r="R55" s="17">
        <f t="shared" si="22"/>
        <v>0.017860442</v>
      </c>
      <c r="S55" s="17">
        <f t="shared" si="23"/>
        <v>0.11988576999999999</v>
      </c>
      <c r="T55" s="17">
        <f t="shared" si="24"/>
        <v>0.12941009</v>
      </c>
      <c r="U55" s="17">
        <f t="shared" si="25"/>
        <v>0.04940815428420001</v>
      </c>
      <c r="V55" s="17">
        <f t="shared" si="26"/>
        <v>0.3550548072842</v>
      </c>
      <c r="W55" s="17">
        <f t="shared" si="27"/>
        <v>0.029251987200000003</v>
      </c>
      <c r="X55" s="17">
        <f t="shared" si="28"/>
        <v>0.00388362705</v>
      </c>
      <c r="Y55" s="17">
        <f t="shared" si="29"/>
        <v>0.014793582</v>
      </c>
      <c r="Z55" s="17">
        <f t="shared" si="30"/>
        <v>0.09467064800000001</v>
      </c>
      <c r="AA55" s="17">
        <f t="shared" si="31"/>
        <v>0.11316</v>
      </c>
      <c r="AB55" s="17">
        <f t="shared" si="32"/>
        <v>0.0448675112634</v>
      </c>
      <c r="AC55" s="17">
        <f t="shared" si="33"/>
        <v>0.3006273555134</v>
      </c>
    </row>
    <row r="56" spans="1:29" ht="12.75">
      <c r="A56" s="17">
        <f t="shared" si="5"/>
        <v>22.848001</v>
      </c>
      <c r="B56" s="17">
        <f t="shared" si="6"/>
        <v>0.0323438304</v>
      </c>
      <c r="C56" s="17">
        <f t="shared" si="7"/>
        <v>0.006251035049999999</v>
      </c>
      <c r="D56" s="17">
        <f t="shared" si="8"/>
        <v>0.0190169146</v>
      </c>
      <c r="E56" s="17">
        <f t="shared" si="9"/>
        <v>0.19682270000000002</v>
      </c>
      <c r="F56" s="17">
        <f t="shared" si="10"/>
        <v>0.1674665</v>
      </c>
      <c r="G56" s="17">
        <f t="shared" si="11"/>
        <v>0.0596492303124</v>
      </c>
      <c r="H56" s="17">
        <f t="shared" si="12"/>
        <v>0.4815502103624</v>
      </c>
      <c r="I56" s="17">
        <f t="shared" si="13"/>
        <v>0.033815510400000005</v>
      </c>
      <c r="J56" s="17">
        <f t="shared" si="14"/>
        <v>0.00533447925</v>
      </c>
      <c r="K56" s="17">
        <f t="shared" si="15"/>
        <v>0.0185577</v>
      </c>
      <c r="L56" s="17">
        <f t="shared" si="16"/>
        <v>0.147824212</v>
      </c>
      <c r="M56" s="17">
        <f t="shared" si="17"/>
        <v>0.146683168</v>
      </c>
      <c r="N56" s="17">
        <f t="shared" si="18"/>
        <v>0.0540888203058</v>
      </c>
      <c r="O56" s="17">
        <f t="shared" si="19"/>
        <v>0.4063038899558</v>
      </c>
      <c r="P56" s="17">
        <f t="shared" si="20"/>
        <v>0.0314663088</v>
      </c>
      <c r="Q56" s="17">
        <f t="shared" si="21"/>
        <v>0.0044754825</v>
      </c>
      <c r="R56" s="17">
        <f t="shared" si="22"/>
        <v>0.0163743</v>
      </c>
      <c r="S56" s="17">
        <f t="shared" si="23"/>
        <v>0.11528949399999999</v>
      </c>
      <c r="T56" s="17">
        <f t="shared" si="24"/>
        <v>0.12860834000000002</v>
      </c>
      <c r="U56" s="17">
        <f t="shared" si="25"/>
        <v>0.049189139334</v>
      </c>
      <c r="V56" s="17">
        <f t="shared" si="26"/>
        <v>0.345403064634</v>
      </c>
      <c r="W56" s="17">
        <f t="shared" si="27"/>
        <v>0.0276478488</v>
      </c>
      <c r="X56" s="17">
        <f t="shared" si="28"/>
        <v>0.0037105942499999997</v>
      </c>
      <c r="Y56" s="17">
        <f t="shared" si="29"/>
        <v>0.0138052166</v>
      </c>
      <c r="Z56" s="17">
        <f t="shared" si="30"/>
        <v>0.09132448</v>
      </c>
      <c r="AA56" s="17">
        <f t="shared" si="31"/>
        <v>0.11234786</v>
      </c>
      <c r="AB56" s="17">
        <f t="shared" si="32"/>
        <v>0.0446653291548</v>
      </c>
      <c r="AC56" s="17">
        <f t="shared" si="33"/>
        <v>0.2935013288048</v>
      </c>
    </row>
    <row r="57" spans="1:29" ht="12.75">
      <c r="A57" s="17">
        <f t="shared" si="5"/>
        <v>23.848001</v>
      </c>
      <c r="B57" s="17">
        <f t="shared" si="6"/>
        <v>0.029046981599999997</v>
      </c>
      <c r="C57" s="17">
        <f t="shared" si="7"/>
        <v>0.00573571905</v>
      </c>
      <c r="D57" s="17">
        <f t="shared" si="8"/>
        <v>0.01608114</v>
      </c>
      <c r="E57" s="17">
        <f t="shared" si="9"/>
        <v>0.18776589</v>
      </c>
      <c r="F57" s="17">
        <f t="shared" si="10"/>
        <v>0.16690386000000001</v>
      </c>
      <c r="G57" s="17">
        <f t="shared" si="11"/>
        <v>0.059390329368</v>
      </c>
      <c r="H57" s="17">
        <f t="shared" si="12"/>
        <v>0.464923920018</v>
      </c>
      <c r="I57" s="17">
        <f t="shared" si="13"/>
        <v>0.0309888696</v>
      </c>
      <c r="J57" s="17">
        <f t="shared" si="14"/>
        <v>0.004979481</v>
      </c>
      <c r="K57" s="17">
        <f t="shared" si="15"/>
        <v>0.016499012</v>
      </c>
      <c r="L57" s="17">
        <f t="shared" si="16"/>
        <v>0.141248492</v>
      </c>
      <c r="M57" s="17">
        <f t="shared" si="17"/>
        <v>0.14590851999999999</v>
      </c>
      <c r="N57" s="17">
        <f t="shared" si="18"/>
        <v>0.0538433400324</v>
      </c>
      <c r="O57" s="17">
        <f t="shared" si="19"/>
        <v>0.3934677146324</v>
      </c>
      <c r="P57" s="17">
        <f t="shared" si="20"/>
        <v>0.0293205168</v>
      </c>
      <c r="Q57" s="17">
        <f t="shared" si="21"/>
        <v>0.004229162250000001</v>
      </c>
      <c r="R57" s="17">
        <f t="shared" si="22"/>
        <v>0.014962504</v>
      </c>
      <c r="S57" s="17">
        <f t="shared" si="23"/>
        <v>0.110527606</v>
      </c>
      <c r="T57" s="17">
        <f t="shared" si="24"/>
        <v>0.12775097200000002</v>
      </c>
      <c r="U57" s="17">
        <f t="shared" si="25"/>
        <v>0.0489587238138</v>
      </c>
      <c r="V57" s="17">
        <f t="shared" si="26"/>
        <v>0.3357494848638</v>
      </c>
      <c r="W57" s="17">
        <f t="shared" si="27"/>
        <v>0.0261155064</v>
      </c>
      <c r="X57" s="17">
        <f t="shared" si="28"/>
        <v>0.0035397492</v>
      </c>
      <c r="Y57" s="17">
        <f t="shared" si="29"/>
        <v>0.012850336</v>
      </c>
      <c r="Z57" s="17">
        <f t="shared" si="30"/>
        <v>0.0878861</v>
      </c>
      <c r="AA57" s="17">
        <f t="shared" si="31"/>
        <v>0.111486388</v>
      </c>
      <c r="AB57" s="17">
        <f t="shared" si="32"/>
        <v>0.0444530245401</v>
      </c>
      <c r="AC57" s="17">
        <f t="shared" si="33"/>
        <v>0.2863311041401</v>
      </c>
    </row>
    <row r="58" spans="1:29" ht="12.75">
      <c r="A58" s="17">
        <f t="shared" si="5"/>
        <v>24.848001</v>
      </c>
      <c r="B58" s="17">
        <f t="shared" si="6"/>
        <v>0.0261403872</v>
      </c>
      <c r="C58" s="17">
        <f t="shared" si="7"/>
        <v>0.0052505238</v>
      </c>
      <c r="D58" s="17">
        <f t="shared" si="8"/>
        <v>0.0134635</v>
      </c>
      <c r="E58" s="17">
        <f t="shared" si="9"/>
        <v>0.17800033999999998</v>
      </c>
      <c r="F58" s="17">
        <f t="shared" si="10"/>
        <v>0.16627648</v>
      </c>
      <c r="G58" s="17">
        <f t="shared" si="11"/>
        <v>0.059118905797499996</v>
      </c>
      <c r="H58" s="17">
        <f t="shared" si="12"/>
        <v>0.4482501367975</v>
      </c>
      <c r="I58" s="17">
        <f t="shared" si="13"/>
        <v>0.0284196576</v>
      </c>
      <c r="J58" s="17">
        <f t="shared" si="14"/>
        <v>0.004639140450000001</v>
      </c>
      <c r="K58" s="17">
        <f t="shared" si="15"/>
        <v>0.014597699</v>
      </c>
      <c r="L58" s="17">
        <f t="shared" si="16"/>
        <v>0.13437143</v>
      </c>
      <c r="M58" s="17">
        <f t="shared" si="17"/>
        <v>0.145070688</v>
      </c>
      <c r="N58" s="17">
        <f t="shared" si="18"/>
        <v>0.053585967164400006</v>
      </c>
      <c r="O58" s="17">
        <f t="shared" si="19"/>
        <v>0.3806845822144</v>
      </c>
      <c r="P58" s="17">
        <f t="shared" si="20"/>
        <v>0.0273191016</v>
      </c>
      <c r="Q58" s="17">
        <f t="shared" si="21"/>
        <v>0.00398963805</v>
      </c>
      <c r="R58" s="17">
        <f t="shared" si="22"/>
        <v>0.013627492</v>
      </c>
      <c r="S58" s="17">
        <f t="shared" si="23"/>
        <v>0.10561910000000001</v>
      </c>
      <c r="T58" s="17">
        <f t="shared" si="24"/>
        <v>0.126835448</v>
      </c>
      <c r="U58" s="17">
        <f t="shared" si="25"/>
        <v>0.0487191998382</v>
      </c>
      <c r="V58" s="17">
        <f t="shared" si="26"/>
        <v>0.32610997948820003</v>
      </c>
      <c r="W58" s="17">
        <f t="shared" si="27"/>
        <v>0.0246554712</v>
      </c>
      <c r="X58" s="17">
        <f t="shared" si="28"/>
        <v>0.0033719502</v>
      </c>
      <c r="Y58" s="17">
        <f t="shared" si="29"/>
        <v>0.011931528</v>
      </c>
      <c r="Z58" s="17">
        <f t="shared" si="30"/>
        <v>0.084366828</v>
      </c>
      <c r="AA58" s="17">
        <f t="shared" si="31"/>
        <v>0.110575746</v>
      </c>
      <c r="AB58" s="17">
        <f t="shared" si="32"/>
        <v>0.044231851482</v>
      </c>
      <c r="AC58" s="17">
        <f t="shared" si="33"/>
        <v>0.279133374882</v>
      </c>
    </row>
    <row r="59" spans="1:29" ht="12.75">
      <c r="A59" s="17">
        <f t="shared" si="5"/>
        <v>25.848001</v>
      </c>
      <c r="B59" s="17">
        <f t="shared" si="6"/>
        <v>0.0235723536</v>
      </c>
      <c r="C59" s="17">
        <f t="shared" si="7"/>
        <v>0.0047954385</v>
      </c>
      <c r="D59" s="17">
        <f t="shared" si="8"/>
        <v>0.01114323</v>
      </c>
      <c r="E59" s="17">
        <f t="shared" si="9"/>
        <v>0.167574288</v>
      </c>
      <c r="F59" s="17">
        <f t="shared" si="10"/>
        <v>0.16557873999999997</v>
      </c>
      <c r="G59" s="17">
        <f t="shared" si="11"/>
        <v>0.058834809593400005</v>
      </c>
      <c r="H59" s="17">
        <f t="shared" si="12"/>
        <v>0.4314988596933999</v>
      </c>
      <c r="I59" s="17">
        <f t="shared" si="13"/>
        <v>0.026084800800000002</v>
      </c>
      <c r="J59" s="17">
        <f t="shared" si="14"/>
        <v>0.0043136838</v>
      </c>
      <c r="K59" s="17">
        <f t="shared" si="15"/>
        <v>0.012849884399999999</v>
      </c>
      <c r="L59" s="17">
        <f t="shared" si="16"/>
        <v>0.12722934</v>
      </c>
      <c r="M59" s="17">
        <f t="shared" si="17"/>
        <v>0.1441643</v>
      </c>
      <c r="N59" s="17">
        <f t="shared" si="18"/>
        <v>0.0533175717453</v>
      </c>
      <c r="O59" s="17">
        <f t="shared" si="19"/>
        <v>0.3679595807453</v>
      </c>
      <c r="P59" s="17">
        <f t="shared" si="20"/>
        <v>0.025455319200000003</v>
      </c>
      <c r="Q59" s="17">
        <f t="shared" si="21"/>
        <v>0.0037574925</v>
      </c>
      <c r="R59" s="17">
        <f t="shared" si="22"/>
        <v>0.012370354600000001</v>
      </c>
      <c r="S59" s="17">
        <f t="shared" si="23"/>
        <v>0.100586166</v>
      </c>
      <c r="T59" s="17">
        <f t="shared" si="24"/>
        <v>0.12585974</v>
      </c>
      <c r="U59" s="17">
        <f t="shared" si="25"/>
        <v>0.0484683992988</v>
      </c>
      <c r="V59" s="17">
        <f t="shared" si="26"/>
        <v>0.3164974715988</v>
      </c>
      <c r="W59" s="17">
        <f t="shared" si="27"/>
        <v>0.0232676568</v>
      </c>
      <c r="X59" s="17">
        <f t="shared" si="28"/>
        <v>0.0032073054</v>
      </c>
      <c r="Y59" s="17">
        <f t="shared" si="29"/>
        <v>0.011050948</v>
      </c>
      <c r="Z59" s="17">
        <f t="shared" si="30"/>
        <v>0.08078226</v>
      </c>
      <c r="AA59" s="17">
        <f t="shared" si="31"/>
        <v>0.109612792</v>
      </c>
      <c r="AB59" s="17">
        <f t="shared" si="32"/>
        <v>0.0440016919746</v>
      </c>
      <c r="AC59" s="17">
        <f t="shared" si="33"/>
        <v>0.2719226541746</v>
      </c>
    </row>
    <row r="60" spans="1:29" ht="12.75">
      <c r="A60" s="17">
        <f t="shared" si="5"/>
        <v>26.848</v>
      </c>
      <c r="B60" s="17">
        <f t="shared" si="6"/>
        <v>0.02129833536</v>
      </c>
      <c r="C60" s="17">
        <f t="shared" si="7"/>
        <v>0.0043698906</v>
      </c>
      <c r="D60" s="17">
        <f t="shared" si="8"/>
        <v>0.00909758</v>
      </c>
      <c r="E60" s="17">
        <f t="shared" si="9"/>
        <v>0.15656098</v>
      </c>
      <c r="F60" s="17">
        <f t="shared" si="10"/>
        <v>0.16480432</v>
      </c>
      <c r="G60" s="17">
        <f t="shared" si="11"/>
        <v>0.0585376827378</v>
      </c>
      <c r="H60" s="17">
        <f t="shared" si="12"/>
        <v>0.4146687886978</v>
      </c>
      <c r="I60" s="17">
        <f t="shared" si="13"/>
        <v>0.0239627664</v>
      </c>
      <c r="J60" s="17">
        <f t="shared" si="14"/>
        <v>0.0040037289000000005</v>
      </c>
      <c r="K60" s="17">
        <f t="shared" si="15"/>
        <v>0.0112508166</v>
      </c>
      <c r="L60" s="17">
        <f t="shared" si="16"/>
        <v>0.119865326</v>
      </c>
      <c r="M60" s="17">
        <f t="shared" si="17"/>
        <v>0.143186388</v>
      </c>
      <c r="N60" s="17">
        <f t="shared" si="18"/>
        <v>0.0530370237186</v>
      </c>
      <c r="O60" s="17">
        <f t="shared" si="19"/>
        <v>0.3553060496186</v>
      </c>
      <c r="P60" s="17">
        <f t="shared" si="20"/>
        <v>0.0237217704</v>
      </c>
      <c r="Q60" s="17">
        <f t="shared" si="21"/>
        <v>0.00353318505</v>
      </c>
      <c r="R60" s="17">
        <f t="shared" si="22"/>
        <v>0.011192268</v>
      </c>
      <c r="S60" s="17">
        <f t="shared" si="23"/>
        <v>0.09545351399999999</v>
      </c>
      <c r="T60" s="17">
        <f t="shared" si="24"/>
        <v>0.12482067</v>
      </c>
      <c r="U60" s="17">
        <f t="shared" si="25"/>
        <v>0.0482076062598</v>
      </c>
      <c r="V60" s="17">
        <f t="shared" si="26"/>
        <v>0.30692901370979997</v>
      </c>
      <c r="W60" s="17">
        <f t="shared" si="27"/>
        <v>0.021950482559999998</v>
      </c>
      <c r="X60" s="17">
        <f t="shared" si="28"/>
        <v>0.00304642755</v>
      </c>
      <c r="Y60" s="17">
        <f t="shared" si="29"/>
        <v>0.010210404000000001</v>
      </c>
      <c r="Z60" s="17">
        <f t="shared" si="30"/>
        <v>0.0771465</v>
      </c>
      <c r="AA60" s="17">
        <f t="shared" si="31"/>
        <v>0.10859706</v>
      </c>
      <c r="AB60" s="17">
        <f t="shared" si="32"/>
        <v>0.0437619099861</v>
      </c>
      <c r="AC60" s="17">
        <f t="shared" si="33"/>
        <v>0.2647127840961</v>
      </c>
    </row>
    <row r="61" spans="1:29" ht="12.75">
      <c r="A61" s="17">
        <f t="shared" si="5"/>
        <v>27.848</v>
      </c>
      <c r="B61" s="17">
        <f t="shared" si="6"/>
        <v>0.01927997208</v>
      </c>
      <c r="C61" s="17">
        <f t="shared" si="7"/>
        <v>0.00397287015</v>
      </c>
      <c r="D61" s="17">
        <f t="shared" si="8"/>
        <v>0.0073030508000000004</v>
      </c>
      <c r="E61" s="17">
        <f t="shared" si="9"/>
        <v>0.145058228</v>
      </c>
      <c r="F61" s="17">
        <f t="shared" si="10"/>
        <v>0.16394646</v>
      </c>
      <c r="G61" s="17">
        <f t="shared" si="11"/>
        <v>0.0582270052047</v>
      </c>
      <c r="H61" s="17">
        <f t="shared" si="12"/>
        <v>0.39778758623469995</v>
      </c>
      <c r="I61" s="17">
        <f t="shared" si="13"/>
        <v>0.0220332408</v>
      </c>
      <c r="J61" s="17">
        <f t="shared" si="14"/>
        <v>0.0037092435000000003</v>
      </c>
      <c r="K61" s="17">
        <f t="shared" si="15"/>
        <v>0.009793939</v>
      </c>
      <c r="L61" s="17">
        <f t="shared" si="16"/>
        <v>0.112329826</v>
      </c>
      <c r="M61" s="17">
        <f t="shared" si="17"/>
        <v>0.14213204000000002</v>
      </c>
      <c r="N61" s="17">
        <f t="shared" si="18"/>
        <v>0.0527452111287</v>
      </c>
      <c r="O61" s="17">
        <f t="shared" si="19"/>
        <v>0.34274350042870005</v>
      </c>
      <c r="P61" s="17">
        <f t="shared" si="20"/>
        <v>0.0221108712</v>
      </c>
      <c r="Q61" s="17">
        <f t="shared" si="21"/>
        <v>0.00331702425</v>
      </c>
      <c r="R61" s="17">
        <f t="shared" si="22"/>
        <v>0.010091951</v>
      </c>
      <c r="S61" s="17">
        <f t="shared" si="23"/>
        <v>0.09024954</v>
      </c>
      <c r="T61" s="17">
        <f t="shared" si="24"/>
        <v>0.12371622</v>
      </c>
      <c r="U61" s="17">
        <f t="shared" si="25"/>
        <v>0.047936426701499994</v>
      </c>
      <c r="V61" s="17">
        <f t="shared" si="26"/>
        <v>0.2974220331515</v>
      </c>
      <c r="W61" s="17">
        <f t="shared" si="27"/>
        <v>0.0207036264</v>
      </c>
      <c r="X61" s="17">
        <f t="shared" si="28"/>
        <v>0.0028896</v>
      </c>
      <c r="Y61" s="17">
        <f t="shared" si="29"/>
        <v>0.009410635399999999</v>
      </c>
      <c r="Z61" s="17">
        <f t="shared" si="30"/>
        <v>0.073473974</v>
      </c>
      <c r="AA61" s="17">
        <f t="shared" si="31"/>
        <v>0.10752663999999999</v>
      </c>
      <c r="AB61" s="17">
        <f t="shared" si="32"/>
        <v>0.0435131415483</v>
      </c>
      <c r="AC61" s="17">
        <f t="shared" si="33"/>
        <v>0.2575176173483</v>
      </c>
    </row>
    <row r="62" spans="1:29" ht="12.75">
      <c r="A62" s="17">
        <f t="shared" si="5"/>
        <v>28.848</v>
      </c>
      <c r="B62" s="17">
        <f t="shared" si="6"/>
        <v>0.017484262559999998</v>
      </c>
      <c r="C62" s="17">
        <f t="shared" si="7"/>
        <v>0.0036036738</v>
      </c>
      <c r="D62" s="17">
        <f t="shared" si="8"/>
        <v>0.005736472</v>
      </c>
      <c r="E62" s="17">
        <f t="shared" si="9"/>
        <v>0.13318898</v>
      </c>
      <c r="F62" s="17">
        <f t="shared" si="10"/>
        <v>0.16299856</v>
      </c>
      <c r="G62" s="17">
        <f t="shared" si="11"/>
        <v>0.0579037910448</v>
      </c>
      <c r="H62" s="17">
        <f t="shared" si="12"/>
        <v>0.3809157394048</v>
      </c>
      <c r="I62" s="17">
        <f t="shared" si="13"/>
        <v>0.02027792448</v>
      </c>
      <c r="J62" s="17">
        <f t="shared" si="14"/>
        <v>0.0034302606</v>
      </c>
      <c r="K62" s="17">
        <f t="shared" si="15"/>
        <v>0.008472074</v>
      </c>
      <c r="L62" s="17">
        <f t="shared" si="16"/>
        <v>0.10467931</v>
      </c>
      <c r="M62" s="17">
        <f t="shared" si="17"/>
        <v>0.140997644</v>
      </c>
      <c r="N62" s="17">
        <f t="shared" si="18"/>
        <v>0.0524412479313</v>
      </c>
      <c r="O62" s="17">
        <f t="shared" si="19"/>
        <v>0.3302984610113</v>
      </c>
      <c r="P62" s="17">
        <f t="shared" si="20"/>
        <v>0.020614842</v>
      </c>
      <c r="Q62" s="17">
        <f t="shared" si="21"/>
        <v>0.0031093689</v>
      </c>
      <c r="R62" s="17">
        <f t="shared" si="22"/>
        <v>0.009067932</v>
      </c>
      <c r="S62" s="17">
        <f t="shared" si="23"/>
        <v>0.08500202800000001</v>
      </c>
      <c r="T62" s="17">
        <f t="shared" si="24"/>
        <v>0.12254400600000001</v>
      </c>
      <c r="U62" s="17">
        <f t="shared" si="25"/>
        <v>0.0476544926055</v>
      </c>
      <c r="V62" s="17">
        <f t="shared" si="26"/>
        <v>0.2879926695055</v>
      </c>
      <c r="W62" s="17">
        <f t="shared" si="27"/>
        <v>0.0195241392</v>
      </c>
      <c r="X62" s="17">
        <f t="shared" si="28"/>
        <v>0.00273727725</v>
      </c>
      <c r="Y62" s="17">
        <f t="shared" si="29"/>
        <v>0.0086523186</v>
      </c>
      <c r="Z62" s="17">
        <f t="shared" si="30"/>
        <v>0.069782336</v>
      </c>
      <c r="AA62" s="17">
        <f t="shared" si="31"/>
        <v>0.1064017</v>
      </c>
      <c r="AB62" s="17">
        <f t="shared" si="32"/>
        <v>0.0432548786358</v>
      </c>
      <c r="AC62" s="17">
        <f t="shared" si="33"/>
        <v>0.2503526496858</v>
      </c>
    </row>
    <row r="63" spans="1:29" ht="12.75">
      <c r="A63" s="17">
        <f t="shared" si="5"/>
        <v>29.847998</v>
      </c>
      <c r="B63" s="17">
        <f t="shared" si="6"/>
        <v>0.015882888</v>
      </c>
      <c r="C63" s="17">
        <f t="shared" si="7"/>
        <v>0.00326096925</v>
      </c>
      <c r="D63" s="17">
        <f t="shared" si="8"/>
        <v>0.0043747662</v>
      </c>
      <c r="E63" s="17">
        <f t="shared" si="9"/>
        <v>0.12109352</v>
      </c>
      <c r="F63" s="17">
        <f t="shared" si="10"/>
        <v>0.16195344</v>
      </c>
      <c r="G63" s="17">
        <f t="shared" si="11"/>
        <v>0.057567038208</v>
      </c>
      <c r="H63" s="17">
        <f t="shared" si="12"/>
        <v>0.36413262165800003</v>
      </c>
      <c r="I63" s="17">
        <f t="shared" si="13"/>
        <v>0.018679932</v>
      </c>
      <c r="J63" s="17">
        <f t="shared" si="14"/>
        <v>0.00316658715</v>
      </c>
      <c r="K63" s="17">
        <f t="shared" si="15"/>
        <v>0.0072768732</v>
      </c>
      <c r="L63" s="17">
        <f t="shared" si="16"/>
        <v>0.09697276</v>
      </c>
      <c r="M63" s="17">
        <f t="shared" si="17"/>
        <v>0.13977753</v>
      </c>
      <c r="N63" s="17">
        <f t="shared" si="18"/>
        <v>0.0521256321513</v>
      </c>
      <c r="O63" s="17">
        <f t="shared" si="19"/>
        <v>0.3179993145013</v>
      </c>
      <c r="P63" s="17">
        <f t="shared" si="20"/>
        <v>0.0192261336</v>
      </c>
      <c r="Q63" s="17">
        <f t="shared" si="21"/>
        <v>0.0029102904</v>
      </c>
      <c r="R63" s="17">
        <f t="shared" si="22"/>
        <v>0.008118298</v>
      </c>
      <c r="S63" s="17">
        <f t="shared" si="23"/>
        <v>0.07974158</v>
      </c>
      <c r="T63" s="17">
        <f t="shared" si="24"/>
        <v>0.121301354</v>
      </c>
      <c r="U63" s="17">
        <f t="shared" si="25"/>
        <v>0.0473622939963</v>
      </c>
      <c r="V63" s="17">
        <f t="shared" si="26"/>
        <v>0.2786599499963</v>
      </c>
      <c r="W63" s="17">
        <f t="shared" si="27"/>
        <v>0.0184101072</v>
      </c>
      <c r="X63" s="17">
        <f t="shared" si="28"/>
        <v>0.0025895358</v>
      </c>
      <c r="Y63" s="17">
        <f t="shared" si="29"/>
        <v>0.007935685</v>
      </c>
      <c r="Z63" s="17">
        <f t="shared" si="30"/>
        <v>0.066086136</v>
      </c>
      <c r="AA63" s="17">
        <f t="shared" si="31"/>
        <v>0.1052202</v>
      </c>
      <c r="AB63" s="17">
        <f t="shared" si="32"/>
        <v>0.0429874972674</v>
      </c>
      <c r="AC63" s="17">
        <f t="shared" si="33"/>
        <v>0.2432291612674</v>
      </c>
    </row>
    <row r="64" spans="1:29" ht="12.75">
      <c r="A64" s="17">
        <f t="shared" si="5"/>
        <v>30.847998</v>
      </c>
      <c r="B64" s="17">
        <f t="shared" si="6"/>
        <v>0.014451876959999999</v>
      </c>
      <c r="C64" s="17">
        <f t="shared" si="7"/>
        <v>0.0029436276</v>
      </c>
      <c r="D64" s="17">
        <f t="shared" si="8"/>
        <v>0.0031972038000000003</v>
      </c>
      <c r="E64" s="17">
        <f t="shared" si="9"/>
        <v>0.108927032</v>
      </c>
      <c r="F64" s="17">
        <f t="shared" si="10"/>
        <v>0.16080298</v>
      </c>
      <c r="G64" s="17">
        <f t="shared" si="11"/>
        <v>0.0572168566998</v>
      </c>
      <c r="H64" s="17">
        <f t="shared" si="12"/>
        <v>0.3475395770598</v>
      </c>
      <c r="I64" s="17">
        <f t="shared" si="13"/>
        <v>0.01722427344</v>
      </c>
      <c r="J64" s="17">
        <f t="shared" si="14"/>
        <v>0.00291797175</v>
      </c>
      <c r="K64" s="17">
        <f t="shared" si="15"/>
        <v>0.0062001288</v>
      </c>
      <c r="L64" s="17">
        <f t="shared" si="16"/>
        <v>0.089274752</v>
      </c>
      <c r="M64" s="17">
        <f t="shared" si="17"/>
        <v>0.138467912</v>
      </c>
      <c r="N64" s="17">
        <f t="shared" si="18"/>
        <v>0.0517979937702</v>
      </c>
      <c r="O64" s="17">
        <f t="shared" si="19"/>
        <v>0.3058830317602</v>
      </c>
      <c r="P64" s="17">
        <f t="shared" si="20"/>
        <v>0.0179381076</v>
      </c>
      <c r="Q64" s="17">
        <f t="shared" si="21"/>
        <v>0.0027199923</v>
      </c>
      <c r="R64" s="17">
        <f t="shared" si="22"/>
        <v>0.0072401632</v>
      </c>
      <c r="S64" s="17">
        <f t="shared" si="23"/>
        <v>0.074498624</v>
      </c>
      <c r="T64" s="17">
        <f t="shared" si="24"/>
        <v>0.119985752</v>
      </c>
      <c r="U64" s="17">
        <f t="shared" si="25"/>
        <v>0.047059466855700005</v>
      </c>
      <c r="V64" s="17">
        <f t="shared" si="26"/>
        <v>0.2694421059557</v>
      </c>
      <c r="W64" s="17">
        <f t="shared" si="27"/>
        <v>0.017358892799999998</v>
      </c>
      <c r="X64" s="17">
        <f t="shared" si="28"/>
        <v>0.0024466323</v>
      </c>
      <c r="Y64" s="17">
        <f t="shared" si="29"/>
        <v>0.0072602188</v>
      </c>
      <c r="Z64" s="17">
        <f t="shared" si="30"/>
        <v>0.062403610000000005</v>
      </c>
      <c r="AA64" s="17">
        <f t="shared" si="31"/>
        <v>0.10398086</v>
      </c>
      <c r="AB64" s="17">
        <f t="shared" si="32"/>
        <v>0.042710877437099996</v>
      </c>
      <c r="AC64" s="17">
        <f t="shared" si="33"/>
        <v>0.2361610913371</v>
      </c>
    </row>
    <row r="65" spans="1:29" ht="12.75">
      <c r="A65" s="17">
        <f t="shared" si="5"/>
        <v>31.847998</v>
      </c>
      <c r="B65" s="17">
        <f t="shared" si="6"/>
        <v>0.01316947992</v>
      </c>
      <c r="C65" s="17">
        <f t="shared" si="7"/>
        <v>0.00265032255</v>
      </c>
      <c r="D65" s="17">
        <f t="shared" si="8"/>
        <v>0.0021826619999999997</v>
      </c>
      <c r="E65" s="17">
        <f t="shared" si="9"/>
        <v>0.09685337999999999</v>
      </c>
      <c r="F65" s="17">
        <f t="shared" si="10"/>
        <v>0.15953904800000002</v>
      </c>
      <c r="G65" s="17">
        <f t="shared" si="11"/>
        <v>0.056853262520999995</v>
      </c>
      <c r="H65" s="17">
        <f t="shared" si="12"/>
        <v>0.33124815499099997</v>
      </c>
      <c r="I65" s="17">
        <f t="shared" si="13"/>
        <v>0.01589643744</v>
      </c>
      <c r="J65" s="17">
        <f t="shared" si="14"/>
        <v>0.0026840373</v>
      </c>
      <c r="K65" s="17">
        <f t="shared" si="15"/>
        <v>0.005233285200000001</v>
      </c>
      <c r="L65" s="17">
        <f t="shared" si="16"/>
        <v>0.081648248</v>
      </c>
      <c r="M65" s="17">
        <f t="shared" si="17"/>
        <v>0.137065</v>
      </c>
      <c r="N65" s="17">
        <f t="shared" si="18"/>
        <v>0.0514585768002</v>
      </c>
      <c r="O65" s="17">
        <f t="shared" si="19"/>
        <v>0.2939855847402</v>
      </c>
      <c r="P65" s="17">
        <f t="shared" si="20"/>
        <v>0.016742676</v>
      </c>
      <c r="Q65" s="17">
        <f t="shared" si="21"/>
        <v>0.0025384375499999997</v>
      </c>
      <c r="R65" s="17">
        <f t="shared" si="22"/>
        <v>0.006430834</v>
      </c>
      <c r="S65" s="17">
        <f t="shared" si="23"/>
        <v>0.069302404</v>
      </c>
      <c r="T65" s="17">
        <f t="shared" si="24"/>
        <v>0.118595452</v>
      </c>
      <c r="U65" s="17">
        <f t="shared" si="25"/>
        <v>0.04674613719</v>
      </c>
      <c r="V65" s="17">
        <f t="shared" si="26"/>
        <v>0.26035594074</v>
      </c>
      <c r="W65" s="17">
        <f t="shared" si="27"/>
        <v>0.0163679376</v>
      </c>
      <c r="X65" s="17">
        <f t="shared" si="28"/>
        <v>0.0023087351999999998</v>
      </c>
      <c r="Y65" s="17">
        <f t="shared" si="29"/>
        <v>0.006625354</v>
      </c>
      <c r="Z65" s="17">
        <f t="shared" si="30"/>
        <v>0.0587494</v>
      </c>
      <c r="AA65" s="17">
        <f t="shared" si="31"/>
        <v>0.102682888</v>
      </c>
      <c r="AB65" s="17">
        <f t="shared" si="32"/>
        <v>0.0424248871383</v>
      </c>
      <c r="AC65" s="17">
        <f t="shared" si="33"/>
        <v>0.2291592019383</v>
      </c>
    </row>
    <row r="66" spans="1:29" ht="12.75">
      <c r="A66" s="17">
        <f t="shared" si="5"/>
        <v>32.847995</v>
      </c>
      <c r="B66" s="17">
        <f t="shared" si="6"/>
        <v>0.0120182316</v>
      </c>
      <c r="C66" s="17">
        <f t="shared" si="7"/>
        <v>0.00237976125</v>
      </c>
      <c r="D66" s="17">
        <f t="shared" si="8"/>
        <v>0.0013128139999999998</v>
      </c>
      <c r="E66" s="17">
        <f t="shared" si="9"/>
        <v>0.085031332</v>
      </c>
      <c r="F66" s="17">
        <f t="shared" si="10"/>
        <v>0.15815442</v>
      </c>
      <c r="G66" s="17">
        <f t="shared" si="11"/>
        <v>0.0564752356206</v>
      </c>
      <c r="H66" s="17">
        <f t="shared" si="12"/>
        <v>0.31537179447059993</v>
      </c>
      <c r="I66" s="17">
        <f t="shared" si="13"/>
        <v>0.0146845812</v>
      </c>
      <c r="J66" s="17">
        <f t="shared" si="14"/>
        <v>0.0024643707</v>
      </c>
      <c r="K66" s="17">
        <f t="shared" si="15"/>
        <v>0.0043678296</v>
      </c>
      <c r="L66" s="17">
        <f t="shared" si="16"/>
        <v>0.074155832</v>
      </c>
      <c r="M66" s="17">
        <f t="shared" si="17"/>
        <v>0.13556315</v>
      </c>
      <c r="N66" s="17">
        <f t="shared" si="18"/>
        <v>0.0511070072226</v>
      </c>
      <c r="O66" s="17">
        <f t="shared" si="19"/>
        <v>0.2823427707226</v>
      </c>
      <c r="P66" s="17">
        <f t="shared" si="20"/>
        <v>0.0156337176</v>
      </c>
      <c r="Q66" s="17">
        <f t="shared" si="21"/>
        <v>0.0023655516</v>
      </c>
      <c r="R66" s="17">
        <f t="shared" si="22"/>
        <v>0.005686765000000001</v>
      </c>
      <c r="S66" s="17">
        <f t="shared" si="23"/>
        <v>0.0641838</v>
      </c>
      <c r="T66" s="17">
        <f t="shared" si="24"/>
        <v>0.11712826</v>
      </c>
      <c r="U66" s="17">
        <f t="shared" si="25"/>
        <v>0.0464224150047</v>
      </c>
      <c r="V66" s="17">
        <f t="shared" si="26"/>
        <v>0.2514205092047</v>
      </c>
      <c r="W66" s="17">
        <f t="shared" si="27"/>
        <v>0.015434361599999998</v>
      </c>
      <c r="X66" s="17">
        <f t="shared" si="28"/>
        <v>0.00217591125</v>
      </c>
      <c r="Y66" s="17">
        <f t="shared" si="29"/>
        <v>0.0060303864</v>
      </c>
      <c r="Z66" s="17">
        <f t="shared" si="30"/>
        <v>0.055140188</v>
      </c>
      <c r="AA66" s="17">
        <f t="shared" si="31"/>
        <v>0.10132680000000001</v>
      </c>
      <c r="AB66" s="17">
        <f t="shared" si="32"/>
        <v>0.042130036396499995</v>
      </c>
      <c r="AC66" s="17">
        <f t="shared" si="33"/>
        <v>0.22223768364649998</v>
      </c>
    </row>
    <row r="68" spans="1:11" ht="13.5">
      <c r="A68" s="18" t="s">
        <v>104</v>
      </c>
      <c r="B68" s="18" t="s">
        <v>205</v>
      </c>
      <c r="C68" s="18"/>
      <c r="D68" s="18" t="s">
        <v>194</v>
      </c>
      <c r="E68" s="18" t="s">
        <v>195</v>
      </c>
      <c r="F68" s="18" t="s">
        <v>198</v>
      </c>
      <c r="G68" s="18" t="s">
        <v>200</v>
      </c>
      <c r="H68" s="18" t="s">
        <v>196</v>
      </c>
      <c r="I68" s="18" t="s">
        <v>197</v>
      </c>
      <c r="J68" s="18" t="s">
        <v>199</v>
      </c>
      <c r="K68" s="18" t="s">
        <v>201</v>
      </c>
    </row>
    <row r="69" spans="1:11" ht="12.75">
      <c r="A69" s="18" t="s">
        <v>208</v>
      </c>
      <c r="B69" s="18" t="s">
        <v>208</v>
      </c>
      <c r="C69" s="18"/>
      <c r="D69" s="18" t="s">
        <v>206</v>
      </c>
      <c r="E69" s="18" t="s">
        <v>206</v>
      </c>
      <c r="F69" s="18" t="s">
        <v>206</v>
      </c>
      <c r="G69" s="18" t="s">
        <v>207</v>
      </c>
      <c r="H69" s="18" t="s">
        <v>206</v>
      </c>
      <c r="I69" s="18" t="s">
        <v>206</v>
      </c>
      <c r="J69" s="18" t="s">
        <v>206</v>
      </c>
      <c r="K69" s="18" t="s">
        <v>207</v>
      </c>
    </row>
    <row r="70" spans="1:11" ht="12.75">
      <c r="A70" s="19">
        <f>A37</f>
        <v>3.848</v>
      </c>
      <c r="B70" s="19">
        <f aca="true" t="shared" si="34" ref="B70:B98">A37-3.848</f>
        <v>0</v>
      </c>
      <c r="C70" s="1" t="s">
        <v>202</v>
      </c>
      <c r="D70" s="2">
        <f aca="true" t="shared" si="35" ref="D70:D98">I_11*H37*0.2248*2.54/100</f>
        <v>269.1503546200942</v>
      </c>
      <c r="E70" s="2">
        <f aca="true" t="shared" si="36" ref="E70:E98">I_12*O37*0.2248*2.54/100</f>
        <v>65.32627107521746</v>
      </c>
      <c r="F70" s="2">
        <f>SUM(D70:E70)</f>
        <v>334.47662569531167</v>
      </c>
      <c r="G70" s="2">
        <v>0</v>
      </c>
      <c r="H70" s="2">
        <f aca="true" t="shared" si="37" ref="H70:H98">I_21*V37*0.2248*2.54/100</f>
        <v>151.96747054896767</v>
      </c>
      <c r="I70" s="2">
        <f aca="true" t="shared" si="38" ref="I70:I98">I_22*AC37*0.2248*2.54/100</f>
        <v>40.34669408928621</v>
      </c>
      <c r="J70" s="2">
        <f>SUM(H70:I70)</f>
        <v>192.31416463825389</v>
      </c>
      <c r="K70" s="2">
        <v>0</v>
      </c>
    </row>
    <row r="71" spans="1:11" ht="12.75">
      <c r="A71" s="19">
        <f aca="true" t="shared" si="39" ref="A71:A98">A38</f>
        <v>4.8479995</v>
      </c>
      <c r="B71" s="19">
        <f t="shared" si="34"/>
        <v>0.9999995000000004</v>
      </c>
      <c r="C71" s="1" t="s">
        <v>202</v>
      </c>
      <c r="D71" s="2">
        <f t="shared" si="35"/>
        <v>263.00048557186363</v>
      </c>
      <c r="E71" s="2">
        <f t="shared" si="36"/>
        <v>64.51920330802817</v>
      </c>
      <c r="F71" s="2">
        <f aca="true" t="shared" si="40" ref="F71:F98">SUM(D71:E71)</f>
        <v>327.5196888798918</v>
      </c>
      <c r="G71" s="2">
        <f aca="true" t="shared" si="41" ref="G71:G98">G70+(F70+F71)/2*(B71-B70)</f>
        <v>330.9979917885232</v>
      </c>
      <c r="H71" s="2">
        <f t="shared" si="37"/>
        <v>150.7271045081371</v>
      </c>
      <c r="I71" s="2">
        <f t="shared" si="38"/>
        <v>40.10276958094504</v>
      </c>
      <c r="J71" s="2">
        <f aca="true" t="shared" si="42" ref="J71:J98">SUM(H71:I71)</f>
        <v>190.82987408908215</v>
      </c>
      <c r="K71" s="2">
        <f aca="true" t="shared" si="43" ref="K71:K98">K70+(J70+J71)/2*(B71-B70)</f>
        <v>191.5719235776584</v>
      </c>
    </row>
    <row r="72" spans="1:11" ht="12.75">
      <c r="A72" s="19">
        <f t="shared" si="39"/>
        <v>5.848</v>
      </c>
      <c r="B72" s="19">
        <f t="shared" si="34"/>
        <v>2</v>
      </c>
      <c r="C72" s="1" t="s">
        <v>202</v>
      </c>
      <c r="D72" s="2">
        <f t="shared" si="35"/>
        <v>256.03445817231807</v>
      </c>
      <c r="E72" s="2">
        <f t="shared" si="36"/>
        <v>63.57025802892729</v>
      </c>
      <c r="F72" s="2">
        <f t="shared" si="40"/>
        <v>319.60471620124537</v>
      </c>
      <c r="G72" s="2">
        <f t="shared" si="41"/>
        <v>654.560356110193</v>
      </c>
      <c r="H72" s="2">
        <f t="shared" si="37"/>
        <v>149.24146146102404</v>
      </c>
      <c r="I72" s="2">
        <f t="shared" si="38"/>
        <v>39.80755675190156</v>
      </c>
      <c r="J72" s="2">
        <f t="shared" si="42"/>
        <v>189.0490182129256</v>
      </c>
      <c r="K72" s="2">
        <f t="shared" si="43"/>
        <v>381.5114646983853</v>
      </c>
    </row>
    <row r="73" spans="1:13" ht="12.75">
      <c r="A73" s="19">
        <f t="shared" si="39"/>
        <v>6.8479995</v>
      </c>
      <c r="B73" s="19">
        <f t="shared" si="34"/>
        <v>2.9999995000000004</v>
      </c>
      <c r="C73" s="1" t="s">
        <v>202</v>
      </c>
      <c r="D73" s="2">
        <f t="shared" si="35"/>
        <v>248.52524929470547</v>
      </c>
      <c r="E73" s="2">
        <f t="shared" si="36"/>
        <v>62.501443982226284</v>
      </c>
      <c r="F73" s="2">
        <f t="shared" si="40"/>
        <v>311.0266932769318</v>
      </c>
      <c r="G73" s="2">
        <f t="shared" si="41"/>
        <v>969.8759031914293</v>
      </c>
      <c r="H73" s="2">
        <f t="shared" si="37"/>
        <v>147.53029347921571</v>
      </c>
      <c r="I73" s="2">
        <f t="shared" si="38"/>
        <v>39.46359727243865</v>
      </c>
      <c r="J73" s="2">
        <f t="shared" si="42"/>
        <v>186.99389075165436</v>
      </c>
      <c r="K73" s="2">
        <f t="shared" si="43"/>
        <v>569.5328251699481</v>
      </c>
      <c r="M73" t="s">
        <v>127</v>
      </c>
    </row>
    <row r="74" spans="1:11" ht="12.75">
      <c r="A74" s="19">
        <f t="shared" si="39"/>
        <v>7.848</v>
      </c>
      <c r="B74" s="19">
        <f t="shared" si="34"/>
        <v>4</v>
      </c>
      <c r="C74" s="1" t="s">
        <v>202</v>
      </c>
      <c r="D74" s="2">
        <f t="shared" si="35"/>
        <v>240.72443510962074</v>
      </c>
      <c r="E74" s="2">
        <f t="shared" si="36"/>
        <v>61.33524171628901</v>
      </c>
      <c r="F74" s="2">
        <f t="shared" si="40"/>
        <v>302.0596768259098</v>
      </c>
      <c r="G74" s="2">
        <f t="shared" si="41"/>
        <v>1276.4192415144425</v>
      </c>
      <c r="H74" s="2">
        <f t="shared" si="37"/>
        <v>145.6161024214093</v>
      </c>
      <c r="I74" s="2">
        <f t="shared" si="38"/>
        <v>39.073799142048166</v>
      </c>
      <c r="J74" s="2">
        <f t="shared" si="42"/>
        <v>184.68990156345745</v>
      </c>
      <c r="K74" s="2">
        <f t="shared" si="43"/>
        <v>755.374814248452</v>
      </c>
    </row>
    <row r="75" spans="1:11" ht="12.75">
      <c r="A75" s="19">
        <f t="shared" si="39"/>
        <v>8.848</v>
      </c>
      <c r="B75" s="19">
        <f t="shared" si="34"/>
        <v>5.000000000000001</v>
      </c>
      <c r="C75" s="1" t="s">
        <v>202</v>
      </c>
      <c r="D75" s="2">
        <f t="shared" si="35"/>
        <v>232.84479947631544</v>
      </c>
      <c r="E75" s="2">
        <f t="shared" si="36"/>
        <v>60.093146688687504</v>
      </c>
      <c r="F75" s="2">
        <f t="shared" si="40"/>
        <v>292.9379461650029</v>
      </c>
      <c r="G75" s="2">
        <f t="shared" si="41"/>
        <v>1573.9180530098993</v>
      </c>
      <c r="H75" s="2">
        <f t="shared" si="37"/>
        <v>143.5229996908198</v>
      </c>
      <c r="I75" s="2">
        <f t="shared" si="38"/>
        <v>38.641440420418846</v>
      </c>
      <c r="J75" s="2">
        <f t="shared" si="42"/>
        <v>182.16444011123866</v>
      </c>
      <c r="K75" s="2">
        <f t="shared" si="43"/>
        <v>938.8019850858002</v>
      </c>
    </row>
    <row r="76" spans="1:11" ht="12.75">
      <c r="A76" s="19">
        <f t="shared" si="39"/>
        <v>9.848001</v>
      </c>
      <c r="B76" s="19">
        <f t="shared" si="34"/>
        <v>6.000001</v>
      </c>
      <c r="C76" s="1" t="s">
        <v>202</v>
      </c>
      <c r="D76" s="2">
        <f t="shared" si="35"/>
        <v>225.05228601576243</v>
      </c>
      <c r="E76" s="2">
        <f t="shared" si="36"/>
        <v>58.795027147805904</v>
      </c>
      <c r="F76" s="2">
        <f t="shared" si="40"/>
        <v>283.84731316356834</v>
      </c>
      <c r="G76" s="2">
        <f t="shared" si="41"/>
        <v>1862.3109710668143</v>
      </c>
      <c r="H76" s="2">
        <f t="shared" si="37"/>
        <v>141.27227508210478</v>
      </c>
      <c r="I76" s="2">
        <f t="shared" si="38"/>
        <v>38.16965982078679</v>
      </c>
      <c r="J76" s="2">
        <f t="shared" si="42"/>
        <v>179.44193490289157</v>
      </c>
      <c r="K76" s="2">
        <f t="shared" si="43"/>
        <v>1119.6053533960526</v>
      </c>
    </row>
    <row r="77" spans="1:11" ht="12.75">
      <c r="A77" s="19">
        <f t="shared" si="39"/>
        <v>10.8480014</v>
      </c>
      <c r="B77" s="19">
        <f t="shared" si="34"/>
        <v>7.0000013999999995</v>
      </c>
      <c r="C77" s="1" t="s">
        <v>202</v>
      </c>
      <c r="D77" s="2">
        <f t="shared" si="35"/>
        <v>217.4654240635498</v>
      </c>
      <c r="E77" s="2">
        <f t="shared" si="36"/>
        <v>57.457920573476024</v>
      </c>
      <c r="F77" s="2">
        <f t="shared" si="40"/>
        <v>274.9233446370258</v>
      </c>
      <c r="G77" s="2">
        <f t="shared" si="41"/>
        <v>2141.696411721243</v>
      </c>
      <c r="H77" s="2">
        <f t="shared" si="37"/>
        <v>138.8869485101009</v>
      </c>
      <c r="I77" s="2">
        <f t="shared" si="38"/>
        <v>37.661729529066726</v>
      </c>
      <c r="J77" s="2">
        <f t="shared" si="42"/>
        <v>176.5486780391676</v>
      </c>
      <c r="K77" s="2">
        <f t="shared" si="43"/>
        <v>1297.6007310652046</v>
      </c>
    </row>
    <row r="78" spans="1:11" ht="12.75">
      <c r="A78" s="19">
        <f t="shared" si="39"/>
        <v>11.8480014</v>
      </c>
      <c r="B78" s="19">
        <f t="shared" si="34"/>
        <v>8.000001399999999</v>
      </c>
      <c r="C78" s="1" t="s">
        <v>202</v>
      </c>
      <c r="D78" s="2">
        <f t="shared" si="35"/>
        <v>210.15910455255442</v>
      </c>
      <c r="E78" s="2">
        <f t="shared" si="36"/>
        <v>56.096687029764674</v>
      </c>
      <c r="F78" s="2">
        <f t="shared" si="40"/>
        <v>266.2557915823191</v>
      </c>
      <c r="G78" s="2">
        <f t="shared" si="41"/>
        <v>2412.285979830915</v>
      </c>
      <c r="H78" s="2">
        <f t="shared" si="37"/>
        <v>136.38709651662168</v>
      </c>
      <c r="I78" s="2">
        <f t="shared" si="38"/>
        <v>37.12102346429099</v>
      </c>
      <c r="J78" s="2">
        <f t="shared" si="42"/>
        <v>173.50811998091268</v>
      </c>
      <c r="K78" s="2">
        <f t="shared" si="43"/>
        <v>1472.6291300752446</v>
      </c>
    </row>
    <row r="79" spans="1:11" ht="12.75">
      <c r="A79" s="19">
        <f t="shared" si="39"/>
        <v>12.848002</v>
      </c>
      <c r="B79" s="19">
        <f t="shared" si="34"/>
        <v>9.000001999999999</v>
      </c>
      <c r="C79" s="1" t="s">
        <v>202</v>
      </c>
      <c r="D79" s="2">
        <f t="shared" si="35"/>
        <v>203.1705913412379</v>
      </c>
      <c r="E79" s="2">
        <f t="shared" si="36"/>
        <v>54.7227358304078</v>
      </c>
      <c r="F79" s="2">
        <f t="shared" si="40"/>
        <v>257.8933271716457</v>
      </c>
      <c r="G79" s="2">
        <f t="shared" si="41"/>
        <v>2674.360696452633</v>
      </c>
      <c r="H79" s="2">
        <f t="shared" si="37"/>
        <v>133.79107225307453</v>
      </c>
      <c r="I79" s="2">
        <f t="shared" si="38"/>
        <v>36.55076919894817</v>
      </c>
      <c r="J79" s="2">
        <f t="shared" si="42"/>
        <v>170.3418414520227</v>
      </c>
      <c r="K79" s="2">
        <f t="shared" si="43"/>
        <v>1644.5542139467007</v>
      </c>
    </row>
    <row r="80" spans="1:11" ht="12.75">
      <c r="A80" s="19">
        <f t="shared" si="39"/>
        <v>13.848003</v>
      </c>
      <c r="B80" s="19">
        <f t="shared" si="34"/>
        <v>10.000003</v>
      </c>
      <c r="C80" s="1" t="s">
        <v>202</v>
      </c>
      <c r="D80" s="2">
        <f t="shared" si="35"/>
        <v>196.50948159912724</v>
      </c>
      <c r="E80" s="2">
        <f t="shared" si="36"/>
        <v>53.34492300160856</v>
      </c>
      <c r="F80" s="2">
        <f t="shared" si="40"/>
        <v>249.8544046007358</v>
      </c>
      <c r="G80" s="2">
        <f t="shared" si="41"/>
        <v>2928.23481621269</v>
      </c>
      <c r="H80" s="2">
        <f t="shared" si="37"/>
        <v>131.115743453643</v>
      </c>
      <c r="I80" s="2">
        <f t="shared" si="38"/>
        <v>35.953938154559005</v>
      </c>
      <c r="J80" s="2">
        <f t="shared" si="42"/>
        <v>167.06968160820202</v>
      </c>
      <c r="K80" s="2">
        <f t="shared" si="43"/>
        <v>1813.2601441825748</v>
      </c>
    </row>
    <row r="81" spans="1:11" ht="12.75">
      <c r="A81" s="19">
        <f t="shared" si="39"/>
        <v>14.848003</v>
      </c>
      <c r="B81" s="19">
        <f t="shared" si="34"/>
        <v>11.000003</v>
      </c>
      <c r="C81" s="1" t="s">
        <v>202</v>
      </c>
      <c r="D81" s="2">
        <f t="shared" si="35"/>
        <v>190.16534461336704</v>
      </c>
      <c r="E81" s="2">
        <f t="shared" si="36"/>
        <v>51.969779544246094</v>
      </c>
      <c r="F81" s="2">
        <f t="shared" si="40"/>
        <v>242.13512415761312</v>
      </c>
      <c r="G81" s="2">
        <f t="shared" si="41"/>
        <v>3174.2295805918643</v>
      </c>
      <c r="H81" s="2">
        <f t="shared" si="37"/>
        <v>128.3755717095841</v>
      </c>
      <c r="I81" s="2">
        <f t="shared" si="38"/>
        <v>35.33372936027451</v>
      </c>
      <c r="J81" s="2">
        <f t="shared" si="42"/>
        <v>163.7093010698586</v>
      </c>
      <c r="K81" s="2">
        <f t="shared" si="43"/>
        <v>1978.649635521605</v>
      </c>
    </row>
    <row r="82" spans="1:11" ht="12.75">
      <c r="A82" s="19">
        <f t="shared" si="39"/>
        <v>15.848003</v>
      </c>
      <c r="B82" s="19">
        <f t="shared" si="34"/>
        <v>12.000003</v>
      </c>
      <c r="C82" s="1" t="s">
        <v>203</v>
      </c>
      <c r="D82" s="2">
        <f t="shared" si="35"/>
        <v>184.11314880319395</v>
      </c>
      <c r="E82" s="2">
        <f t="shared" si="36"/>
        <v>50.60134903861753</v>
      </c>
      <c r="F82" s="2">
        <f t="shared" si="40"/>
        <v>234.71449784181146</v>
      </c>
      <c r="G82" s="2">
        <f t="shared" si="41"/>
        <v>3412.6543915915768</v>
      </c>
      <c r="H82" s="2">
        <f t="shared" si="37"/>
        <v>125.58299934442572</v>
      </c>
      <c r="I82" s="2">
        <f t="shared" si="38"/>
        <v>34.692412797383355</v>
      </c>
      <c r="J82" s="2">
        <f t="shared" si="42"/>
        <v>160.27541214180906</v>
      </c>
      <c r="K82" s="2">
        <f t="shared" si="43"/>
        <v>2140.6419921274387</v>
      </c>
    </row>
    <row r="83" spans="1:11" ht="12.75">
      <c r="A83" s="19">
        <f t="shared" si="39"/>
        <v>16.848003</v>
      </c>
      <c r="B83" s="19">
        <f t="shared" si="34"/>
        <v>13.000003</v>
      </c>
      <c r="C83" s="1" t="s">
        <v>203</v>
      </c>
      <c r="D83" s="2">
        <f t="shared" si="35"/>
        <v>178.3197506912653</v>
      </c>
      <c r="E83" s="2">
        <f t="shared" si="36"/>
        <v>49.241922797800356</v>
      </c>
      <c r="F83" s="2">
        <f t="shared" si="40"/>
        <v>227.56167348906567</v>
      </c>
      <c r="G83" s="2">
        <f t="shared" si="41"/>
        <v>3643.7924772570154</v>
      </c>
      <c r="H83" s="2">
        <f t="shared" si="37"/>
        <v>122.74814680650394</v>
      </c>
      <c r="I83" s="2">
        <f t="shared" si="38"/>
        <v>34.032969163781665</v>
      </c>
      <c r="J83" s="2">
        <f t="shared" si="42"/>
        <v>156.7811159702856</v>
      </c>
      <c r="K83" s="2">
        <f t="shared" si="43"/>
        <v>2299.170256183486</v>
      </c>
    </row>
    <row r="84" spans="1:11" ht="12.75">
      <c r="A84" s="19">
        <f t="shared" si="39"/>
        <v>17.848005</v>
      </c>
      <c r="B84" s="19">
        <f t="shared" si="34"/>
        <v>14.000005000000002</v>
      </c>
      <c r="C84" s="1" t="s">
        <v>203</v>
      </c>
      <c r="D84" s="2">
        <f t="shared" si="35"/>
        <v>172.746210779116</v>
      </c>
      <c r="E84" s="2">
        <f t="shared" si="36"/>
        <v>47.892538401597704</v>
      </c>
      <c r="F84" s="2">
        <f t="shared" si="40"/>
        <v>220.63874918071372</v>
      </c>
      <c r="G84" s="2">
        <f t="shared" si="41"/>
        <v>3867.8931367923283</v>
      </c>
      <c r="H84" s="2">
        <f t="shared" si="37"/>
        <v>119.87999819791726</v>
      </c>
      <c r="I84" s="2">
        <f t="shared" si="38"/>
        <v>33.357718155272345</v>
      </c>
      <c r="J84" s="2">
        <f t="shared" si="42"/>
        <v>153.2377163531896</v>
      </c>
      <c r="K84" s="2">
        <f t="shared" si="43"/>
        <v>2454.1799823640563</v>
      </c>
    </row>
    <row r="85" spans="1:11" ht="12.75">
      <c r="A85" s="19">
        <f t="shared" si="39"/>
        <v>18.848005</v>
      </c>
      <c r="B85" s="19">
        <f t="shared" si="34"/>
        <v>15.000005000000002</v>
      </c>
      <c r="C85" s="1" t="s">
        <v>203</v>
      </c>
      <c r="D85" s="2">
        <f t="shared" si="35"/>
        <v>167.3508567120437</v>
      </c>
      <c r="E85" s="2">
        <f t="shared" si="36"/>
        <v>46.553019928370134</v>
      </c>
      <c r="F85" s="2">
        <f t="shared" si="40"/>
        <v>213.90387664041384</v>
      </c>
      <c r="G85" s="2">
        <f t="shared" si="41"/>
        <v>4085.164449702892</v>
      </c>
      <c r="H85" s="2">
        <f t="shared" si="37"/>
        <v>116.98631992039462</v>
      </c>
      <c r="I85" s="2">
        <f t="shared" si="38"/>
        <v>32.668824774867545</v>
      </c>
      <c r="J85" s="2">
        <f t="shared" si="42"/>
        <v>149.65514469526215</v>
      </c>
      <c r="K85" s="2">
        <f t="shared" si="43"/>
        <v>2605.626412888282</v>
      </c>
    </row>
    <row r="86" spans="1:11" ht="12.75">
      <c r="A86" s="19">
        <f t="shared" si="39"/>
        <v>19.848003</v>
      </c>
      <c r="B86" s="19">
        <f t="shared" si="34"/>
        <v>16.000003</v>
      </c>
      <c r="C86" s="1" t="s">
        <v>203</v>
      </c>
      <c r="D86" s="2">
        <f t="shared" si="35"/>
        <v>162.0925406925309</v>
      </c>
      <c r="E86" s="2">
        <f t="shared" si="36"/>
        <v>45.22270144826738</v>
      </c>
      <c r="F86" s="2">
        <f t="shared" si="40"/>
        <v>207.31524214079826</v>
      </c>
      <c r="G86" s="2">
        <f t="shared" si="41"/>
        <v>4295.773587874379</v>
      </c>
      <c r="H86" s="2">
        <f t="shared" si="37"/>
        <v>114.07328180626608</v>
      </c>
      <c r="I86" s="2">
        <f t="shared" si="38"/>
        <v>31.968356085561226</v>
      </c>
      <c r="J86" s="2">
        <f t="shared" si="42"/>
        <v>146.0416378918273</v>
      </c>
      <c r="K86" s="2">
        <f t="shared" si="43"/>
        <v>2753.4745084850438</v>
      </c>
    </row>
    <row r="87" spans="1:11" ht="12.75">
      <c r="A87" s="19">
        <f t="shared" si="39"/>
        <v>20.848003</v>
      </c>
      <c r="B87" s="19">
        <f t="shared" si="34"/>
        <v>17.000003</v>
      </c>
      <c r="C87" s="1" t="s">
        <v>203</v>
      </c>
      <c r="D87" s="2">
        <f t="shared" si="35"/>
        <v>156.93151535930312</v>
      </c>
      <c r="E87" s="2">
        <f t="shared" si="36"/>
        <v>43.900511730802776</v>
      </c>
      <c r="F87" s="2">
        <f t="shared" si="40"/>
        <v>200.8320270901059</v>
      </c>
      <c r="G87" s="2">
        <f t="shared" si="41"/>
        <v>4499.8472224898305</v>
      </c>
      <c r="H87" s="2">
        <f t="shared" si="37"/>
        <v>111.14564533264468</v>
      </c>
      <c r="I87" s="2">
        <f t="shared" si="38"/>
        <v>31.258224507741566</v>
      </c>
      <c r="J87" s="2">
        <f t="shared" si="42"/>
        <v>142.40386984038625</v>
      </c>
      <c r="K87" s="2">
        <f t="shared" si="43"/>
        <v>2897.6972623511506</v>
      </c>
    </row>
    <row r="88" spans="1:11" ht="12.75">
      <c r="A88" s="19">
        <f t="shared" si="39"/>
        <v>21.848003</v>
      </c>
      <c r="B88" s="19">
        <f t="shared" si="34"/>
        <v>18.000003</v>
      </c>
      <c r="C88" s="1" t="s">
        <v>203</v>
      </c>
      <c r="D88" s="2">
        <f t="shared" si="35"/>
        <v>151.83152277937396</v>
      </c>
      <c r="E88" s="2">
        <f t="shared" si="36"/>
        <v>42.58528463201068</v>
      </c>
      <c r="F88" s="2">
        <f t="shared" si="40"/>
        <v>194.41680741138464</v>
      </c>
      <c r="G88" s="2">
        <f t="shared" si="41"/>
        <v>4697.4716397405755</v>
      </c>
      <c r="H88" s="2">
        <f t="shared" si="37"/>
        <v>108.20898135048766</v>
      </c>
      <c r="I88" s="2">
        <f t="shared" si="38"/>
        <v>30.540430415068414</v>
      </c>
      <c r="J88" s="2">
        <f t="shared" si="42"/>
        <v>138.7494117655561</v>
      </c>
      <c r="K88" s="2">
        <f t="shared" si="43"/>
        <v>3038.273903154122</v>
      </c>
    </row>
    <row r="89" spans="1:11" ht="12.75">
      <c r="A89" s="19">
        <f t="shared" si="39"/>
        <v>22.848001</v>
      </c>
      <c r="B89" s="19">
        <f t="shared" si="34"/>
        <v>19.000001</v>
      </c>
      <c r="C89" s="1" t="s">
        <v>203</v>
      </c>
      <c r="D89" s="2">
        <f t="shared" si="35"/>
        <v>146.7606033305134</v>
      </c>
      <c r="E89" s="2">
        <f t="shared" si="36"/>
        <v>41.27600316802717</v>
      </c>
      <c r="F89" s="2">
        <f t="shared" si="40"/>
        <v>188.03660649854055</v>
      </c>
      <c r="G89" s="2">
        <f t="shared" si="41"/>
        <v>4888.697964242125</v>
      </c>
      <c r="H89" s="2">
        <f t="shared" si="37"/>
        <v>105.267448891249</v>
      </c>
      <c r="I89" s="2">
        <f t="shared" si="38"/>
        <v>29.816504535275293</v>
      </c>
      <c r="J89" s="2">
        <f t="shared" si="42"/>
        <v>135.0839534265243</v>
      </c>
      <c r="K89" s="2">
        <f t="shared" si="43"/>
        <v>3175.190311916797</v>
      </c>
    </row>
    <row r="90" spans="1:11" ht="12.75">
      <c r="A90" s="19">
        <f t="shared" si="39"/>
        <v>23.848001</v>
      </c>
      <c r="B90" s="19">
        <f t="shared" si="34"/>
        <v>20.000001</v>
      </c>
      <c r="C90" s="1" t="s">
        <v>203</v>
      </c>
      <c r="D90" s="2">
        <f t="shared" si="35"/>
        <v>141.69345903364743</v>
      </c>
      <c r="E90" s="2">
        <f t="shared" si="36"/>
        <v>39.971989038672774</v>
      </c>
      <c r="F90" s="2">
        <f t="shared" si="40"/>
        <v>181.6654480723202</v>
      </c>
      <c r="G90" s="2">
        <f t="shared" si="41"/>
        <v>5073.548991527555</v>
      </c>
      <c r="H90" s="2">
        <f t="shared" si="37"/>
        <v>102.32535653849605</v>
      </c>
      <c r="I90" s="2">
        <f t="shared" si="38"/>
        <v>29.088088629614585</v>
      </c>
      <c r="J90" s="2">
        <f t="shared" si="42"/>
        <v>131.41344516811063</v>
      </c>
      <c r="K90" s="2">
        <f t="shared" si="43"/>
        <v>3308.4390112141145</v>
      </c>
    </row>
    <row r="91" spans="1:11" ht="12.75">
      <c r="A91" s="19">
        <f t="shared" si="39"/>
        <v>24.848001</v>
      </c>
      <c r="B91" s="19">
        <f t="shared" si="34"/>
        <v>21.000001</v>
      </c>
      <c r="C91" s="1" t="s">
        <v>203</v>
      </c>
      <c r="D91" s="2">
        <f t="shared" si="35"/>
        <v>136.61184047636095</v>
      </c>
      <c r="E91" s="2">
        <f t="shared" si="36"/>
        <v>38.67336348468146</v>
      </c>
      <c r="F91" s="2">
        <f t="shared" si="40"/>
        <v>175.2852039610424</v>
      </c>
      <c r="G91" s="2">
        <f t="shared" si="41"/>
        <v>5252.0243175442365</v>
      </c>
      <c r="H91" s="2">
        <f t="shared" si="37"/>
        <v>99.38755359648069</v>
      </c>
      <c r="I91" s="2">
        <f t="shared" si="38"/>
        <v>28.356878559998332</v>
      </c>
      <c r="J91" s="2">
        <f t="shared" si="42"/>
        <v>127.74443215647902</v>
      </c>
      <c r="K91" s="2">
        <f t="shared" si="43"/>
        <v>3438.017949876409</v>
      </c>
    </row>
    <row r="92" spans="1:11" ht="12.75">
      <c r="A92" s="19">
        <f t="shared" si="39"/>
        <v>25.848001</v>
      </c>
      <c r="B92" s="19">
        <f t="shared" si="34"/>
        <v>22.000001</v>
      </c>
      <c r="C92" s="1" t="s">
        <v>203</v>
      </c>
      <c r="D92" s="2">
        <f t="shared" si="35"/>
        <v>131.50660434220126</v>
      </c>
      <c r="E92" s="2">
        <f t="shared" si="36"/>
        <v>37.380643395270404</v>
      </c>
      <c r="F92" s="2">
        <f t="shared" si="40"/>
        <v>168.88724773747165</v>
      </c>
      <c r="G92" s="2">
        <f t="shared" si="41"/>
        <v>5424.110543393494</v>
      </c>
      <c r="H92" s="2">
        <f t="shared" si="37"/>
        <v>96.45797859680204</v>
      </c>
      <c r="I92" s="2">
        <f t="shared" si="38"/>
        <v>27.624348702125744</v>
      </c>
      <c r="J92" s="2">
        <f t="shared" si="42"/>
        <v>124.08232729892778</v>
      </c>
      <c r="K92" s="2">
        <f t="shared" si="43"/>
        <v>3563.9313296041128</v>
      </c>
    </row>
    <row r="93" spans="1:11" ht="12.75">
      <c r="A93" s="19">
        <f t="shared" si="39"/>
        <v>26.848</v>
      </c>
      <c r="B93" s="19">
        <f t="shared" si="34"/>
        <v>23</v>
      </c>
      <c r="C93" s="1" t="s">
        <v>203</v>
      </c>
      <c r="D93" s="2">
        <f t="shared" si="35"/>
        <v>126.37735443168665</v>
      </c>
      <c r="E93" s="2">
        <f t="shared" si="36"/>
        <v>36.09518390599696</v>
      </c>
      <c r="F93" s="2">
        <f t="shared" si="40"/>
        <v>162.4725383376836</v>
      </c>
      <c r="G93" s="2">
        <f t="shared" si="41"/>
        <v>5589.7902707511785</v>
      </c>
      <c r="H93" s="2">
        <f t="shared" si="37"/>
        <v>93.54182858271433</v>
      </c>
      <c r="I93" s="2">
        <f t="shared" si="38"/>
        <v>26.891905258786807</v>
      </c>
      <c r="J93" s="2">
        <f t="shared" si="42"/>
        <v>120.43373384150114</v>
      </c>
      <c r="K93" s="2">
        <f t="shared" si="43"/>
        <v>3686.1892379162964</v>
      </c>
    </row>
    <row r="94" spans="1:11" ht="12.75">
      <c r="A94" s="19">
        <f t="shared" si="39"/>
        <v>27.848</v>
      </c>
      <c r="B94" s="19">
        <f t="shared" si="34"/>
        <v>24</v>
      </c>
      <c r="C94" s="1" t="s">
        <v>203</v>
      </c>
      <c r="D94" s="2">
        <f t="shared" si="35"/>
        <v>121.2325213382391</v>
      </c>
      <c r="E94" s="2">
        <f t="shared" si="36"/>
        <v>34.81896718009454</v>
      </c>
      <c r="F94" s="2">
        <f t="shared" si="40"/>
        <v>156.05148851833363</v>
      </c>
      <c r="G94" s="2">
        <f t="shared" si="41"/>
        <v>5749.052284179187</v>
      </c>
      <c r="H94" s="2">
        <f t="shared" si="37"/>
        <v>90.64441482904255</v>
      </c>
      <c r="I94" s="2">
        <f t="shared" si="38"/>
        <v>26.160955512012325</v>
      </c>
      <c r="J94" s="2">
        <f t="shared" si="42"/>
        <v>116.80537034105487</v>
      </c>
      <c r="K94" s="2">
        <f t="shared" si="43"/>
        <v>3804.8087900075743</v>
      </c>
    </row>
    <row r="95" spans="1:11" ht="12.75">
      <c r="A95" s="19">
        <f t="shared" si="39"/>
        <v>28.848</v>
      </c>
      <c r="B95" s="19">
        <f t="shared" si="34"/>
        <v>25</v>
      </c>
      <c r="C95" s="1" t="s">
        <v>204</v>
      </c>
      <c r="D95" s="2">
        <f t="shared" si="35"/>
        <v>116.09053953286792</v>
      </c>
      <c r="E95" s="2">
        <f t="shared" si="36"/>
        <v>33.55468815368721</v>
      </c>
      <c r="F95" s="2">
        <f t="shared" si="40"/>
        <v>149.64522768655513</v>
      </c>
      <c r="G95" s="2">
        <f t="shared" si="41"/>
        <v>5901.900642281632</v>
      </c>
      <c r="H95" s="2">
        <f t="shared" si="37"/>
        <v>87.77065614732933</v>
      </c>
      <c r="I95" s="2">
        <f t="shared" si="38"/>
        <v>25.43307365991307</v>
      </c>
      <c r="J95" s="2">
        <f t="shared" si="42"/>
        <v>113.20372980724241</v>
      </c>
      <c r="K95" s="2">
        <f t="shared" si="43"/>
        <v>3919.813340081723</v>
      </c>
    </row>
    <row r="96" spans="1:11" ht="12.75">
      <c r="A96" s="19">
        <f t="shared" si="39"/>
        <v>29.847998</v>
      </c>
      <c r="B96" s="19">
        <f t="shared" si="34"/>
        <v>25.999998</v>
      </c>
      <c r="C96" s="1" t="s">
        <v>204</v>
      </c>
      <c r="D96" s="2">
        <f t="shared" si="35"/>
        <v>110.97559942219128</v>
      </c>
      <c r="E96" s="2">
        <f t="shared" si="36"/>
        <v>32.30523024087713</v>
      </c>
      <c r="F96" s="2">
        <f t="shared" si="40"/>
        <v>143.2808296630684</v>
      </c>
      <c r="G96" s="2">
        <f t="shared" si="41"/>
        <v>6048.363378030386</v>
      </c>
      <c r="H96" s="2">
        <f t="shared" si="37"/>
        <v>84.92635140732338</v>
      </c>
      <c r="I96" s="2">
        <f t="shared" si="38"/>
        <v>24.709405642466148</v>
      </c>
      <c r="J96" s="2">
        <f t="shared" si="42"/>
        <v>109.63575704978953</v>
      </c>
      <c r="K96" s="2">
        <f t="shared" si="43"/>
        <v>4031.232860670752</v>
      </c>
    </row>
    <row r="97" spans="1:11" ht="12.75">
      <c r="A97" s="19">
        <f t="shared" si="39"/>
        <v>30.847998</v>
      </c>
      <c r="B97" s="19">
        <f t="shared" si="34"/>
        <v>26.999998</v>
      </c>
      <c r="C97" s="1" t="s">
        <v>204</v>
      </c>
      <c r="D97" s="2">
        <f t="shared" si="35"/>
        <v>105.91858733099252</v>
      </c>
      <c r="E97" s="2">
        <f t="shared" si="36"/>
        <v>31.07434927426674</v>
      </c>
      <c r="F97" s="2">
        <f t="shared" si="40"/>
        <v>136.99293660525927</v>
      </c>
      <c r="G97" s="2">
        <f t="shared" si="41"/>
        <v>6188.5002611645505</v>
      </c>
      <c r="H97" s="2">
        <f t="shared" si="37"/>
        <v>82.11705691695872</v>
      </c>
      <c r="I97" s="2">
        <f t="shared" si="38"/>
        <v>23.991367533437373</v>
      </c>
      <c r="J97" s="2">
        <f t="shared" si="42"/>
        <v>106.10842445039609</v>
      </c>
      <c r="K97" s="2">
        <f t="shared" si="43"/>
        <v>4139.104951420844</v>
      </c>
    </row>
    <row r="98" spans="1:11" ht="12.75">
      <c r="A98" s="19">
        <f t="shared" si="39"/>
        <v>31.847998</v>
      </c>
      <c r="B98" s="19">
        <f t="shared" si="34"/>
        <v>27.999998</v>
      </c>
      <c r="C98" s="1" t="s">
        <v>204</v>
      </c>
      <c r="D98" s="2">
        <f t="shared" si="35"/>
        <v>100.95349982717899</v>
      </c>
      <c r="E98" s="2">
        <f t="shared" si="36"/>
        <v>29.865699608268272</v>
      </c>
      <c r="F98" s="2">
        <f t="shared" si="40"/>
        <v>130.81919943544727</v>
      </c>
      <c r="G98" s="2">
        <f t="shared" si="41"/>
        <v>6322.406329184903</v>
      </c>
      <c r="H98" s="2">
        <f t="shared" si="37"/>
        <v>79.34789378438877</v>
      </c>
      <c r="I98" s="2">
        <f t="shared" si="38"/>
        <v>23.280052637981942</v>
      </c>
      <c r="J98" s="2">
        <f t="shared" si="42"/>
        <v>102.62794642237071</v>
      </c>
      <c r="K98" s="2">
        <f t="shared" si="43"/>
        <v>4243.4731368572275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7"/>
  <sheetViews>
    <sheetView workbookViewId="0" topLeftCell="A109">
      <selection activeCell="A118" sqref="A118:C137"/>
    </sheetView>
  </sheetViews>
  <sheetFormatPr defaultColWidth="11.00390625" defaultRowHeight="12"/>
  <cols>
    <col min="1" max="1" width="30.50390625" style="21" bestFit="1" customWidth="1"/>
    <col min="2" max="2" width="12.125" style="21" bestFit="1" customWidth="1"/>
    <col min="3" max="3" width="8.375" style="21" bestFit="1" customWidth="1"/>
    <col min="4" max="4" width="9.125" style="21" bestFit="1" customWidth="1"/>
    <col min="5" max="5" width="23.125" style="21" bestFit="1" customWidth="1"/>
    <col min="6" max="6" width="7.125" style="21" bestFit="1" customWidth="1"/>
    <col min="7" max="7" width="3.375" style="21" bestFit="1" customWidth="1"/>
    <col min="8" max="16384" width="10.875" style="21" customWidth="1"/>
  </cols>
  <sheetData>
    <row r="1" spans="1:3" ht="12.75">
      <c r="A1" s="20" t="s">
        <v>41</v>
      </c>
      <c r="B1" s="26">
        <f>'In Plane'!D73</f>
        <v>2308.5620905050373</v>
      </c>
      <c r="C1" s="20" t="s">
        <v>120</v>
      </c>
    </row>
    <row r="2" spans="1:3" ht="12.75">
      <c r="A2" s="20" t="s">
        <v>42</v>
      </c>
      <c r="B2" s="26">
        <f>'In Plane'!B73</f>
        <v>9234.24836202015</v>
      </c>
      <c r="C2" s="24" t="s">
        <v>120</v>
      </c>
    </row>
    <row r="3" spans="1:3" ht="12.75">
      <c r="A3" s="20" t="s">
        <v>24</v>
      </c>
      <c r="B3" s="26">
        <f>12*B1+24*B2</f>
        <v>249324.70577454404</v>
      </c>
      <c r="C3" s="24" t="s">
        <v>120</v>
      </c>
    </row>
    <row r="4" spans="1:7" ht="12.75">
      <c r="A4" s="20" t="s">
        <v>59</v>
      </c>
      <c r="B4" s="23"/>
      <c r="C4" s="24"/>
      <c r="E4" s="20" t="s">
        <v>60</v>
      </c>
      <c r="F4" s="20"/>
      <c r="G4" s="20"/>
    </row>
    <row r="5" spans="1:7" ht="12.75">
      <c r="A5" s="20" t="s">
        <v>85</v>
      </c>
      <c r="B5" s="20">
        <v>0.005</v>
      </c>
      <c r="C5" s="20" t="s">
        <v>129</v>
      </c>
      <c r="E5" s="20" t="s">
        <v>80</v>
      </c>
      <c r="F5" s="23">
        <f>B13</f>
        <v>0.9015174463477288</v>
      </c>
      <c r="G5" s="20"/>
    </row>
    <row r="6" spans="1:7" ht="12.75">
      <c r="A6" s="20" t="s">
        <v>44</v>
      </c>
      <c r="B6" s="23">
        <v>0.6</v>
      </c>
      <c r="C6" s="20"/>
      <c r="E6" s="20" t="s">
        <v>143</v>
      </c>
      <c r="F6" s="20">
        <f>F5*B3</f>
        <v>224770.57206126576</v>
      </c>
      <c r="G6" s="20" t="s">
        <v>76</v>
      </c>
    </row>
    <row r="7" spans="1:7" ht="12.75">
      <c r="A7" s="20" t="s">
        <v>45</v>
      </c>
      <c r="B7" s="23">
        <f>1-B6</f>
        <v>0.4</v>
      </c>
      <c r="C7" s="20"/>
      <c r="E7" s="20" t="s">
        <v>29</v>
      </c>
      <c r="F7" s="20">
        <v>0.2</v>
      </c>
      <c r="G7" s="20"/>
    </row>
    <row r="8" spans="1:7" ht="12.75">
      <c r="A8" s="20" t="s">
        <v>82</v>
      </c>
      <c r="B8" s="20">
        <f>B6/B7</f>
        <v>1.4999999999999998</v>
      </c>
      <c r="C8" s="20"/>
      <c r="E8" s="20" t="s">
        <v>30</v>
      </c>
      <c r="F8" s="20">
        <f>4*5000</f>
        <v>20000</v>
      </c>
      <c r="G8" s="20" t="s">
        <v>76</v>
      </c>
    </row>
    <row r="9" spans="1:7" ht="12.75">
      <c r="A9" s="20" t="s">
        <v>83</v>
      </c>
      <c r="B9" s="25">
        <f>B3*B8/B5/(1+B8)</f>
        <v>29918964.69294528</v>
      </c>
      <c r="C9" s="20" t="s">
        <v>90</v>
      </c>
      <c r="E9" s="20" t="s">
        <v>31</v>
      </c>
      <c r="F9" s="20">
        <f>F7*F8</f>
        <v>4000</v>
      </c>
      <c r="G9" s="20" t="s">
        <v>76</v>
      </c>
    </row>
    <row r="10" spans="1:7" ht="12.75">
      <c r="A10" s="20" t="s">
        <v>84</v>
      </c>
      <c r="B10" s="25">
        <f>B9/B8</f>
        <v>19945976.461963523</v>
      </c>
      <c r="C10" s="20" t="s">
        <v>90</v>
      </c>
      <c r="E10" s="20" t="s">
        <v>32</v>
      </c>
      <c r="F10" s="20">
        <f>36*F9</f>
        <v>144000</v>
      </c>
      <c r="G10" s="20" t="s">
        <v>76</v>
      </c>
    </row>
    <row r="11" spans="1:7" ht="12.75">
      <c r="A11" s="20" t="s">
        <v>87</v>
      </c>
      <c r="B11" s="31">
        <v>3908889.6264998326</v>
      </c>
      <c r="C11" s="20" t="s">
        <v>90</v>
      </c>
      <c r="E11" s="20" t="s">
        <v>54</v>
      </c>
      <c r="F11" s="20">
        <f>F6-F10</f>
        <v>80770.57206126576</v>
      </c>
      <c r="G11" s="20" t="s">
        <v>76</v>
      </c>
    </row>
    <row r="12" spans="1:7" ht="12.75">
      <c r="A12" s="20" t="s">
        <v>88</v>
      </c>
      <c r="B12" s="25">
        <f>B10*B11/(B10+B11)</f>
        <v>3268373.8484822228</v>
      </c>
      <c r="C12" s="20" t="s">
        <v>90</v>
      </c>
      <c r="E12" s="20" t="s">
        <v>55</v>
      </c>
      <c r="F12" s="20">
        <f>1/(1+0.707)</f>
        <v>0.5858230814294084</v>
      </c>
      <c r="G12" s="20"/>
    </row>
    <row r="13" spans="1:7" ht="12.75">
      <c r="A13" s="20" t="s">
        <v>80</v>
      </c>
      <c r="B13" s="23">
        <f>(1/B12)/(1/B9+1/B12)</f>
        <v>0.9015174463477288</v>
      </c>
      <c r="C13" s="20"/>
      <c r="E13" s="20" t="s">
        <v>56</v>
      </c>
      <c r="F13" s="20">
        <f>1-F12</f>
        <v>0.4141769185705916</v>
      </c>
      <c r="G13" s="20"/>
    </row>
    <row r="14" spans="1:7" ht="12.75">
      <c r="A14" s="20" t="s">
        <v>81</v>
      </c>
      <c r="B14" s="23">
        <f>1-B13</f>
        <v>0.09848255365227121</v>
      </c>
      <c r="C14" s="20"/>
      <c r="E14" s="20" t="s">
        <v>57</v>
      </c>
      <c r="F14" s="20">
        <f>F11/36*F12</f>
        <v>1314.3684837151889</v>
      </c>
      <c r="G14" s="20" t="s">
        <v>76</v>
      </c>
    </row>
    <row r="15" spans="1:7" ht="12.75">
      <c r="A15" s="20" t="s">
        <v>86</v>
      </c>
      <c r="B15" s="20">
        <v>0.007</v>
      </c>
      <c r="C15" s="20" t="s">
        <v>129</v>
      </c>
      <c r="E15" s="20" t="s">
        <v>58</v>
      </c>
      <c r="F15" s="20">
        <f>F11/36*F13</f>
        <v>929.2585179866381</v>
      </c>
      <c r="G15" s="20" t="s">
        <v>76</v>
      </c>
    </row>
    <row r="16" spans="1:3" ht="12.75">
      <c r="A16" s="20" t="s">
        <v>89</v>
      </c>
      <c r="B16" s="25">
        <f>B12*B15</f>
        <v>22878.61693937556</v>
      </c>
      <c r="C16" s="20" t="s">
        <v>91</v>
      </c>
    </row>
    <row r="17" spans="1:3" ht="12.75">
      <c r="A17" s="24" t="s">
        <v>93</v>
      </c>
      <c r="B17" s="20">
        <v>0.018</v>
      </c>
      <c r="C17" s="24" t="s">
        <v>129</v>
      </c>
    </row>
    <row r="18" spans="1:3" ht="12.75">
      <c r="A18" s="24" t="s">
        <v>94</v>
      </c>
      <c r="B18" s="20">
        <v>6000</v>
      </c>
      <c r="C18" s="24" t="s">
        <v>91</v>
      </c>
    </row>
    <row r="19" spans="1:3" ht="12.75">
      <c r="A19" s="24" t="s">
        <v>92</v>
      </c>
      <c r="B19" s="26">
        <f>B18/B17</f>
        <v>333333.3333333334</v>
      </c>
      <c r="C19" s="24" t="s">
        <v>90</v>
      </c>
    </row>
    <row r="20" spans="1:3" ht="12.75">
      <c r="A20" s="24" t="s">
        <v>95</v>
      </c>
      <c r="B20" s="26">
        <f>INT(B11/B19+0.5)</f>
        <v>12</v>
      </c>
      <c r="C20" s="20"/>
    </row>
    <row r="21" spans="1:3" ht="12.75">
      <c r="A21" s="20" t="s">
        <v>241</v>
      </c>
      <c r="B21" s="20">
        <v>3.25</v>
      </c>
      <c r="C21" s="20" t="s">
        <v>129</v>
      </c>
    </row>
    <row r="22" spans="1:3" ht="12.75">
      <c r="A22" s="20" t="s">
        <v>242</v>
      </c>
      <c r="B22" s="20">
        <v>3.96</v>
      </c>
      <c r="C22" s="20" t="s">
        <v>129</v>
      </c>
    </row>
    <row r="23" spans="1:3" ht="12.75">
      <c r="A23" s="20" t="s">
        <v>243</v>
      </c>
      <c r="B23" s="20">
        <v>24.88</v>
      </c>
      <c r="C23" s="20" t="s">
        <v>129</v>
      </c>
    </row>
    <row r="24" spans="1:3" ht="12.75">
      <c r="A24" s="20" t="s">
        <v>244</v>
      </c>
      <c r="B24" s="20">
        <v>80.86</v>
      </c>
      <c r="C24" s="20" t="s">
        <v>245</v>
      </c>
    </row>
    <row r="25" spans="1:3" ht="12.75">
      <c r="A25" s="20" t="s">
        <v>246</v>
      </c>
      <c r="B25" s="20">
        <f>24/22*(12500+26000)</f>
        <v>42000</v>
      </c>
      <c r="C25" s="20" t="s">
        <v>247</v>
      </c>
    </row>
    <row r="26" spans="1:3" ht="12.75">
      <c r="A26" s="20"/>
      <c r="B26" s="26">
        <f>B25*0.2248*100/2.54/12</f>
        <v>30976.377952755905</v>
      </c>
      <c r="C26" s="20" t="s">
        <v>248</v>
      </c>
    </row>
    <row r="27" spans="1:3" ht="12.75">
      <c r="A27" s="20"/>
      <c r="B27" s="26">
        <f>B26*12</f>
        <v>371716.53543307085</v>
      </c>
      <c r="C27" s="20" t="s">
        <v>121</v>
      </c>
    </row>
    <row r="28" spans="1:3" ht="12.75">
      <c r="A28" s="20" t="s">
        <v>249</v>
      </c>
      <c r="B28" s="22">
        <v>1</v>
      </c>
      <c r="C28" s="20"/>
    </row>
    <row r="29" spans="1:3" ht="12.75">
      <c r="A29" s="20" t="s">
        <v>263</v>
      </c>
      <c r="B29" s="26">
        <f>B28*B27/B22</f>
        <v>93867.8119780482</v>
      </c>
      <c r="C29" s="20" t="s">
        <v>120</v>
      </c>
    </row>
    <row r="30" spans="1:3" ht="12.75">
      <c r="A30" s="20" t="s">
        <v>22</v>
      </c>
      <c r="B30" s="26">
        <f>B29/B24</f>
        <v>1160.868315335743</v>
      </c>
      <c r="C30" s="20" t="s">
        <v>23</v>
      </c>
    </row>
    <row r="31" spans="1:3" ht="12.75">
      <c r="A31" s="24" t="s">
        <v>25</v>
      </c>
      <c r="B31" s="26">
        <f>B14*B3</f>
        <v>24554.13371327827</v>
      </c>
      <c r="C31" s="24" t="s">
        <v>120</v>
      </c>
    </row>
    <row r="32" spans="1:3" ht="12.75">
      <c r="A32" s="24" t="s">
        <v>26</v>
      </c>
      <c r="B32" s="26">
        <f>B31/B24</f>
        <v>303.6623016729937</v>
      </c>
      <c r="C32" s="24" t="s">
        <v>23</v>
      </c>
    </row>
    <row r="33" spans="1:3" ht="12.75">
      <c r="A33" s="24" t="s">
        <v>78</v>
      </c>
      <c r="B33" s="26">
        <f>B16</f>
        <v>22878.61693937556</v>
      </c>
      <c r="C33" s="24" t="s">
        <v>120</v>
      </c>
    </row>
    <row r="34" spans="1:3" ht="12.75">
      <c r="A34" s="24" t="s">
        <v>79</v>
      </c>
      <c r="B34" s="23">
        <f>B33/B24</f>
        <v>282.9410949712535</v>
      </c>
      <c r="C34" s="24" t="s">
        <v>23</v>
      </c>
    </row>
    <row r="35" spans="1:3" ht="12.75">
      <c r="A35" s="24" t="s">
        <v>27</v>
      </c>
      <c r="B35" s="26">
        <f>SQRT(B29^2+(B31+B33)^2)</f>
        <v>105171.4408003572</v>
      </c>
      <c r="C35" s="24" t="s">
        <v>120</v>
      </c>
    </row>
    <row r="36" spans="1:3" ht="12.75">
      <c r="A36" s="24" t="s">
        <v>172</v>
      </c>
      <c r="B36" s="32">
        <v>2</v>
      </c>
      <c r="C36" s="20"/>
    </row>
    <row r="37" spans="1:3" ht="12.75">
      <c r="A37" s="20" t="s">
        <v>74</v>
      </c>
      <c r="B37" s="26">
        <f>B24*B40</f>
        <v>210342.8816007144</v>
      </c>
      <c r="C37" s="20" t="s">
        <v>120</v>
      </c>
    </row>
    <row r="38" spans="1:3" ht="12.75">
      <c r="A38" s="20" t="s">
        <v>28</v>
      </c>
      <c r="B38" s="20">
        <f>1700</f>
        <v>1700</v>
      </c>
      <c r="C38" s="20" t="s">
        <v>23</v>
      </c>
    </row>
    <row r="39" spans="1:3" ht="12.75">
      <c r="A39" s="20" t="s">
        <v>173</v>
      </c>
      <c r="B39" s="34">
        <f>(B36*B35/B24-B38)/0.3</f>
        <v>3004.4060351518847</v>
      </c>
      <c r="C39" s="20" t="s">
        <v>23</v>
      </c>
    </row>
    <row r="40" spans="1:3" ht="12.75">
      <c r="A40" s="20" t="s">
        <v>73</v>
      </c>
      <c r="B40" s="26">
        <f>B38+0.3*B39</f>
        <v>2601.3218105455653</v>
      </c>
      <c r="C40" s="20" t="s">
        <v>23</v>
      </c>
    </row>
    <row r="41" spans="1:3" ht="12.75">
      <c r="A41" s="28" t="s">
        <v>250</v>
      </c>
      <c r="B41" s="25">
        <v>1.69E-05</v>
      </c>
      <c r="C41" s="20" t="s">
        <v>251</v>
      </c>
    </row>
    <row r="42" spans="1:3" ht="12.75">
      <c r="A42" s="28" t="s">
        <v>34</v>
      </c>
      <c r="B42" s="20">
        <v>10</v>
      </c>
      <c r="C42" s="20" t="s">
        <v>252</v>
      </c>
    </row>
    <row r="43" spans="1:3" ht="12.75">
      <c r="A43" s="28" t="s">
        <v>144</v>
      </c>
      <c r="B43" s="20">
        <f>B22-0.032-0.054</f>
        <v>3.874</v>
      </c>
      <c r="C43" s="20" t="s">
        <v>129</v>
      </c>
    </row>
    <row r="44" spans="1:3" ht="12.75">
      <c r="A44" s="28" t="s">
        <v>35</v>
      </c>
      <c r="B44" s="20">
        <v>29</v>
      </c>
      <c r="C44" s="20" t="s">
        <v>252</v>
      </c>
    </row>
    <row r="45" spans="1:3" ht="12.75">
      <c r="A45" s="28" t="s">
        <v>53</v>
      </c>
      <c r="B45" s="25">
        <f>B43*(B44-B42)*B41</f>
        <v>0.0012439414000000003</v>
      </c>
      <c r="C45" s="20" t="s">
        <v>129</v>
      </c>
    </row>
    <row r="46" spans="1:3" ht="12.75">
      <c r="A46" s="28" t="s">
        <v>36</v>
      </c>
      <c r="B46" s="20">
        <v>66</v>
      </c>
      <c r="C46" s="20" t="s">
        <v>252</v>
      </c>
    </row>
    <row r="47" spans="1:3" ht="12.75">
      <c r="A47" s="20" t="s">
        <v>153</v>
      </c>
      <c r="B47" s="25">
        <f>B43*(B46-B42)*B41</f>
        <v>0.0036663536000000004</v>
      </c>
      <c r="C47" s="20" t="s">
        <v>129</v>
      </c>
    </row>
    <row r="48" spans="1:3" ht="12.75">
      <c r="A48" s="28" t="s">
        <v>37</v>
      </c>
      <c r="B48" s="20">
        <v>95</v>
      </c>
      <c r="C48" s="20" t="s">
        <v>252</v>
      </c>
    </row>
    <row r="49" spans="1:3" ht="12.75">
      <c r="A49" s="20" t="s">
        <v>154</v>
      </c>
      <c r="B49" s="25">
        <f>B43*(B48-B42)*B41</f>
        <v>0.005565001000000001</v>
      </c>
      <c r="C49" s="20" t="s">
        <v>129</v>
      </c>
    </row>
    <row r="50" spans="1:3" ht="12.75">
      <c r="A50" s="20" t="s">
        <v>253</v>
      </c>
      <c r="B50" s="25">
        <v>1000000</v>
      </c>
      <c r="C50" s="20" t="s">
        <v>23</v>
      </c>
    </row>
    <row r="51" spans="1:3" ht="12.75">
      <c r="A51" s="20" t="s">
        <v>255</v>
      </c>
      <c r="B51" s="29">
        <v>0.25</v>
      </c>
      <c r="C51" s="20" t="s">
        <v>129</v>
      </c>
    </row>
    <row r="52" spans="1:3" ht="12.75">
      <c r="A52" s="20" t="s">
        <v>256</v>
      </c>
      <c r="B52" s="25">
        <f>B50*B24/B51</f>
        <v>323440000</v>
      </c>
      <c r="C52" s="20" t="s">
        <v>90</v>
      </c>
    </row>
    <row r="53" spans="1:3" ht="12.75">
      <c r="A53" s="20" t="s">
        <v>254</v>
      </c>
      <c r="B53" s="25">
        <v>29000000</v>
      </c>
      <c r="C53" s="20" t="s">
        <v>23</v>
      </c>
    </row>
    <row r="54" spans="1:3" ht="12.75">
      <c r="A54" s="20" t="s">
        <v>75</v>
      </c>
      <c r="B54" s="29">
        <v>0.5</v>
      </c>
      <c r="C54" s="20" t="s">
        <v>129</v>
      </c>
    </row>
    <row r="55" spans="1:3" ht="12.75">
      <c r="A55" s="20" t="s">
        <v>149</v>
      </c>
      <c r="B55" s="25">
        <f>B53*B21*B54/(2*PI()*(B22+B51+B54/2))</f>
        <v>1681653.9670864502</v>
      </c>
      <c r="C55" s="20" t="s">
        <v>90</v>
      </c>
    </row>
    <row r="56" spans="1:3" ht="12.75">
      <c r="A56" s="24" t="s">
        <v>77</v>
      </c>
      <c r="B56" s="20">
        <v>4</v>
      </c>
      <c r="C56" s="24" t="s">
        <v>127</v>
      </c>
    </row>
    <row r="57" spans="1:3" ht="12.75">
      <c r="A57" s="24" t="s">
        <v>148</v>
      </c>
      <c r="B57" s="20">
        <v>3</v>
      </c>
      <c r="C57" s="24"/>
    </row>
    <row r="58" spans="1:3" ht="12.75">
      <c r="A58" s="24" t="s">
        <v>97</v>
      </c>
      <c r="B58" s="20">
        <v>0.5</v>
      </c>
      <c r="C58" s="20" t="s">
        <v>129</v>
      </c>
    </row>
    <row r="59" spans="1:3" ht="12.75">
      <c r="A59" s="24" t="s">
        <v>258</v>
      </c>
      <c r="B59" s="20">
        <v>0.449</v>
      </c>
      <c r="C59" s="20" t="s">
        <v>129</v>
      </c>
    </row>
    <row r="60" spans="1:3" ht="12.75">
      <c r="A60" s="24" t="s">
        <v>98</v>
      </c>
      <c r="B60" s="20">
        <v>13</v>
      </c>
      <c r="C60" s="20"/>
    </row>
    <row r="61" spans="1:3" ht="12.75">
      <c r="A61" s="24" t="s">
        <v>99</v>
      </c>
      <c r="B61" s="23">
        <f>PI()/4*(B58-0.9743/B60)^2</f>
        <v>0.14189849261064028</v>
      </c>
      <c r="C61" s="20" t="s">
        <v>245</v>
      </c>
    </row>
    <row r="62" spans="1:3" ht="12.75">
      <c r="A62" s="24" t="s">
        <v>145</v>
      </c>
      <c r="B62" s="25">
        <v>29000000</v>
      </c>
      <c r="C62" s="20" t="s">
        <v>23</v>
      </c>
    </row>
    <row r="63" spans="1:3" ht="12.75">
      <c r="A63" s="24" t="s">
        <v>146</v>
      </c>
      <c r="B63" s="23">
        <v>1.25</v>
      </c>
      <c r="C63" s="20" t="s">
        <v>129</v>
      </c>
    </row>
    <row r="64" spans="1:3" ht="12.75">
      <c r="A64" s="24" t="s">
        <v>147</v>
      </c>
      <c r="B64" s="25">
        <f>B62*B61/B63</f>
        <v>3292045.0285668545</v>
      </c>
      <c r="C64" s="20" t="s">
        <v>90</v>
      </c>
    </row>
    <row r="65" spans="1:3" ht="12.75">
      <c r="A65" s="24" t="s">
        <v>152</v>
      </c>
      <c r="B65" s="25">
        <f>B56*B64/B57</f>
        <v>4389393.371422472</v>
      </c>
      <c r="C65" s="20" t="s">
        <v>90</v>
      </c>
    </row>
    <row r="66" spans="1:3" ht="12.75">
      <c r="A66" s="20" t="s">
        <v>150</v>
      </c>
      <c r="B66" s="25">
        <f>B65*B55/(B55+B65)</f>
        <v>1215843.0604444086</v>
      </c>
      <c r="C66" s="20" t="s">
        <v>90</v>
      </c>
    </row>
    <row r="67" spans="1:3" ht="12.75">
      <c r="A67" s="20" t="s">
        <v>151</v>
      </c>
      <c r="B67" s="25">
        <f>2*PI()*B66</f>
        <v>7639367.253220569</v>
      </c>
      <c r="C67" s="20" t="s">
        <v>90</v>
      </c>
    </row>
    <row r="68" spans="1:3" ht="12.75">
      <c r="A68" s="20" t="s">
        <v>257</v>
      </c>
      <c r="B68" s="25">
        <f>B52*B67/(B52+B67)</f>
        <v>7463095.525647335</v>
      </c>
      <c r="C68" s="20" t="s">
        <v>90</v>
      </c>
    </row>
    <row r="69" spans="1:3" ht="12.75">
      <c r="A69" s="20" t="s">
        <v>155</v>
      </c>
      <c r="B69" s="26">
        <f>B45*B68</f>
        <v>9283.653496507484</v>
      </c>
      <c r="C69" s="20" t="s">
        <v>91</v>
      </c>
    </row>
    <row r="70" spans="1:3" ht="12.75">
      <c r="A70" s="20" t="s">
        <v>38</v>
      </c>
      <c r="B70" s="26">
        <f>B69/B24</f>
        <v>114.81144566544008</v>
      </c>
      <c r="C70" s="20" t="s">
        <v>23</v>
      </c>
    </row>
    <row r="71" spans="1:3" ht="12.75">
      <c r="A71" s="20" t="s">
        <v>156</v>
      </c>
      <c r="B71" s="26">
        <f>B70*(B22+B51/2)*B21</f>
        <v>1524.2654555157987</v>
      </c>
      <c r="C71" s="20" t="s">
        <v>91</v>
      </c>
    </row>
    <row r="72" spans="1:3" ht="12.75">
      <c r="A72" s="20" t="s">
        <v>157</v>
      </c>
      <c r="B72" s="26">
        <f>B47*B68</f>
        <v>27362.347147601</v>
      </c>
      <c r="C72" s="20" t="s">
        <v>91</v>
      </c>
    </row>
    <row r="73" spans="1:3" ht="12.75">
      <c r="A73" s="20" t="s">
        <v>39</v>
      </c>
      <c r="B73" s="26">
        <f>B72/B24</f>
        <v>338.39162932971806</v>
      </c>
      <c r="C73" s="20" t="s">
        <v>23</v>
      </c>
    </row>
    <row r="74" spans="1:3" ht="12.75">
      <c r="A74" s="20" t="s">
        <v>158</v>
      </c>
      <c r="B74" s="26">
        <f>B73*(B22+B51/2)*B21</f>
        <v>4492.571868888669</v>
      </c>
      <c r="C74" s="20" t="s">
        <v>91</v>
      </c>
    </row>
    <row r="75" spans="1:3" ht="12.75">
      <c r="A75" s="20" t="s">
        <v>159</v>
      </c>
      <c r="B75" s="26">
        <f>B49*B68</f>
        <v>41532.13406332295</v>
      </c>
      <c r="C75" s="20" t="s">
        <v>91</v>
      </c>
    </row>
    <row r="76" spans="1:3" ht="12.75">
      <c r="A76" s="20" t="s">
        <v>40</v>
      </c>
      <c r="B76" s="26">
        <f>B75/B24</f>
        <v>513.6301516611792</v>
      </c>
      <c r="C76" s="20" t="s">
        <v>23</v>
      </c>
    </row>
    <row r="77" spans="1:3" ht="12.75">
      <c r="A77" s="20" t="s">
        <v>160</v>
      </c>
      <c r="B77" s="26">
        <f>B76*(B22+B51/2)*B21</f>
        <v>6819.08230099173</v>
      </c>
      <c r="C77" s="20" t="s">
        <v>91</v>
      </c>
    </row>
    <row r="78" spans="1:3" ht="12.75">
      <c r="A78" s="20" t="s">
        <v>161</v>
      </c>
      <c r="B78" s="23">
        <f>B22*B39*B21</f>
        <v>38666.70567240476</v>
      </c>
      <c r="C78" s="20" t="s">
        <v>76</v>
      </c>
    </row>
    <row r="79" spans="1:3" ht="12.75">
      <c r="A79" s="20" t="s">
        <v>162</v>
      </c>
      <c r="B79" s="23">
        <f>B78-B69</f>
        <v>29383.052175897275</v>
      </c>
      <c r="C79" s="20" t="s">
        <v>76</v>
      </c>
    </row>
    <row r="80" spans="1:3" ht="12.75">
      <c r="A80" s="20" t="s">
        <v>163</v>
      </c>
      <c r="B80" s="23">
        <f>B77+B79</f>
        <v>36202.134476889005</v>
      </c>
      <c r="C80" s="20" t="s">
        <v>76</v>
      </c>
    </row>
    <row r="81" spans="1:3" ht="12.75">
      <c r="A81" s="24" t="s">
        <v>164</v>
      </c>
      <c r="B81" s="26">
        <f>B80/B54/B21</f>
        <v>22278.236601162465</v>
      </c>
      <c r="C81" s="20" t="s">
        <v>23</v>
      </c>
    </row>
    <row r="82" spans="1:3" ht="12.75">
      <c r="A82" s="24" t="s">
        <v>96</v>
      </c>
      <c r="B82" s="26">
        <f>B80/B56</f>
        <v>9050.533619222251</v>
      </c>
      <c r="C82" s="24" t="s">
        <v>76</v>
      </c>
    </row>
    <row r="83" spans="1:3" ht="12.75">
      <c r="A83" s="24" t="s">
        <v>100</v>
      </c>
      <c r="B83" s="26">
        <f>B82/B61</f>
        <v>63781.74604050442</v>
      </c>
      <c r="C83" s="20" t="s">
        <v>23</v>
      </c>
    </row>
    <row r="84" spans="1:3" ht="12.75">
      <c r="A84" s="24" t="s">
        <v>101</v>
      </c>
      <c r="B84" s="32">
        <v>1.5</v>
      </c>
      <c r="C84" s="20"/>
    </row>
    <row r="85" spans="1:3" ht="12.75">
      <c r="A85" s="20" t="s">
        <v>174</v>
      </c>
      <c r="B85" s="34">
        <f>B83*B84</f>
        <v>95672.61906075662</v>
      </c>
      <c r="C85" s="20" t="s">
        <v>23</v>
      </c>
    </row>
    <row r="86" spans="1:3" ht="12.75">
      <c r="A86" s="24" t="s">
        <v>33</v>
      </c>
      <c r="B86" s="22"/>
      <c r="C86" s="20"/>
    </row>
    <row r="87" spans="1:3" ht="12.75">
      <c r="A87" s="20" t="s">
        <v>61</v>
      </c>
      <c r="B87" s="26">
        <f>B20</f>
        <v>12</v>
      </c>
      <c r="C87" s="20"/>
    </row>
    <row r="88" spans="1:3" ht="12.75">
      <c r="A88" s="20" t="s">
        <v>62</v>
      </c>
      <c r="B88" s="20">
        <v>7.8265</v>
      </c>
      <c r="C88" s="20" t="s">
        <v>129</v>
      </c>
    </row>
    <row r="89" spans="1:3" ht="12.75">
      <c r="A89" s="20" t="s">
        <v>72</v>
      </c>
      <c r="B89" s="26">
        <f>B27*B28/B88</f>
        <v>47494.60620112066</v>
      </c>
      <c r="C89" s="20" t="s">
        <v>120</v>
      </c>
    </row>
    <row r="90" spans="1:3" ht="12.75">
      <c r="A90" s="20" t="s">
        <v>63</v>
      </c>
      <c r="B90" s="26">
        <f>B89/B87</f>
        <v>3957.8838500933884</v>
      </c>
      <c r="C90" s="20" t="s">
        <v>120</v>
      </c>
    </row>
    <row r="91" spans="1:3" ht="12.75">
      <c r="A91" s="20" t="s">
        <v>65</v>
      </c>
      <c r="B91" s="20">
        <v>0.5</v>
      </c>
      <c r="C91" s="20" t="s">
        <v>129</v>
      </c>
    </row>
    <row r="92" spans="1:3" ht="12.75">
      <c r="A92" s="20" t="s">
        <v>66</v>
      </c>
      <c r="B92" s="20">
        <v>0.75</v>
      </c>
      <c r="C92" s="20" t="s">
        <v>129</v>
      </c>
    </row>
    <row r="93" spans="1:3" ht="12.75">
      <c r="A93" s="20" t="s">
        <v>67</v>
      </c>
      <c r="B93" s="20">
        <f>B91*B92</f>
        <v>0.375</v>
      </c>
      <c r="C93" s="20" t="s">
        <v>245</v>
      </c>
    </row>
    <row r="94" spans="1:3" ht="12.75">
      <c r="A94" s="20" t="s">
        <v>68</v>
      </c>
      <c r="B94" s="23">
        <f>PI()*B91^2/4</f>
        <v>0.19634954084936207</v>
      </c>
      <c r="C94" s="20" t="s">
        <v>245</v>
      </c>
    </row>
    <row r="95" spans="1:3" ht="12.75">
      <c r="A95" s="20" t="s">
        <v>69</v>
      </c>
      <c r="B95" s="26">
        <f>B97*B94</f>
        <v>0.09817477042468103</v>
      </c>
      <c r="C95" s="20" t="s">
        <v>120</v>
      </c>
    </row>
    <row r="96" spans="1:3" ht="12.75">
      <c r="A96" s="20" t="s">
        <v>70</v>
      </c>
      <c r="B96" s="32">
        <v>2</v>
      </c>
      <c r="C96" s="20"/>
    </row>
    <row r="97" spans="1:3" ht="12.75">
      <c r="A97" s="20" t="s">
        <v>52</v>
      </c>
      <c r="B97" s="36">
        <v>0.5</v>
      </c>
      <c r="C97" s="20" t="s">
        <v>127</v>
      </c>
    </row>
    <row r="98" spans="1:3" ht="12.75">
      <c r="A98" s="20" t="s">
        <v>49</v>
      </c>
      <c r="B98" s="34">
        <f>B96*B90/B94/B97</f>
        <v>80629.34770252094</v>
      </c>
      <c r="C98" s="20" t="s">
        <v>23</v>
      </c>
    </row>
    <row r="99" spans="1:3" ht="12.75">
      <c r="A99" s="20" t="s">
        <v>64</v>
      </c>
      <c r="B99" s="20">
        <v>2.3</v>
      </c>
      <c r="C99" s="20"/>
    </row>
    <row r="100" spans="1:3" ht="12.75">
      <c r="A100" s="20" t="s">
        <v>71</v>
      </c>
      <c r="B100" s="35">
        <v>2</v>
      </c>
      <c r="C100" s="20"/>
    </row>
    <row r="101" spans="1:4" s="30" customFormat="1" ht="12.75">
      <c r="A101" s="22" t="s">
        <v>46</v>
      </c>
      <c r="B101" s="34">
        <f>B90/B93*B99*B100</f>
        <v>48550.04189447889</v>
      </c>
      <c r="C101" s="22" t="s">
        <v>23</v>
      </c>
      <c r="D101" s="30" t="s">
        <v>127</v>
      </c>
    </row>
    <row r="102" spans="1:3" ht="12.75">
      <c r="A102" s="24" t="s">
        <v>175</v>
      </c>
      <c r="B102" s="26">
        <f>(B31+B33)/B20</f>
        <v>3952.7292210544856</v>
      </c>
      <c r="C102" s="24" t="s">
        <v>76</v>
      </c>
    </row>
    <row r="103" spans="1:3" ht="12.75">
      <c r="A103" s="24" t="s">
        <v>47</v>
      </c>
      <c r="B103" s="22"/>
      <c r="C103" s="24"/>
    </row>
    <row r="104" spans="1:3" ht="12.75">
      <c r="A104" s="24" t="s">
        <v>97</v>
      </c>
      <c r="B104" s="20">
        <v>0.5</v>
      </c>
      <c r="C104" s="20" t="s">
        <v>129</v>
      </c>
    </row>
    <row r="105" spans="1:3" ht="12.75">
      <c r="A105" s="24" t="s">
        <v>258</v>
      </c>
      <c r="B105" s="20">
        <v>0.449</v>
      </c>
      <c r="C105" s="20" t="s">
        <v>129</v>
      </c>
    </row>
    <row r="106" spans="1:3" ht="12.75">
      <c r="A106" s="24" t="s">
        <v>98</v>
      </c>
      <c r="B106" s="20">
        <v>13</v>
      </c>
      <c r="C106" s="20"/>
    </row>
    <row r="107" spans="1:3" ht="12.75">
      <c r="A107" s="24" t="s">
        <v>99</v>
      </c>
      <c r="B107" s="23">
        <f>PI()/4*(B104-0.9743/B106)^2</f>
        <v>0.14189849261064028</v>
      </c>
      <c r="C107" s="20" t="s">
        <v>245</v>
      </c>
    </row>
    <row r="108" spans="1:3" ht="12.75">
      <c r="A108" s="24" t="s">
        <v>100</v>
      </c>
      <c r="B108" s="26">
        <f>B102/B107</f>
        <v>27856.03390376037</v>
      </c>
      <c r="C108" s="20" t="s">
        <v>23</v>
      </c>
    </row>
    <row r="109" spans="1:3" ht="12.75">
      <c r="A109" s="24" t="s">
        <v>101</v>
      </c>
      <c r="B109" s="32">
        <v>1.5</v>
      </c>
      <c r="C109" s="20"/>
    </row>
    <row r="110" spans="1:3" ht="12.75">
      <c r="A110" s="20" t="s">
        <v>174</v>
      </c>
      <c r="B110" s="34">
        <f>B108*B109</f>
        <v>41784.050855640555</v>
      </c>
      <c r="C110" s="20" t="s">
        <v>23</v>
      </c>
    </row>
    <row r="111" spans="1:3" ht="12.75">
      <c r="A111" s="20" t="s">
        <v>18</v>
      </c>
      <c r="B111" s="29"/>
      <c r="C111" s="20"/>
    </row>
    <row r="112" spans="1:3" ht="12.75">
      <c r="A112" s="20" t="s">
        <v>20</v>
      </c>
      <c r="B112" s="32">
        <v>2</v>
      </c>
      <c r="C112" s="20"/>
    </row>
    <row r="113" spans="1:3" ht="12.75">
      <c r="A113" s="20" t="s">
        <v>260</v>
      </c>
      <c r="B113" s="29">
        <v>0.5</v>
      </c>
      <c r="C113" s="20" t="s">
        <v>129</v>
      </c>
    </row>
    <row r="114" spans="1:3" ht="12.75">
      <c r="A114" s="20" t="s">
        <v>261</v>
      </c>
      <c r="B114" s="29">
        <f>PI()*B105*B113*0.75</f>
        <v>0.5289656630481814</v>
      </c>
      <c r="C114" s="20" t="s">
        <v>245</v>
      </c>
    </row>
    <row r="115" spans="1:3" ht="12.75">
      <c r="A115" s="20" t="s">
        <v>52</v>
      </c>
      <c r="B115" s="36">
        <v>0.5</v>
      </c>
      <c r="C115" s="20"/>
    </row>
    <row r="116" spans="1:3" ht="12.75">
      <c r="A116" s="20" t="s">
        <v>48</v>
      </c>
      <c r="B116" s="34">
        <f>B102/B114*B112/B115</f>
        <v>29890.251841881443</v>
      </c>
      <c r="C116" s="20" t="s">
        <v>23</v>
      </c>
    </row>
    <row r="117" spans="1:3" ht="12.75">
      <c r="A117" s="20" t="s">
        <v>165</v>
      </c>
      <c r="B117" s="29"/>
      <c r="C117" s="20"/>
    </row>
    <row r="118" spans="1:3" ht="12.75">
      <c r="A118" s="20" t="s">
        <v>17</v>
      </c>
      <c r="B118" s="29"/>
      <c r="C118" s="20"/>
    </row>
    <row r="119" spans="1:3" ht="12.75">
      <c r="A119" s="20" t="s">
        <v>15</v>
      </c>
      <c r="B119" s="29">
        <f>5/8</f>
        <v>0.625</v>
      </c>
      <c r="C119" s="20" t="s">
        <v>129</v>
      </c>
    </row>
    <row r="120" spans="1:3" ht="12.75">
      <c r="A120" s="20" t="s">
        <v>98</v>
      </c>
      <c r="B120" s="29">
        <v>11</v>
      </c>
      <c r="C120" s="20"/>
    </row>
    <row r="121" spans="1:3" ht="12.75">
      <c r="A121" s="24" t="s">
        <v>19</v>
      </c>
      <c r="B121" s="29">
        <v>0.589</v>
      </c>
      <c r="C121" s="20" t="s">
        <v>129</v>
      </c>
    </row>
    <row r="122" spans="1:3" ht="12.75">
      <c r="A122" s="20" t="s">
        <v>16</v>
      </c>
      <c r="B122" s="29">
        <f>0.7854*(B119-0.9743/B120)^2</f>
        <v>0.22600216354418184</v>
      </c>
      <c r="C122" s="20" t="s">
        <v>245</v>
      </c>
    </row>
    <row r="123" spans="1:3" ht="12.75">
      <c r="A123" s="20" t="s">
        <v>11</v>
      </c>
      <c r="B123" s="29">
        <v>7.8265</v>
      </c>
      <c r="C123" s="20" t="s">
        <v>129</v>
      </c>
    </row>
    <row r="124" spans="1:3" ht="12.75">
      <c r="A124" s="20" t="s">
        <v>262</v>
      </c>
      <c r="B124" s="26">
        <f>B27/B123</f>
        <v>47494.60620112066</v>
      </c>
      <c r="C124" s="20" t="s">
        <v>76</v>
      </c>
    </row>
    <row r="125" spans="1:3" ht="12.75">
      <c r="A125" s="20" t="s">
        <v>14</v>
      </c>
      <c r="B125" s="32">
        <v>2</v>
      </c>
      <c r="C125" s="20"/>
    </row>
    <row r="126" spans="1:3" ht="12.75">
      <c r="A126" s="20" t="s">
        <v>50</v>
      </c>
      <c r="B126" s="26">
        <f>B124*B125</f>
        <v>94989.21240224132</v>
      </c>
      <c r="C126" s="20" t="s">
        <v>76</v>
      </c>
    </row>
    <row r="127" spans="1:3" ht="12.75">
      <c r="A127" s="20" t="s">
        <v>13</v>
      </c>
      <c r="B127" s="29">
        <v>0.39</v>
      </c>
      <c r="C127" s="20"/>
    </row>
    <row r="128" spans="1:3" ht="12.75">
      <c r="A128" s="20" t="s">
        <v>51</v>
      </c>
      <c r="B128" s="26">
        <f>B87</f>
        <v>12</v>
      </c>
      <c r="C128" s="20"/>
    </row>
    <row r="129" spans="1:3" ht="12.75">
      <c r="A129" s="20" t="s">
        <v>259</v>
      </c>
      <c r="B129" s="33">
        <f>B126/B127/B128</f>
        <v>20296.840256889172</v>
      </c>
      <c r="C129" s="20" t="s">
        <v>76</v>
      </c>
    </row>
    <row r="130" spans="1:3" ht="12.75">
      <c r="A130" s="20" t="s">
        <v>12</v>
      </c>
      <c r="B130" s="32">
        <v>1.5</v>
      </c>
      <c r="C130" s="20"/>
    </row>
    <row r="131" spans="1:3" ht="12.75">
      <c r="A131" s="20" t="s">
        <v>48</v>
      </c>
      <c r="B131" s="34">
        <f>B130*B129/B122</f>
        <v>134712.25190011034</v>
      </c>
      <c r="C131" s="20" t="s">
        <v>23</v>
      </c>
    </row>
    <row r="132" spans="1:3" ht="12.75">
      <c r="A132" s="20" t="s">
        <v>18</v>
      </c>
      <c r="B132" s="29"/>
      <c r="C132" s="20"/>
    </row>
    <row r="133" spans="1:3" ht="12.75">
      <c r="A133" s="20" t="s">
        <v>20</v>
      </c>
      <c r="B133" s="32">
        <v>2</v>
      </c>
      <c r="C133" s="20"/>
    </row>
    <row r="134" spans="1:3" ht="12.75">
      <c r="A134" s="20" t="s">
        <v>260</v>
      </c>
      <c r="B134" s="29">
        <f>1.5*B119</f>
        <v>0.9375</v>
      </c>
      <c r="C134" s="20" t="s">
        <v>129</v>
      </c>
    </row>
    <row r="135" spans="1:3" ht="12.75">
      <c r="A135" s="20" t="s">
        <v>261</v>
      </c>
      <c r="B135" s="29">
        <f>PI()*B121*B134*0.75</f>
        <v>1.3010611450530853</v>
      </c>
      <c r="C135" s="20" t="s">
        <v>245</v>
      </c>
    </row>
    <row r="136" spans="1:3" ht="12.75">
      <c r="A136" s="20" t="s">
        <v>52</v>
      </c>
      <c r="B136" s="36">
        <v>0.5</v>
      </c>
      <c r="C136" s="20" t="s">
        <v>23</v>
      </c>
    </row>
    <row r="137" spans="1:3" ht="12.75">
      <c r="A137" s="20" t="s">
        <v>48</v>
      </c>
      <c r="B137" s="34">
        <f>B129/B135*B133/B136</f>
        <v>62400.88049377888</v>
      </c>
      <c r="C137" s="20" t="s">
        <v>23</v>
      </c>
    </row>
  </sheetData>
  <printOptions/>
  <pageMargins left="0.75" right="0.75" top="1" bottom="1" header="0.5" footer="0.5"/>
  <pageSetup fitToHeight="1" fitToWidth="1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Charles Neumeyer</cp:lastModifiedBy>
  <cp:lastPrinted>2003-07-07T17:55:57Z</cp:lastPrinted>
  <dcterms:created xsi:type="dcterms:W3CDTF">2002-11-04T19:01:10Z</dcterms:created>
  <cp:category/>
  <cp:version/>
  <cp:contentType/>
  <cp:contentStatus/>
</cp:coreProperties>
</file>