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370" windowHeight="5445" activeTab="0"/>
  </bookViews>
  <sheets>
    <sheet name="Commercial - 3rd Party" sheetId="1" r:id="rId1"/>
    <sheet name="NPV Detail" sheetId="2" r:id="rId2"/>
  </sheets>
  <definedNames>
    <definedName name="absNPVofTargetIRR">'Commercial - 3rd Party'!$G$59</definedName>
    <definedName name="cashflow_0">'Commercial - 3rd Party'!$C$211</definedName>
    <definedName name="solver_adj" localSheetId="0" hidden="1">'Commercial - 3rd Party'!$C$57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'Commercial - 3rd Party'!$E$58</definedName>
    <definedName name="solver_lhs2" localSheetId="0" hidden="1">'Commercial - 3rd Party'!$E$59</definedName>
    <definedName name="solver_lhs3" localSheetId="0" hidden="1">'Commercial - 3rd Party'!$E$59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neIRR">'NPV Detail'!$C$4:$C$7</definedName>
    <definedName name="solver_opt" localSheetId="0" hidden="1">'Commercial - 3rd Party'!$C$10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2</definedName>
    <definedName name="solver_rhs1" localSheetId="0" hidden="1">uMinReqIRR</definedName>
    <definedName name="solver_rhs2" localSheetId="0" hidden="1">0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woIRR">'NPV Detail'!$D$4:$D$7</definedName>
    <definedName name="solver_typ" localSheetId="0" hidden="1">2</definedName>
    <definedName name="solver_val" localSheetId="0" hidden="1">0</definedName>
    <definedName name="uActualIRR">'Commercial - 3rd Party'!$E$58</definedName>
    <definedName name="uActualMinDSCR">'Commercial - 3rd Party'!$E$57</definedName>
    <definedName name="uAfterTaxCashflow">'Commercial - 3rd Party'!$C$211:$AG$211</definedName>
    <definedName name="uArraySize">'Commercial - 3rd Party'!$F$16</definedName>
    <definedName name="uCashflow">'Commercial - 3rd Party'!$D$211:$AG$211</definedName>
    <definedName name="uDegradation">'Commercial - 3rd Party'!$F$15</definedName>
    <definedName name="uDepreciableBase">'Commercial - 3rd Party'!$E$51</definedName>
    <definedName name="uDepreciationType">'Commercial - 3rd Party'!$C$32</definedName>
    <definedName name="uDSCR">'Commercial - 3rd Party'!$D$213:$AG$213</definedName>
    <definedName name="uEffectiveTaxRate">'Commercial - 3rd Party'!$C$50</definedName>
    <definedName name="uEPCPercent">'Commercial - 3rd Party'!$F$22</definedName>
    <definedName name="uFedBuyDown">'Commercial - 3rd Party'!$F$41</definedName>
    <definedName name="uFedBuyDownCap">'Commercial - 3rd Party'!$F$70</definedName>
    <definedName name="uFedBuyDownDeprBasisFed">'Commercial - 3rd Party'!$N$70</definedName>
    <definedName name="uFedBuyDownDeprBasisState">'Commercial - 3rd Party'!$O$70</definedName>
    <definedName name="uFedBuyDownITCBasisFed">'Commercial - 3rd Party'!$L$70</definedName>
    <definedName name="uFedBuyDownITCBasisState">'Commercial - 3rd Party'!$M$70</definedName>
    <definedName name="uFedBuyDownPerWatt">'Commercial - 3rd Party'!$D$70</definedName>
    <definedName name="uFedBuyDownTaxableFed">'Commercial - 3rd Party'!$J$70</definedName>
    <definedName name="uFedBuyDownTaxableState">'Commercial - 3rd Party'!$K$70</definedName>
    <definedName name="uFedCreditBasis">'Commercial - 3rd Party'!$C$51</definedName>
    <definedName name="uFedDepreciableBase">'Commercial - 3rd Party'!$E$51</definedName>
    <definedName name="uFederalTax">'Commercial - 3rd Party'!$C$21</definedName>
    <definedName name="uFedFixed">'Commercial - 3rd Party'!$F$37</definedName>
    <definedName name="uFedFixedDeprBasisFed">'Commercial - 3rd Party'!$N$65</definedName>
    <definedName name="uFedFixedDeprBasisState">'Commercial - 3rd Party'!$O$65</definedName>
    <definedName name="uFedFixedITCBasisFed">'Commercial - 3rd Party'!$L$65</definedName>
    <definedName name="uFedFixedITCBasisState">'Commercial - 3rd Party'!$M$65</definedName>
    <definedName name="uFedFixedMax">'Commercial - 3rd Party'!$F$65</definedName>
    <definedName name="uFedFixedPercent">'Commercial - 3rd Party'!$D$65</definedName>
    <definedName name="uFedFixedTaxableFed">'Commercial - 3rd Party'!$J$65</definedName>
    <definedName name="uFedFixedTaxableState">'Commercial - 3rd Party'!$K$65</definedName>
    <definedName name="uFedITC">'Commercial - 3rd Party'!$D$75</definedName>
    <definedName name="uFedITCAmount">'Commercial - 3rd Party'!$D$111</definedName>
    <definedName name="uFedITCCap">'Commercial - 3rd Party'!$F$78</definedName>
    <definedName name="uFedITCDeprBasisFed">'Commercial - 3rd Party'!$N$78</definedName>
    <definedName name="uFedITCDeprBasisState">'Commercial - 3rd Party'!$O$78</definedName>
    <definedName name="uFedITCITCBasisState">'Commercial - 3rd Party'!$M$78</definedName>
    <definedName name="uFedITCMax">'Commercial - 3rd Party'!$F$78</definedName>
    <definedName name="uFedITCPercent">'Commercial - 3rd Party'!$D$78</definedName>
    <definedName name="uFedITCTaxableFed">'Commercial - 3rd Party'!$J$78</definedName>
    <definedName name="uFedITCTaxableState">'Commercial - 3rd Party'!$K$78</definedName>
    <definedName name="uFedPBI">'Commercial - 3rd Party'!$D$84</definedName>
    <definedName name="uFedPBIEsc">'Commercial - 3rd Party'!$H$84</definedName>
    <definedName name="uFedPBITaxableState">'Commercial - 3rd Party'!$K$84</definedName>
    <definedName name="uFedPBITaxalbeFed">'Commercial - 3rd Party'!$J$84</definedName>
    <definedName name="uFedPBITerm">'Commercial - 3rd Party'!$F$84</definedName>
    <definedName name="uFedPTC">'Commercial - 3rd Party'!$D$81</definedName>
    <definedName name="uFedPTCEsc">'Commercial - 3rd Party'!$H$81</definedName>
    <definedName name="uFedPTCTaxableFed">'Commercial - 3rd Party'!$J$81</definedName>
    <definedName name="uFedPTCTaxableState">'Commercial - 3rd Party'!$K$81</definedName>
    <definedName name="uFedPTCTerm">'Commercial - 3rd Party'!$F$81</definedName>
    <definedName name="uFirstCost">'Commercial - 3rd Party'!$C$93</definedName>
    <definedName name="uFirstYearAnnualOutput">'Commercial - 3rd Party'!$C$48</definedName>
    <definedName name="uFixedOandM">'Commercial - 3rd Party'!$F$28</definedName>
    <definedName name="uFixedOandMEsc">'Commercial - 3rd Party'!$F$29</definedName>
    <definedName name="uFixedTypeFed">'Commercial - 3rd Party'!$B$65</definedName>
    <definedName name="uFixedTypeOther">'Commercial - 3rd Party'!$B$68</definedName>
    <definedName name="uFixedTypeState">'Commercial - 3rd Party'!$B$66</definedName>
    <definedName name="uFixedTypeUtility">'Commercial - 3rd Party'!$B$67</definedName>
    <definedName name="uFixedUtilityTaxableFed">'Commercial - 3rd Party'!$J$67</definedName>
    <definedName name="uFixedUtilityTaxableState">'Commercial - 3rd Party'!$K$67</definedName>
    <definedName name="uFuelCost">'Commercial - 3rd Party'!$F$32</definedName>
    <definedName name="uFuelCostEsc">'Commercial - 3rd Party'!$F$33</definedName>
    <definedName name="uHeatRate">'Commercial - 3rd Party'!$F$17</definedName>
    <definedName name="uInflationRate">'Commercial - 3rd Party'!$C$16</definedName>
    <definedName name="uInsurance">'Commercial - 3rd Party'!$C$25</definedName>
    <definedName name="uIRR">'Commercial - 3rd Party'!$E$58</definedName>
    <definedName name="uITCTypeFed">'Commercial - 3rd Party'!$B$78</definedName>
    <definedName name="uITCTypeState">'Commercial - 3rd Party'!$B$79</definedName>
    <definedName name="uLoanAmount">'Commercial - 3rd Party'!$C$27</definedName>
    <definedName name="uLoanDebtPercent">'Commercial - 3rd Party'!$C$28</definedName>
    <definedName name="uLoanRate">'Commercial - 3rd Party'!$C$30</definedName>
    <definedName name="uLoanTerm">'Commercial - 3rd Party'!$C$29</definedName>
    <definedName name="uLumpOandM">'Commercial - 3rd Party'!$F$34</definedName>
    <definedName name="uLumpOandMEsc">'Commercial - 3rd Party'!$F$35</definedName>
    <definedName name="uMinReqDSCR">'Commercial - 3rd Party'!$F$57</definedName>
    <definedName name="uMinReqIRR">'Commercial - 3rd Party'!$C$37</definedName>
    <definedName name="uNominalDiscountRate">'Commercial - 3rd Party'!$C$53</definedName>
    <definedName name="uNominalLCOE">'Commercial - 3rd Party'!$C$10</definedName>
    <definedName name="uNPVofActualIRR">'Commercial - 3rd Party'!$F$59</definedName>
    <definedName name="uNPVofTargetIRR">'Commercial - 3rd Party'!$E$59</definedName>
    <definedName name="uNPVofTargetIRRPlusDelta">'Commercial - 3rd Party'!$E$60</definedName>
    <definedName name="uOandM">'Commercial - 3rd Party'!$F$28</definedName>
    <definedName name="uOtherBuyDown">'Commercial - 3rd Party'!$F$44</definedName>
    <definedName name="uOtherBuyDownCap">'Commercial - 3rd Party'!$F$73</definedName>
    <definedName name="uOtherBuyDownDeprBasisFed">'Commercial - 3rd Party'!$N$73</definedName>
    <definedName name="uOtherBuyDownDeprBasisState">'Commercial - 3rd Party'!$O$73</definedName>
    <definedName name="uOtherBuyDownITCBasisFed">'Commercial - 3rd Party'!$L$73</definedName>
    <definedName name="uOtherBuyDownITCBasisState">'Commercial - 3rd Party'!$M$73</definedName>
    <definedName name="uOtherBuyDownPerWatt">'Commercial - 3rd Party'!$D$73</definedName>
    <definedName name="uOtherBuyDownTaxableFed">'Commercial - 3rd Party'!$J$73</definedName>
    <definedName name="uOtherBuyDownTaxableState">'Commercial - 3rd Party'!$K$73</definedName>
    <definedName name="uOtherFixed">'Commercial - 3rd Party'!$F$40</definedName>
    <definedName name="uOtherFixedDeprBasisFed">'Commercial - 3rd Party'!$N$68</definedName>
    <definedName name="uOtherFixedDeprBasisState">'Commercial - 3rd Party'!$O$68</definedName>
    <definedName name="uOtherFixedITCBasisFed">'Commercial - 3rd Party'!$L$68</definedName>
    <definedName name="uOtherFixedITCBasisState">'Commercial - 3rd Party'!$M$68</definedName>
    <definedName name="uOtherFixedMax">'Commercial - 3rd Party'!$F$68</definedName>
    <definedName name="uOtherFixedPercent">'Commercial - 3rd Party'!$D$68</definedName>
    <definedName name="uOtherFixedTaxableFed">'Commercial - 3rd Party'!$J$68</definedName>
    <definedName name="uOtherFixedTaxableState">'Commercial - 3rd Party'!$K$68</definedName>
    <definedName name="uOtherPBI">'Commercial - 3rd Party'!$D$87</definedName>
    <definedName name="uOtherPBIEsc">'Commercial - 3rd Party'!$H$87</definedName>
    <definedName name="uOtherPBITaxableFed">'Commercial - 3rd Party'!$J$87</definedName>
    <definedName name="uOtherPBITaxableState">'Commercial - 3rd Party'!$K$87</definedName>
    <definedName name="uOtherPBITerm">'Commercial - 3rd Party'!$F$87</definedName>
    <definedName name="uOutput">'Commercial - 3rd Party'!$D$91:$AG$91</definedName>
    <definedName name="uPLOPercent">'Commercial - 3rd Party'!$F$23</definedName>
    <definedName name="uPPA">'Commercial - 3rd Party'!$C$57</definedName>
    <definedName name="uPPAEscalation">'Commercial - 3rd Party'!$C$35</definedName>
    <definedName name="uPropertyTax">'Commercial - 3rd Party'!$C$23</definedName>
    <definedName name="uRealDiscountRate">'Commercial - 3rd Party'!$C$17</definedName>
    <definedName name="uRequiredRevenue">'Commercial - 3rd Party'!$D$133:$AG$133</definedName>
    <definedName name="uSalesPercentofDirect">'Commercial - 3rd Party'!$F$24</definedName>
    <definedName name="uSalesTax">'Commercial - 3rd Party'!$C$24</definedName>
    <definedName name="uStateBuyDown">'Commercial - 3rd Party'!$F$42</definedName>
    <definedName name="uStateBuyDownCap">'Commercial - 3rd Party'!$F$71</definedName>
    <definedName name="uStateBuyDownDeprBasisFed">'Commercial - 3rd Party'!$N$71</definedName>
    <definedName name="uStateBuyDownDeprBasisState">'Commercial - 3rd Party'!$O$71</definedName>
    <definedName name="uStateBuyDownITCBasisFed">'Commercial - 3rd Party'!$L$71</definedName>
    <definedName name="uStateBuyDownITCBasisState">'Commercial - 3rd Party'!$M$71</definedName>
    <definedName name="uStateBuyDownPerWatt">'Commercial - 3rd Party'!$D$71</definedName>
    <definedName name="uStateBuyDownTaxableFed">'Commercial - 3rd Party'!$J$71</definedName>
    <definedName name="uStateBuyDownTaxableState">'Commercial - 3rd Party'!$K$71</definedName>
    <definedName name="uStateCreditBasis">'Commercial - 3rd Party'!$C$52</definedName>
    <definedName name="uStateDepreciableBase">'Commercial - 3rd Party'!$E$52</definedName>
    <definedName name="uStateDepreciationType">'Commercial - 3rd Party'!$C$33</definedName>
    <definedName name="uStateFixed">'Commercial - 3rd Party'!$F$38</definedName>
    <definedName name="uStateFixedDeprBasisFed">'Commercial - 3rd Party'!$N$66</definedName>
    <definedName name="uStateFixedDeprBasisState">'Commercial - 3rd Party'!$O$66</definedName>
    <definedName name="uStateFixedITCBasisFed">'Commercial - 3rd Party'!$L$66</definedName>
    <definedName name="uStateFixedITCBasisState">'Commercial - 3rd Party'!$M$66</definedName>
    <definedName name="uStateFixedMax">'Commercial - 3rd Party'!$F$66</definedName>
    <definedName name="uStateFixedPercent">'Commercial - 3rd Party'!$D$66</definedName>
    <definedName name="uStateFixedTaxableState">'Commercial - 3rd Party'!$K$66</definedName>
    <definedName name="uStateFixedTaxalbeFed">'Commercial - 3rd Party'!$J$66</definedName>
    <definedName name="uStateITC">'Commercial - 3rd Party'!$D$76</definedName>
    <definedName name="uStateITCAmount">'Commercial - 3rd Party'!$D$116</definedName>
    <definedName name="uStateITCCap">'Commercial - 3rd Party'!$F$79</definedName>
    <definedName name="uStateITCDeprBasisFed">'Commercial - 3rd Party'!$N$79</definedName>
    <definedName name="uStateITCDeprBasisState">'Commercial - 3rd Party'!$O$79</definedName>
    <definedName name="uStateITCITCBasisFed">'Commercial - 3rd Party'!$L$79</definedName>
    <definedName name="uStateITCMax">'Commercial - 3rd Party'!$F$79</definedName>
    <definedName name="uStateITCPercent">'Commercial - 3rd Party'!$D$79</definedName>
    <definedName name="uStateITCTaxableFed">'Commercial - 3rd Party'!$J$79</definedName>
    <definedName name="uStateITCTaxableState">'Commercial - 3rd Party'!$K$79</definedName>
    <definedName name="uStatePBI">'Commercial - 3rd Party'!$D$85</definedName>
    <definedName name="uStatePBIEsc">'Commercial - 3rd Party'!$H$85</definedName>
    <definedName name="uStatePBITaxableFed">'Commercial - 3rd Party'!$J$85</definedName>
    <definedName name="uStatePBITaxableState">'Commercial - 3rd Party'!$K$85</definedName>
    <definedName name="uStatePBITerm">'Commercial - 3rd Party'!$F$85</definedName>
    <definedName name="uStatePTC">'Commercial - 3rd Party'!$D$82</definedName>
    <definedName name="uStatePTCEsc">'Commercial - 3rd Party'!$H$82</definedName>
    <definedName name="uStatePTCTaxableFed">'Commercial - 3rd Party'!$J$82</definedName>
    <definedName name="uStatePTCTaxableState">'Commercial - 3rd Party'!$K$82</definedName>
    <definedName name="uStatePTCTerm">'Commercial - 3rd Party'!$F$82</definedName>
    <definedName name="uStateTax">'Commercial - 3rd Party'!$C$22</definedName>
    <definedName name="uTolerance">'NPV Detail'!$A$54</definedName>
    <definedName name="uTotalAdjustedInstalledCosts">'Commercial - 3rd Party'!$F$45</definedName>
    <definedName name="uTotalCapitalCost">'Commercial - 3rd Party'!$F$21</definedName>
    <definedName name="uTotalIndirectCost">'Commercial - 3rd Party'!$F$25</definedName>
    <definedName name="uTotalInstalledCosts">'Commercial - 3rd Party'!$F$26</definedName>
    <definedName name="uUtilityBuyDown">'Commercial - 3rd Party'!$F$43</definedName>
    <definedName name="uUtilityBuyDownCap">'Commercial - 3rd Party'!$F$72</definedName>
    <definedName name="uUtilityBuyDownDeprBasisFed">'Commercial - 3rd Party'!$N$72</definedName>
    <definedName name="uUtilityBuyDownDeprBasisState">'Commercial - 3rd Party'!$O$72</definedName>
    <definedName name="uUtilityBuyDownITCBasisFed">'Commercial - 3rd Party'!$L$72</definedName>
    <definedName name="uUtilityBuyDownITCBasisState">'Commercial - 3rd Party'!$M$72</definedName>
    <definedName name="uUtilityBuyDownPerWatt">'Commercial - 3rd Party'!$D$72</definedName>
    <definedName name="uUtilityBuyDownTaxableFed">'Commercial - 3rd Party'!$J$72</definedName>
    <definedName name="uUtilityBuyDownTaxableState">'Commercial - 3rd Party'!$K$72</definedName>
    <definedName name="uUtilityFixed">'Commercial - 3rd Party'!$F$39</definedName>
    <definedName name="uUtilityFixedDeprBasisFed">'Commercial - 3rd Party'!$N$67</definedName>
    <definedName name="uUtilityFixedDeprBasisState">'Commercial - 3rd Party'!$O$67</definedName>
    <definedName name="uUtilityFixedITCBasisFed">'Commercial - 3rd Party'!$L$67</definedName>
    <definedName name="uUtilityFixedITCBasisState">'Commercial - 3rd Party'!$M$67</definedName>
    <definedName name="uUtilityFixedMax">'Commercial - 3rd Party'!$F$67</definedName>
    <definedName name="uUtilityFixedPercent">'Commercial - 3rd Party'!$D$67</definedName>
    <definedName name="uUtilityPBI">'Commercial - 3rd Party'!$D$86</definedName>
    <definedName name="uUtilityPBIEsc">'Commercial - 3rd Party'!$H$86</definedName>
    <definedName name="uUtilityPBITaxableFed">'Commercial - 3rd Party'!$J$86</definedName>
    <definedName name="uUtilityPBITaxableState">'Commercial - 3rd Party'!$K$86</definedName>
    <definedName name="uUtilityPBITerm">'Commercial - 3rd Party'!$F$86</definedName>
    <definedName name="uVariableOandM">'Commercial - 3rd Party'!$F$30</definedName>
    <definedName name="uVariableOandMEsc">'Commercial - 3rd Party'!$F$31</definedName>
  </definedNames>
  <calcPr fullCalcOnLoad="1"/>
</workbook>
</file>

<file path=xl/sharedStrings.xml><?xml version="1.0" encoding="utf-8"?>
<sst xmlns="http://schemas.openxmlformats.org/spreadsheetml/2006/main" count="414" uniqueCount="220">
  <si>
    <t>Year</t>
  </si>
  <si>
    <t>Inflation Rate</t>
  </si>
  <si>
    <t>Real Discount Rate</t>
  </si>
  <si>
    <t>Property Tax</t>
  </si>
  <si>
    <t>Insurance</t>
  </si>
  <si>
    <t>Operating Costs</t>
  </si>
  <si>
    <t>Federal Tax</t>
  </si>
  <si>
    <t>State Tax</t>
  </si>
  <si>
    <t>Effective Tax Rate</t>
  </si>
  <si>
    <t>Analysis Period</t>
  </si>
  <si>
    <t>Finance Costs</t>
  </si>
  <si>
    <t>Principal Payment</t>
  </si>
  <si>
    <t>Tax Deductions</t>
  </si>
  <si>
    <t>First Cost</t>
  </si>
  <si>
    <t>Intermediate Values</t>
  </si>
  <si>
    <t>General</t>
  </si>
  <si>
    <t>Taxes and Insurance</t>
  </si>
  <si>
    <t>Loan</t>
  </si>
  <si>
    <t>Amount</t>
  </si>
  <si>
    <t>Term</t>
  </si>
  <si>
    <t>Rate</t>
  </si>
  <si>
    <t>Performance</t>
  </si>
  <si>
    <t>Values from SAM Inputs</t>
  </si>
  <si>
    <t>Values from SAM Outputs</t>
  </si>
  <si>
    <t>Beginning Balance</t>
  </si>
  <si>
    <t>Interest Payment</t>
  </si>
  <si>
    <t>Output (kWh)</t>
  </si>
  <si>
    <t>TOTAL</t>
  </si>
  <si>
    <t>Nominal Discount Rate</t>
  </si>
  <si>
    <t>Results</t>
  </si>
  <si>
    <t>First Year Annual Output (kWh)</t>
  </si>
  <si>
    <t>Equation</t>
  </si>
  <si>
    <t>Loan (Debt) Percent</t>
  </si>
  <si>
    <t>Includes effect of system derate factor.</t>
  </si>
  <si>
    <t>Financials</t>
  </si>
  <si>
    <t>Costs</t>
  </si>
  <si>
    <t>Depreciation</t>
  </si>
  <si>
    <t>4.2.17</t>
  </si>
  <si>
    <t>MACRS (MidQuarter)</t>
  </si>
  <si>
    <t>4.1.2</t>
  </si>
  <si>
    <t>First Year PPA (cents/kWh)</t>
  </si>
  <si>
    <t>Real LCOE (cents/kWh)</t>
  </si>
  <si>
    <t>Actual IRR</t>
  </si>
  <si>
    <t>Nominal LCOE (cents/kWh)</t>
  </si>
  <si>
    <t>Actual Min DSCR</t>
  </si>
  <si>
    <t>System Degradation (%/yr)</t>
  </si>
  <si>
    <t>PPA Escalation</t>
  </si>
  <si>
    <t>Minimum Required IRR</t>
  </si>
  <si>
    <t>Results Page</t>
  </si>
  <si>
    <t>Open Solver (Tools, Solver) to see PPA calculation</t>
  </si>
  <si>
    <t>Actual</t>
  </si>
  <si>
    <t>Required</t>
  </si>
  <si>
    <t>PPA</t>
  </si>
  <si>
    <t>Min DSCR</t>
  </si>
  <si>
    <t>IRR</t>
  </si>
  <si>
    <t>Edit only values in cells with white backgrounds.</t>
  </si>
  <si>
    <t>Taxable</t>
  </si>
  <si>
    <t>Federal</t>
  </si>
  <si>
    <t>State</t>
  </si>
  <si>
    <t>Fixed, Federal</t>
  </si>
  <si>
    <t>$</t>
  </si>
  <si>
    <t>Fixed, State</t>
  </si>
  <si>
    <t>Fixed, Other</t>
  </si>
  <si>
    <t>$/W</t>
  </si>
  <si>
    <t>ITC, Federal</t>
  </si>
  <si>
    <t>%</t>
  </si>
  <si>
    <t>ITC, State</t>
  </si>
  <si>
    <t>Escal.</t>
  </si>
  <si>
    <t>PTC, Federal</t>
  </si>
  <si>
    <t>$/kwh</t>
  </si>
  <si>
    <t>years</t>
  </si>
  <si>
    <t>PTC, State</t>
  </si>
  <si>
    <t>PBI, Federal</t>
  </si>
  <si>
    <t>PBI, State</t>
  </si>
  <si>
    <t>PBI, Other</t>
  </si>
  <si>
    <t>Sales Tax</t>
  </si>
  <si>
    <t>Federal Incentives</t>
  </si>
  <si>
    <t>State Incentives</t>
  </si>
  <si>
    <t>Other Incentives</t>
  </si>
  <si>
    <t>ITC</t>
  </si>
  <si>
    <t>PTC</t>
  </si>
  <si>
    <t>PBI</t>
  </si>
  <si>
    <t>Credit Basis - State</t>
  </si>
  <si>
    <t>x</t>
  </si>
  <si>
    <t>Federal Fixed</t>
  </si>
  <si>
    <t>State Fixed</t>
  </si>
  <si>
    <t>Other Fixed</t>
  </si>
  <si>
    <t>Costs - Fixed Incentive/Buy-Downs</t>
  </si>
  <si>
    <t>Total Adjusted Installed Costs</t>
  </si>
  <si>
    <t>n/a</t>
  </si>
  <si>
    <t>no</t>
  </si>
  <si>
    <t>Fixed, Utility</t>
  </si>
  <si>
    <t>PBI, Utility</t>
  </si>
  <si>
    <t>Fed ITC Basis</t>
  </si>
  <si>
    <t>State ITC Basis</t>
  </si>
  <si>
    <t>Fed Depr Basis</t>
  </si>
  <si>
    <t>State Depr Basis</t>
  </si>
  <si>
    <t>`</t>
  </si>
  <si>
    <t>Utility Incentives</t>
  </si>
  <si>
    <t>Utility Fixed</t>
  </si>
  <si>
    <t>CBI, Utility</t>
  </si>
  <si>
    <t>CBI, Federal</t>
  </si>
  <si>
    <t>CBI, State</t>
  </si>
  <si>
    <t>CBI, Other</t>
  </si>
  <si>
    <t>Federal CBI</t>
  </si>
  <si>
    <t>State CBI</t>
  </si>
  <si>
    <t>Utility CBI</t>
  </si>
  <si>
    <t>Other CBI</t>
  </si>
  <si>
    <t>Federal Type</t>
  </si>
  <si>
    <t>State Type</t>
  </si>
  <si>
    <t>assume no</t>
  </si>
  <si>
    <t>Reduced Basis if non-taxed (Fixed &amp;CBI) or Reduce Basis (ITC)?</t>
  </si>
  <si>
    <t>Credit Basis - Fed</t>
  </si>
  <si>
    <t>Federal Depreciation Schedule</t>
  </si>
  <si>
    <t>State Depreciation Schedule</t>
  </si>
  <si>
    <t>Federal Depreciation</t>
  </si>
  <si>
    <t>State Depreciation</t>
  </si>
  <si>
    <t>Depr. Basis - Fed</t>
  </si>
  <si>
    <t>Depr. Basis - State</t>
  </si>
  <si>
    <t>Maximum</t>
  </si>
  <si>
    <t>Percent w/ Maximum</t>
  </si>
  <si>
    <t>Total Indirect Cost</t>
  </si>
  <si>
    <t>Total Installed Cost</t>
  </si>
  <si>
    <t>% of Direct Costs Sales Tax Applies</t>
  </si>
  <si>
    <t>Fixed O&amp;M ($/kW-yr)</t>
  </si>
  <si>
    <t>Fixed O&amp;M</t>
  </si>
  <si>
    <t>Variable O&amp;M</t>
  </si>
  <si>
    <t>Fixed O&amp;M Real Escalation</t>
  </si>
  <si>
    <t>Variable O&amp;M Real Escalation</t>
  </si>
  <si>
    <t>PRO-FORMA CASH FLOW:</t>
  </si>
  <si>
    <t>Electricity Sales Price ($/kWh)</t>
  </si>
  <si>
    <t>Pre-tax Debt Coverage Ratio</t>
  </si>
  <si>
    <t>Electric Output (kWh)</t>
  </si>
  <si>
    <t>Tax Effect on Equity (Federal)</t>
  </si>
  <si>
    <t>Tax Effect on Equity (State)</t>
  </si>
  <si>
    <t>After Tax Net Equity Cash Flow</t>
  </si>
  <si>
    <t>State and Federal Tax Savings (Liability)</t>
  </si>
  <si>
    <t>Total Income</t>
  </si>
  <si>
    <t>Operating Income</t>
  </si>
  <si>
    <t>Total Taxable Income</t>
  </si>
  <si>
    <t>Income Taxes</t>
  </si>
  <si>
    <t>Production Tax Credit</t>
  </si>
  <si>
    <t>Investment Tax Credit</t>
  </si>
  <si>
    <t>Tax Savings (Liability)</t>
  </si>
  <si>
    <t>State Tax Savings (Liability)</t>
  </si>
  <si>
    <t>Revenues</t>
  </si>
  <si>
    <t>Operating Revenues</t>
  </si>
  <si>
    <t>Fixed O &amp; M Expense</t>
  </si>
  <si>
    <t>Property Taxes</t>
  </si>
  <si>
    <t>Total Operating Expenses</t>
  </si>
  <si>
    <t>Debt Funds</t>
  </si>
  <si>
    <t>Equity Funds</t>
  </si>
  <si>
    <t>Total Capital Investment</t>
  </si>
  <si>
    <t>Cash Available Before Debt</t>
  </si>
  <si>
    <t>Debt Interest Payment</t>
  </si>
  <si>
    <t>Debt Repayment</t>
  </si>
  <si>
    <t>Total Debt Payment</t>
  </si>
  <si>
    <t>Investment Based Incentives (IBI)</t>
  </si>
  <si>
    <t>Federal IBI</t>
  </si>
  <si>
    <t>State IBI</t>
  </si>
  <si>
    <t>Utility IBI</t>
  </si>
  <si>
    <t>Other IBI</t>
  </si>
  <si>
    <t>Capacity Based Incentives (CBI)</t>
  </si>
  <si>
    <t>Performance Based Incentives (PBI)</t>
  </si>
  <si>
    <t>Federal PBI</t>
  </si>
  <si>
    <t>State PBI</t>
  </si>
  <si>
    <t>Utility PBI</t>
  </si>
  <si>
    <t>Other PBI</t>
  </si>
  <si>
    <t>Operating Expenses</t>
  </si>
  <si>
    <t>Financing</t>
  </si>
  <si>
    <t>Engineer, Procure, Construct</t>
  </si>
  <si>
    <t>Project, Land, Other</t>
  </si>
  <si>
    <t>Total Capital (Direct) Cost</t>
  </si>
  <si>
    <t>NPV of target IRR</t>
  </si>
  <si>
    <t>System</t>
  </si>
  <si>
    <t>System Size (kW)</t>
  </si>
  <si>
    <t>Fuel Cost ($/MMBtu)</t>
  </si>
  <si>
    <t>Fuel Cost Escalation</t>
  </si>
  <si>
    <t>Heat Rate (MMBtus/MWh)</t>
  </si>
  <si>
    <t>Variable O &amp; M Expense</t>
  </si>
  <si>
    <t>Fuel O &amp; M Expense</t>
  </si>
  <si>
    <t>Capital (Direct) Cost</t>
  </si>
  <si>
    <t>Contingency</t>
  </si>
  <si>
    <t>Variable O&amp;M ($/MWh)</t>
  </si>
  <si>
    <t>Power Purchase Agreement</t>
  </si>
  <si>
    <t>Constraining Assumption</t>
  </si>
  <si>
    <t>rate</t>
  </si>
  <si>
    <t>NPV</t>
  </si>
  <si>
    <t>N/A</t>
  </si>
  <si>
    <t>NPV of target + delta</t>
  </si>
  <si>
    <t>Module</t>
  </si>
  <si>
    <t>Inverter</t>
  </si>
  <si>
    <t>Storage</t>
  </si>
  <si>
    <t>BOS</t>
  </si>
  <si>
    <t>Installation</t>
  </si>
  <si>
    <t>Project, Land, Misc</t>
  </si>
  <si>
    <t>Sales tax</t>
  </si>
  <si>
    <t>Fixed</t>
  </si>
  <si>
    <t>Variable</t>
  </si>
  <si>
    <t>Fuel</t>
  </si>
  <si>
    <t>Fixed (Annual) O&amp;M ($/yr)</t>
  </si>
  <si>
    <t>Fixed (Annual) O&amp;M Real Esc.</t>
  </si>
  <si>
    <t>Fixed (Annual)</t>
  </si>
  <si>
    <t>Fixed (Annual) O &amp; M Expense</t>
  </si>
  <si>
    <t>Insurance and Property tax</t>
  </si>
  <si>
    <t>PV Cost Stacked Bar Breakdown</t>
  </si>
  <si>
    <t>CSP Cost Stacked Bar Breakdown</t>
  </si>
  <si>
    <t>Generic Cost Stacked Bar Breakdown</t>
  </si>
  <si>
    <t>Stacked bar items highlighted</t>
  </si>
  <si>
    <t>Capital Costs</t>
  </si>
  <si>
    <t>Site Improvements</t>
  </si>
  <si>
    <t>Solar Field</t>
  </si>
  <si>
    <t>HTF System</t>
  </si>
  <si>
    <t>Fossil Backup</t>
  </si>
  <si>
    <t>Power Plant</t>
  </si>
  <si>
    <t>Direct</t>
  </si>
  <si>
    <t>Total Direct</t>
  </si>
  <si>
    <t>Total Indirect</t>
  </si>
  <si>
    <t>Present Value (nominal)</t>
  </si>
  <si>
    <t>O and M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</si>
</sst>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$&quot;#,##0.00"/>
    <numFmt numFmtId="166" formatCode="&quot;$&quot;#,##0.000"/>
    <numFmt numFmtId="167" formatCode="#,##0.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0000"/>
    <numFmt numFmtId="176" formatCode="#,##0.000000"/>
    <numFmt numFmtId="177" formatCode="#,##0.00000"/>
    <numFmt numFmtId="178" formatCode="#,##0.0000"/>
    <numFmt numFmtId="179" formatCode="#,##0.0"/>
    <numFmt numFmtId="180" formatCode="0.0000000000"/>
    <numFmt numFmtId="181" formatCode="0.000000000"/>
    <numFmt numFmtId="182" formatCode="0.0%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[$-409]dddd\,\ mmmm\ dd\,\ yyyy"/>
    <numFmt numFmtId="186" formatCode="0.0\ \-&quot;years&quot;"/>
    <numFmt numFmtId="187" formatCode="0.0\ &quot;years&quot;"/>
    <numFmt numFmtId="188" formatCode="0.000%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name val="Times"/>
      <family val="1"/>
    </font>
    <font>
      <b/>
      <sz val="10"/>
      <name val="Times"/>
      <family val="0"/>
    </font>
    <font>
      <sz val="8.75"/>
      <name val="Arial"/>
      <family val="0"/>
    </font>
    <font>
      <b/>
      <sz val="12"/>
      <name val="Arial"/>
      <family val="0"/>
    </font>
    <font>
      <sz val="11.25"/>
      <name val="Arial"/>
      <family val="0"/>
    </font>
    <font>
      <b/>
      <sz val="10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3" borderId="2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2" fillId="4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10" fontId="0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 quotePrefix="1">
      <alignment horizontal="center"/>
    </xf>
    <xf numFmtId="0" fontId="2" fillId="4" borderId="2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0" fontId="0" fillId="2" borderId="3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1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0" xfId="0" applyFill="1" applyAlignment="1">
      <alignment/>
    </xf>
    <xf numFmtId="0" fontId="6" fillId="0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0" fillId="2" borderId="8" xfId="0" applyNumberFormat="1" applyFill="1" applyBorder="1" applyAlignment="1">
      <alignment/>
    </xf>
    <xf numFmtId="4" fontId="0" fillId="2" borderId="9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 horizontal="right"/>
    </xf>
    <xf numFmtId="4" fontId="0" fillId="2" borderId="8" xfId="0" applyNumberFormat="1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0" fillId="2" borderId="8" xfId="0" applyFill="1" applyBorder="1" applyAlignment="1">
      <alignment horizontal="center"/>
    </xf>
    <xf numFmtId="10" fontId="0" fillId="2" borderId="8" xfId="0" applyNumberForma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16" xfId="0" applyFont="1" applyFill="1" applyBorder="1" applyAlignment="1">
      <alignment horizontal="center"/>
    </xf>
    <xf numFmtId="10" fontId="0" fillId="2" borderId="17" xfId="0" applyNumberFormat="1" applyFill="1" applyBorder="1" applyAlignment="1">
      <alignment horizontal="center"/>
    </xf>
    <xf numFmtId="10" fontId="0" fillId="2" borderId="1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" fontId="0" fillId="2" borderId="8" xfId="0" applyNumberFormat="1" applyFon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10" fontId="0" fillId="2" borderId="9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4" fontId="0" fillId="2" borderId="9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0" fontId="0" fillId="2" borderId="0" xfId="17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left"/>
    </xf>
    <xf numFmtId="0" fontId="0" fillId="2" borderId="1" xfId="17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6" fillId="2" borderId="19" xfId="0" applyFont="1" applyFill="1" applyBorder="1" applyAlignment="1">
      <alignment horizontal="center"/>
    </xf>
    <xf numFmtId="165" fontId="0" fillId="2" borderId="20" xfId="0" applyNumberFormat="1" applyFont="1" applyFill="1" applyBorder="1" applyAlignment="1">
      <alignment horizontal="left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/>
    </xf>
    <xf numFmtId="165" fontId="0" fillId="2" borderId="21" xfId="0" applyNumberFormat="1" applyFont="1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5" fontId="6" fillId="2" borderId="2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165" fontId="0" fillId="2" borderId="25" xfId="0" applyNumberFormat="1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165" fontId="0" fillId="2" borderId="20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right"/>
    </xf>
    <xf numFmtId="10" fontId="0" fillId="2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11" fontId="0" fillId="0" borderId="0" xfId="0" applyNumberFormat="1" applyFont="1" applyFill="1" applyBorder="1" applyAlignment="1">
      <alignment horizontal="center"/>
    </xf>
    <xf numFmtId="9" fontId="0" fillId="0" borderId="3" xfId="2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2" fontId="0" fillId="0" borderId="0" xfId="0" applyNumberFormat="1" applyAlignment="1">
      <alignment/>
    </xf>
    <xf numFmtId="0" fontId="8" fillId="0" borderId="0" xfId="0" applyFont="1" applyFill="1" applyBorder="1" applyAlignment="1">
      <alignment horizontal="left" indent="2"/>
    </xf>
    <xf numFmtId="15" fontId="1" fillId="0" borderId="0" xfId="0" applyNumberFormat="1" applyFont="1" applyAlignment="1" quotePrefix="1">
      <alignment horizontal="left"/>
    </xf>
    <xf numFmtId="10" fontId="0" fillId="0" borderId="3" xfId="21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8" fontId="0" fillId="2" borderId="4" xfId="0" applyNumberFormat="1" applyFill="1" applyBorder="1" applyAlignment="1">
      <alignment/>
    </xf>
    <xf numFmtId="8" fontId="0" fillId="0" borderId="0" xfId="0" applyNumberFormat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2" fontId="0" fillId="2" borderId="0" xfId="0" applyNumberFormat="1" applyFill="1" applyAlignment="1">
      <alignment/>
    </xf>
    <xf numFmtId="2" fontId="0" fillId="2" borderId="0" xfId="17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 horizontal="left"/>
    </xf>
    <xf numFmtId="2" fontId="2" fillId="6" borderId="6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/>
    </xf>
    <xf numFmtId="2" fontId="3" fillId="5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/>
    </xf>
    <xf numFmtId="2" fontId="0" fillId="2" borderId="8" xfId="0" applyNumberFormat="1" applyFont="1" applyFill="1" applyBorder="1" applyAlignment="1">
      <alignment horizontal="center"/>
    </xf>
    <xf numFmtId="2" fontId="3" fillId="5" borderId="8" xfId="0" applyNumberFormat="1" applyFon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 textRotation="255"/>
    </xf>
    <xf numFmtId="165" fontId="0" fillId="2" borderId="4" xfId="0" applyNumberFormat="1" applyFont="1" applyFill="1" applyBorder="1" applyAlignment="1">
      <alignment horizontal="center" textRotation="255"/>
    </xf>
    <xf numFmtId="165" fontId="0" fillId="2" borderId="13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8" fontId="1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" xfId="0" applyFont="1" applyFill="1" applyBorder="1" applyAlignment="1">
      <alignment/>
    </xf>
    <xf numFmtId="165" fontId="0" fillId="7" borderId="3" xfId="0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165" fontId="0" fillId="0" borderId="3" xfId="0" applyNumberFormat="1" applyFont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165" fontId="0" fillId="7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'NPV Detail'!$A$16:$A$46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'NPV Detail'!$B$16:$B$46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'NPV Detail'!$A$16:$A$46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'NPV Detail'!$B$16:$B$46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34350400"/>
        <c:axId val="40718145"/>
      </c:scatterChart>
      <c:valAx>
        <c:axId val="34350400"/>
        <c:scaling>
          <c:orientation val="minMax"/>
          <c:max val="1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40718145"/>
        <c:crosses val="autoZero"/>
        <c:crossBetween val="midCat"/>
        <c:dispUnits/>
        <c:majorUnit val="0.5"/>
        <c:minorUnit val="0.1"/>
      </c:valAx>
      <c:valAx>
        <c:axId val="40718145"/>
        <c:scaling>
          <c:orientation val="minMax"/>
          <c:max val="1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50400"/>
        <c:crosses val="autoZero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NPV of After Tax Net Equity Cash Flow</a:t>
            </a:r>
          </a:p>
        </c:rich>
      </c:tx>
      <c:layout>
        <c:manualLayout>
          <c:xMode val="factor"/>
          <c:yMode val="factor"/>
          <c:x val="-0.01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25"/>
          <c:w val="0.97975"/>
          <c:h val="0.824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'NPV Detail'!$A$16:$A$46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'NPV Detail'!$B$16:$B$46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'NPV Detail'!$A$16:$A$46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'NPV Detail'!$B$16:$B$46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30918986"/>
        <c:axId val="9835419"/>
      </c:scatterChart>
      <c:valAx>
        <c:axId val="30918986"/>
        <c:scaling>
          <c:orientation val="minMax"/>
          <c:max val="1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9835419"/>
        <c:crosses val="autoZero"/>
        <c:crossBetween val="midCat"/>
        <c:dispUnits/>
        <c:majorUnit val="0.5"/>
        <c:minorUnit val="0.1"/>
      </c:valAx>
      <c:valAx>
        <c:axId val="9835419"/>
        <c:scaling>
          <c:orientation val="minMax"/>
          <c:max val="1000000"/>
          <c:min val="-1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8986"/>
        <c:crosses val="autoZero"/>
        <c:crossBetween val="midCat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After Tax Net Equity Cash 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'Commercial - 3rd Party'!$C$211:$AG$211</c:f>
              <c:numCache>
                <c:ptCount val="31"/>
                <c:pt idx="0">
                  <c:v>-658900</c:v>
                </c:pt>
                <c:pt idx="1">
                  <c:v>312231.2054270038</c:v>
                </c:pt>
                <c:pt idx="2">
                  <c:v>241970.18247501898</c:v>
                </c:pt>
                <c:pt idx="3">
                  <c:v>182682.10586791596</c:v>
                </c:pt>
                <c:pt idx="4">
                  <c:v>148293.94627305778</c:v>
                </c:pt>
                <c:pt idx="5">
                  <c:v>133472.48440123422</c:v>
                </c:pt>
                <c:pt idx="6">
                  <c:v>76281.30761839589</c:v>
                </c:pt>
                <c:pt idx="7">
                  <c:v>54546.66006776654</c:v>
                </c:pt>
                <c:pt idx="8">
                  <c:v>38331.84800600815</c:v>
                </c:pt>
                <c:pt idx="9">
                  <c:v>21602.477440706294</c:v>
                </c:pt>
                <c:pt idx="10">
                  <c:v>4331.40377157653</c:v>
                </c:pt>
                <c:pt idx="11">
                  <c:v>-13509.871447575802</c:v>
                </c:pt>
                <c:pt idx="12">
                  <c:v>-31951.271934991542</c:v>
                </c:pt>
                <c:pt idx="13">
                  <c:v>-51024.221950479914</c:v>
                </c:pt>
                <c:pt idx="14">
                  <c:v>-70761.72561862832</c:v>
                </c:pt>
                <c:pt idx="15">
                  <c:v>-91198.45052763759</c:v>
                </c:pt>
                <c:pt idx="16">
                  <c:v>-44528.6506678417</c:v>
                </c:pt>
                <c:pt idx="17">
                  <c:v>-65130.01689568927</c:v>
                </c:pt>
                <c:pt idx="18">
                  <c:v>-86464.7988584452</c:v>
                </c:pt>
                <c:pt idx="19">
                  <c:v>-108570.40632336967</c:v>
                </c:pt>
                <c:pt idx="20">
                  <c:v>-131486.1128175271</c:v>
                </c:pt>
                <c:pt idx="21">
                  <c:v>-155253.15284882678</c:v>
                </c:pt>
                <c:pt idx="22">
                  <c:v>-179914.8242953972</c:v>
                </c:pt>
                <c:pt idx="23">
                  <c:v>-205516.59624218463</c:v>
                </c:pt>
                <c:pt idx="24">
                  <c:v>-232106.22255886038</c:v>
                </c:pt>
                <c:pt idx="25">
                  <c:v>-259733.86152915325</c:v>
                </c:pt>
                <c:pt idx="26">
                  <c:v>-288452.20185862324</c:v>
                </c:pt>
                <c:pt idx="27">
                  <c:v>-318316.5954057295</c:v>
                </c:pt>
                <c:pt idx="28">
                  <c:v>-349385.1969998606</c:v>
                </c:pt>
                <c:pt idx="29">
                  <c:v>-381719.11172983475</c:v>
                </c:pt>
                <c:pt idx="30">
                  <c:v>-415382.5501073184</c:v>
                </c:pt>
              </c:numCache>
            </c:numRef>
          </c:val>
        </c:ser>
        <c:axId val="21409908"/>
        <c:axId val="58471445"/>
      </c:bar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1445"/>
        <c:crosses val="autoZero"/>
        <c:auto val="1"/>
        <c:lblOffset val="100"/>
        <c:noMultiLvlLbl val="0"/>
      </c:catAx>
      <c:valAx>
        <c:axId val="58471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0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1</xdr:row>
      <xdr:rowOff>19050</xdr:rowOff>
    </xdr:from>
    <xdr:to>
      <xdr:col>7</xdr:col>
      <xdr:colOff>428625</xdr:colOff>
      <xdr:row>3</xdr:row>
      <xdr:rowOff>95250</xdr:rowOff>
    </xdr:to>
    <xdr:pic>
      <xdr:nvPicPr>
        <xdr:cNvPr id="1" name="btnRunS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80975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9</xdr:col>
      <xdr:colOff>1009650</xdr:colOff>
      <xdr:row>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91775" y="0"/>
          <a:ext cx="28194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- Button requires Solver add-in (Tools, Add-Ins). 
- Open Solver to see calculation (Tools, Solver).
- Note that small discrepancies between these results and those in Solar Advisor are due to differences in the search algorithm used by the Excel Solver and Solar Advisor.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21</xdr:row>
      <xdr:rowOff>66675</xdr:rowOff>
    </xdr:from>
    <xdr:to>
      <xdr:col>17</xdr:col>
      <xdr:colOff>485775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2162175" y="3467100"/>
        <a:ext cx="9582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0</xdr:row>
      <xdr:rowOff>19050</xdr:rowOff>
    </xdr:from>
    <xdr:to>
      <xdr:col>17</xdr:col>
      <xdr:colOff>476250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8850" y="19050"/>
        <a:ext cx="95059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37</xdr:row>
      <xdr:rowOff>28575</xdr:rowOff>
    </xdr:from>
    <xdr:to>
      <xdr:col>17</xdr:col>
      <xdr:colOff>457200</xdr:colOff>
      <xdr:row>56</xdr:row>
      <xdr:rowOff>47625</xdr:rowOff>
    </xdr:to>
    <xdr:graphicFrame>
      <xdr:nvGraphicFramePr>
        <xdr:cNvPr id="3" name="Chart 3"/>
        <xdr:cNvGraphicFramePr/>
      </xdr:nvGraphicFramePr>
      <xdr:xfrm>
        <a:off x="2152650" y="6019800"/>
        <a:ext cx="95631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$/@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J232"/>
  <sheetViews>
    <sheetView tabSelected="1" zoomScale="75" zoomScaleNormal="75" workbookViewId="0" topLeftCell="D1">
      <selection activeCell="O26" sqref="O26"/>
    </sheetView>
  </sheetViews>
  <sheetFormatPr defaultColWidth="9.140625" defaultRowHeight="12.75"/>
  <cols>
    <col min="1" max="1" width="11.00390625" style="0" customWidth="1"/>
    <col min="2" max="2" width="32.00390625" style="0" customWidth="1"/>
    <col min="3" max="3" width="18.00390625" style="0" customWidth="1"/>
    <col min="4" max="4" width="22.57421875" style="0" customWidth="1"/>
    <col min="5" max="5" width="24.28125" style="0" customWidth="1"/>
    <col min="6" max="6" width="16.00390625" style="0" customWidth="1"/>
    <col min="7" max="7" width="16.00390625" style="158" customWidth="1"/>
    <col min="8" max="8" width="16.00390625" style="0" customWidth="1"/>
    <col min="9" max="9" width="27.140625" style="0" customWidth="1"/>
    <col min="10" max="35" width="16.00390625" style="0" customWidth="1"/>
  </cols>
  <sheetData>
    <row r="1" spans="1:6" ht="12.75">
      <c r="A1" s="3"/>
      <c r="C1" s="3"/>
      <c r="F1" s="3"/>
    </row>
    <row r="2" spans="1:6" ht="12.75">
      <c r="A2" s="3"/>
      <c r="B2" s="6"/>
      <c r="C2" s="3"/>
      <c r="F2" s="3"/>
    </row>
    <row r="3" spans="1:6" ht="12.75">
      <c r="A3" s="3"/>
      <c r="B3" s="34"/>
      <c r="C3" s="3"/>
      <c r="F3" s="3"/>
    </row>
    <row r="4" spans="1:6" ht="12.75">
      <c r="A4" s="3"/>
      <c r="B4" s="34" t="s">
        <v>55</v>
      </c>
      <c r="C4" s="3"/>
      <c r="F4" s="3"/>
    </row>
    <row r="5" spans="1:6" ht="12.75">
      <c r="A5" s="3"/>
      <c r="B5" s="160">
        <v>39101</v>
      </c>
      <c r="C5" s="3"/>
      <c r="F5" s="3"/>
    </row>
    <row r="6" spans="1:6" ht="13.5" thickBot="1">
      <c r="A6" s="8"/>
      <c r="B6" s="9"/>
      <c r="C6" s="39"/>
      <c r="D6" s="9"/>
      <c r="E6" s="9"/>
      <c r="F6" s="39"/>
    </row>
    <row r="7" spans="1:6" ht="12.75">
      <c r="A7" s="3"/>
      <c r="B7" s="190" t="s">
        <v>29</v>
      </c>
      <c r="C7" s="191"/>
      <c r="D7" s="191"/>
      <c r="E7" s="191"/>
      <c r="F7" s="192"/>
    </row>
    <row r="8" spans="1:6" ht="12.75">
      <c r="A8" s="5" t="s">
        <v>31</v>
      </c>
      <c r="B8" s="18"/>
      <c r="C8" s="40"/>
      <c r="D8" s="14"/>
      <c r="E8" s="35" t="s">
        <v>40</v>
      </c>
      <c r="F8" s="41">
        <f>uPPA</f>
        <v>7.147420981195739</v>
      </c>
    </row>
    <row r="9" spans="1:6" ht="12.75">
      <c r="A9" s="3">
        <v>3.1</v>
      </c>
      <c r="B9" s="36" t="s">
        <v>41</v>
      </c>
      <c r="C9" s="42">
        <f>NPV(uNominalDiscountRate,uRequiredRevenue)*100/NPV(uRealDiscountRate,uOutput)</f>
        <v>5.548014899863476</v>
      </c>
      <c r="D9" s="14"/>
      <c r="E9" s="35" t="s">
        <v>42</v>
      </c>
      <c r="F9" s="43">
        <f>IRR(uAfterTaxCashflow)</f>
        <v>0.17168868283715463</v>
      </c>
    </row>
    <row r="10" spans="1:14" ht="15.75">
      <c r="A10" s="3">
        <v>3.2</v>
      </c>
      <c r="B10" s="36" t="s">
        <v>43</v>
      </c>
      <c r="C10" s="42">
        <f>NPV(uNominalDiscountRate,uRequiredRevenue)*100/NPV(uNominalDiscountRate,uOutput)</f>
        <v>7.1474209811957365</v>
      </c>
      <c r="D10" s="14"/>
      <c r="E10" s="35" t="s">
        <v>44</v>
      </c>
      <c r="F10" s="44">
        <f>MIN(uDSCR)</f>
        <v>-0.542078503155268</v>
      </c>
      <c r="H10" s="183" t="s">
        <v>205</v>
      </c>
      <c r="K10" s="183" t="s">
        <v>206</v>
      </c>
      <c r="M10" s="203"/>
      <c r="N10" s="183" t="s">
        <v>207</v>
      </c>
    </row>
    <row r="11" spans="2:14" ht="13.5" thickBot="1">
      <c r="B11" s="92"/>
      <c r="C11" s="63"/>
      <c r="D11" s="63"/>
      <c r="E11" s="63"/>
      <c r="F11" s="31"/>
      <c r="H11" t="s">
        <v>208</v>
      </c>
      <c r="K11" t="s">
        <v>208</v>
      </c>
      <c r="M11" s="186"/>
      <c r="N11" t="s">
        <v>208</v>
      </c>
    </row>
    <row r="12" spans="1:6" ht="13.5" thickBot="1">
      <c r="A12" s="3"/>
      <c r="B12" s="190" t="s">
        <v>22</v>
      </c>
      <c r="C12" s="191"/>
      <c r="D12" s="191"/>
      <c r="E12" s="191"/>
      <c r="F12" s="192"/>
    </row>
    <row r="13" spans="1:16" ht="12.75">
      <c r="A13" s="3"/>
      <c r="B13" s="17" t="s">
        <v>34</v>
      </c>
      <c r="C13" s="45"/>
      <c r="D13" s="14"/>
      <c r="E13" s="11" t="s">
        <v>174</v>
      </c>
      <c r="F13" s="46"/>
      <c r="H13" s="204"/>
      <c r="I13" s="205" t="s">
        <v>209</v>
      </c>
      <c r="K13" s="204"/>
      <c r="L13" s="205" t="s">
        <v>209</v>
      </c>
      <c r="N13" s="204"/>
      <c r="O13" s="205" t="s">
        <v>209</v>
      </c>
      <c r="P13" s="185"/>
    </row>
    <row r="14" spans="1:16" ht="12.75">
      <c r="A14" s="3"/>
      <c r="B14" s="7" t="s">
        <v>15</v>
      </c>
      <c r="C14" s="47"/>
      <c r="D14" s="14"/>
      <c r="E14" s="12" t="s">
        <v>21</v>
      </c>
      <c r="F14" s="48"/>
      <c r="H14" s="188"/>
      <c r="I14" s="206"/>
      <c r="K14" s="188"/>
      <c r="L14" s="206"/>
      <c r="N14" s="188"/>
      <c r="O14" s="206"/>
      <c r="P14" s="185"/>
    </row>
    <row r="15" spans="1:16" ht="12.75">
      <c r="A15" s="3"/>
      <c r="B15" s="36" t="s">
        <v>9</v>
      </c>
      <c r="C15" s="29">
        <v>30</v>
      </c>
      <c r="D15" s="49"/>
      <c r="E15" s="35" t="s">
        <v>45</v>
      </c>
      <c r="F15" s="26">
        <v>0.01</v>
      </c>
      <c r="H15" s="188"/>
      <c r="I15" s="206"/>
      <c r="K15" s="188" t="s">
        <v>210</v>
      </c>
      <c r="L15" s="207">
        <v>100000</v>
      </c>
      <c r="N15" s="188"/>
      <c r="O15" s="206"/>
      <c r="P15" s="185"/>
    </row>
    <row r="16" spans="1:16" ht="12.75">
      <c r="A16" s="3"/>
      <c r="B16" s="36" t="s">
        <v>1</v>
      </c>
      <c r="C16" s="21">
        <v>0.025</v>
      </c>
      <c r="D16" s="50"/>
      <c r="E16" s="142" t="s">
        <v>175</v>
      </c>
      <c r="F16" s="115">
        <v>1000</v>
      </c>
      <c r="H16" s="188" t="s">
        <v>190</v>
      </c>
      <c r="I16" s="207">
        <v>100000</v>
      </c>
      <c r="K16" s="208" t="s">
        <v>211</v>
      </c>
      <c r="L16" s="207">
        <v>600000</v>
      </c>
      <c r="N16" s="188"/>
      <c r="O16" s="206"/>
      <c r="P16" s="185"/>
    </row>
    <row r="17" spans="1:16" ht="12.75">
      <c r="A17" s="3"/>
      <c r="B17" s="36" t="s">
        <v>2</v>
      </c>
      <c r="C17" s="21">
        <v>0.055</v>
      </c>
      <c r="D17" s="50"/>
      <c r="E17" s="142" t="s">
        <v>178</v>
      </c>
      <c r="F17" s="115">
        <v>10</v>
      </c>
      <c r="H17" s="188" t="s">
        <v>191</v>
      </c>
      <c r="I17" s="207">
        <v>150000</v>
      </c>
      <c r="K17" s="188" t="s">
        <v>212</v>
      </c>
      <c r="L17" s="207">
        <v>50000</v>
      </c>
      <c r="N17" s="188"/>
      <c r="O17" s="206"/>
      <c r="P17" s="185"/>
    </row>
    <row r="18" spans="1:16" ht="12.75">
      <c r="A18" s="3"/>
      <c r="B18" s="7" t="s">
        <v>16</v>
      </c>
      <c r="C18" s="47"/>
      <c r="D18" s="14"/>
      <c r="E18" s="11" t="s">
        <v>35</v>
      </c>
      <c r="F18" s="46"/>
      <c r="H18" s="188" t="s">
        <v>192</v>
      </c>
      <c r="I18" s="207">
        <v>0</v>
      </c>
      <c r="K18" s="188" t="s">
        <v>192</v>
      </c>
      <c r="L18" s="207">
        <v>50000</v>
      </c>
      <c r="N18" s="188"/>
      <c r="O18" s="206"/>
      <c r="P18" s="185"/>
    </row>
    <row r="19" spans="1:16" ht="12.75">
      <c r="A19" s="3"/>
      <c r="B19" s="7"/>
      <c r="C19" s="47"/>
      <c r="D19" s="14"/>
      <c r="E19" s="35" t="s">
        <v>181</v>
      </c>
      <c r="F19" s="25">
        <v>1000000</v>
      </c>
      <c r="H19" s="188" t="s">
        <v>193</v>
      </c>
      <c r="I19" s="207">
        <v>500000</v>
      </c>
      <c r="K19" s="188" t="s">
        <v>213</v>
      </c>
      <c r="L19" s="207">
        <v>0</v>
      </c>
      <c r="N19" s="188"/>
      <c r="O19" s="206"/>
      <c r="P19" s="185"/>
    </row>
    <row r="20" spans="1:16" ht="12.75">
      <c r="A20" s="3"/>
      <c r="B20" s="7"/>
      <c r="C20" s="47"/>
      <c r="D20" s="14"/>
      <c r="E20" s="35" t="s">
        <v>182</v>
      </c>
      <c r="F20" s="26">
        <v>0.1</v>
      </c>
      <c r="H20" s="188" t="s">
        <v>194</v>
      </c>
      <c r="I20" s="207">
        <v>250000</v>
      </c>
      <c r="K20" s="188" t="s">
        <v>214</v>
      </c>
      <c r="L20" s="207">
        <v>200000</v>
      </c>
      <c r="N20" s="188" t="s">
        <v>215</v>
      </c>
      <c r="O20" s="207">
        <v>1000000</v>
      </c>
      <c r="P20" s="185"/>
    </row>
    <row r="21" spans="1:16" ht="12.75">
      <c r="A21" s="3"/>
      <c r="B21" s="36" t="s">
        <v>6</v>
      </c>
      <c r="C21" s="21">
        <v>0.28</v>
      </c>
      <c r="D21" s="63"/>
      <c r="E21" s="35" t="s">
        <v>172</v>
      </c>
      <c r="F21" s="25">
        <f>F19*(1+F20)</f>
        <v>1100000</v>
      </c>
      <c r="H21" s="188" t="s">
        <v>182</v>
      </c>
      <c r="I21" s="207">
        <f>$F20*SUM(I16:I20)</f>
        <v>100000</v>
      </c>
      <c r="K21" s="188" t="s">
        <v>182</v>
      </c>
      <c r="L21" s="207">
        <f>$F20*SUM(L15:L20)</f>
        <v>100000</v>
      </c>
      <c r="N21" s="188" t="s">
        <v>182</v>
      </c>
      <c r="O21" s="207">
        <v>100000</v>
      </c>
      <c r="P21" s="185"/>
    </row>
    <row r="22" spans="1:16" ht="12.75">
      <c r="A22" s="3"/>
      <c r="B22" s="36" t="s">
        <v>7</v>
      </c>
      <c r="C22" s="21">
        <v>0.07</v>
      </c>
      <c r="D22" s="63"/>
      <c r="E22" s="35" t="s">
        <v>170</v>
      </c>
      <c r="F22" s="26">
        <v>0.05</v>
      </c>
      <c r="H22" s="188" t="s">
        <v>216</v>
      </c>
      <c r="I22" s="209">
        <f>SUM(I16:I21)</f>
        <v>1100000</v>
      </c>
      <c r="K22" s="188" t="s">
        <v>216</v>
      </c>
      <c r="L22" s="209">
        <f>SUM(L15:L21)</f>
        <v>1100000</v>
      </c>
      <c r="N22" s="188" t="s">
        <v>216</v>
      </c>
      <c r="O22" s="209">
        <f>O20+O21</f>
        <v>1100000</v>
      </c>
      <c r="P22" s="185"/>
    </row>
    <row r="23" spans="1:16" ht="12.75">
      <c r="A23" s="3"/>
      <c r="B23" s="36" t="s">
        <v>3</v>
      </c>
      <c r="C23" s="21">
        <v>0.03</v>
      </c>
      <c r="D23" s="63"/>
      <c r="E23" s="35" t="s">
        <v>171</v>
      </c>
      <c r="F23" s="26">
        <v>0.1</v>
      </c>
      <c r="H23" s="189"/>
      <c r="I23" s="209"/>
      <c r="K23" s="189"/>
      <c r="L23" s="209"/>
      <c r="N23" s="189"/>
      <c r="O23" s="209"/>
      <c r="P23" s="185"/>
    </row>
    <row r="24" spans="1:16" ht="12.75">
      <c r="A24" s="3"/>
      <c r="B24" s="36" t="s">
        <v>75</v>
      </c>
      <c r="C24" s="21">
        <v>0.06</v>
      </c>
      <c r="D24" s="63"/>
      <c r="E24" s="35" t="s">
        <v>123</v>
      </c>
      <c r="F24" s="26">
        <v>0.8</v>
      </c>
      <c r="H24" s="188" t="s">
        <v>170</v>
      </c>
      <c r="I24" s="210">
        <v>55000</v>
      </c>
      <c r="K24" s="188" t="s">
        <v>170</v>
      </c>
      <c r="L24" s="210">
        <v>55000</v>
      </c>
      <c r="N24" s="188" t="s">
        <v>170</v>
      </c>
      <c r="O24" s="210">
        <v>55000</v>
      </c>
      <c r="P24" s="185"/>
    </row>
    <row r="25" spans="1:15" ht="12.75">
      <c r="A25" s="3"/>
      <c r="B25" s="36" t="s">
        <v>4</v>
      </c>
      <c r="C25" s="21">
        <v>0.02</v>
      </c>
      <c r="D25" s="50"/>
      <c r="E25" s="35" t="s">
        <v>121</v>
      </c>
      <c r="F25" s="25">
        <f>+uEPCPercent*uTotalCapitalCost+uPLOPercent*uTotalCapitalCost+uSalesPercentofDirect*uTotalCapitalCost*uSalesTax</f>
        <v>217800</v>
      </c>
      <c r="H25" s="188" t="s">
        <v>195</v>
      </c>
      <c r="I25" s="210">
        <v>110000</v>
      </c>
      <c r="K25" s="188" t="s">
        <v>195</v>
      </c>
      <c r="L25" s="210">
        <v>110000</v>
      </c>
      <c r="N25" s="188" t="s">
        <v>195</v>
      </c>
      <c r="O25" s="210">
        <v>110000</v>
      </c>
    </row>
    <row r="26" spans="1:15" ht="12.75">
      <c r="A26" s="3"/>
      <c r="B26" s="7" t="s">
        <v>17</v>
      </c>
      <c r="C26" s="47"/>
      <c r="D26" s="50"/>
      <c r="E26" s="35" t="s">
        <v>122</v>
      </c>
      <c r="F26" s="25">
        <f>uTotalCapitalCost+uTotalIndirectCost</f>
        <v>1317800</v>
      </c>
      <c r="H26" s="188" t="s">
        <v>196</v>
      </c>
      <c r="I26" s="210">
        <f>I22*uSalesPercentofDirect*uSalesTax</f>
        <v>52800</v>
      </c>
      <c r="K26" s="188" t="s">
        <v>196</v>
      </c>
      <c r="L26" s="210">
        <f>L22*uSalesPercentofDirect*uSalesTax</f>
        <v>52800</v>
      </c>
      <c r="N26" s="188" t="s">
        <v>196</v>
      </c>
      <c r="O26" s="210">
        <f>O22*uSalesPercentofDirect*uSalesTax</f>
        <v>52800</v>
      </c>
    </row>
    <row r="27" spans="1:16" ht="12.75">
      <c r="A27" s="3" t="s">
        <v>39</v>
      </c>
      <c r="B27" s="36" t="s">
        <v>18</v>
      </c>
      <c r="C27" s="51">
        <f>uLoanDebtPercent*uTotalAdjustedInstalledCosts</f>
        <v>658900</v>
      </c>
      <c r="D27" s="49"/>
      <c r="E27" s="35"/>
      <c r="F27" s="16"/>
      <c r="H27" s="188" t="s">
        <v>217</v>
      </c>
      <c r="I27" s="207">
        <f>SUM(I24:I26)</f>
        <v>217800</v>
      </c>
      <c r="K27" s="188" t="s">
        <v>217</v>
      </c>
      <c r="L27" s="207">
        <f>SUM(L24:L26)</f>
        <v>217800</v>
      </c>
      <c r="N27" s="188" t="s">
        <v>217</v>
      </c>
      <c r="O27" s="207">
        <f>SUM(O24:O26)</f>
        <v>217800</v>
      </c>
      <c r="P27" s="185"/>
    </row>
    <row r="28" spans="1:16" ht="12.75">
      <c r="A28" s="3"/>
      <c r="B28" s="36" t="s">
        <v>32</v>
      </c>
      <c r="C28" s="21">
        <v>0.5</v>
      </c>
      <c r="D28" s="49"/>
      <c r="E28" s="35" t="s">
        <v>124</v>
      </c>
      <c r="F28" s="25">
        <v>150</v>
      </c>
      <c r="H28" s="189"/>
      <c r="I28" s="209"/>
      <c r="K28" s="189"/>
      <c r="L28" s="209"/>
      <c r="N28" s="189"/>
      <c r="O28" s="209"/>
      <c r="P28" s="185"/>
    </row>
    <row r="29" spans="1:16" ht="12.75">
      <c r="A29" s="3"/>
      <c r="B29" s="36" t="s">
        <v>19</v>
      </c>
      <c r="C29" s="10">
        <v>15</v>
      </c>
      <c r="D29" s="49"/>
      <c r="E29" s="35" t="s">
        <v>127</v>
      </c>
      <c r="F29" s="148">
        <v>0.01</v>
      </c>
      <c r="H29" s="189" t="s">
        <v>122</v>
      </c>
      <c r="I29" s="209">
        <f>I22+I27</f>
        <v>1317800</v>
      </c>
      <c r="K29" s="189" t="s">
        <v>122</v>
      </c>
      <c r="L29" s="209">
        <f>L22+L27</f>
        <v>1317800</v>
      </c>
      <c r="N29" s="189" t="s">
        <v>122</v>
      </c>
      <c r="O29" s="209">
        <f>O22+O27</f>
        <v>1317800</v>
      </c>
      <c r="P29" s="185"/>
    </row>
    <row r="30" spans="1:15" ht="12.75">
      <c r="A30" s="3"/>
      <c r="B30" s="36" t="s">
        <v>20</v>
      </c>
      <c r="C30" s="21">
        <v>0.06</v>
      </c>
      <c r="D30" s="50"/>
      <c r="E30" s="35" t="s">
        <v>183</v>
      </c>
      <c r="F30" s="25">
        <v>0.1</v>
      </c>
      <c r="H30" s="189"/>
      <c r="I30" s="209"/>
      <c r="K30" s="189"/>
      <c r="L30" s="209"/>
      <c r="N30" s="189"/>
      <c r="O30" s="209"/>
    </row>
    <row r="31" spans="1:16" ht="25.5">
      <c r="A31" s="3"/>
      <c r="B31" s="7" t="s">
        <v>36</v>
      </c>
      <c r="C31" s="47"/>
      <c r="D31" s="14"/>
      <c r="E31" s="35" t="s">
        <v>128</v>
      </c>
      <c r="F31" s="161">
        <v>0.02</v>
      </c>
      <c r="H31" s="188"/>
      <c r="I31" s="211" t="s">
        <v>218</v>
      </c>
      <c r="K31" s="188"/>
      <c r="L31" s="211" t="s">
        <v>218</v>
      </c>
      <c r="N31" s="188"/>
      <c r="O31" s="211" t="s">
        <v>218</v>
      </c>
      <c r="P31" s="185"/>
    </row>
    <row r="32" spans="1:16" ht="12.75">
      <c r="A32" s="3"/>
      <c r="B32" s="62" t="s">
        <v>108</v>
      </c>
      <c r="C32" s="53" t="s">
        <v>38</v>
      </c>
      <c r="D32" s="50"/>
      <c r="E32" s="35" t="s">
        <v>176</v>
      </c>
      <c r="F32" s="25">
        <v>1.3</v>
      </c>
      <c r="H32" s="189"/>
      <c r="I32" s="209"/>
      <c r="K32" s="189"/>
      <c r="L32" s="209"/>
      <c r="N32" s="189"/>
      <c r="O32" s="209"/>
      <c r="P32" s="185"/>
    </row>
    <row r="33" spans="1:16" ht="12.75">
      <c r="A33" s="3"/>
      <c r="B33" s="62" t="s">
        <v>109</v>
      </c>
      <c r="C33" s="53" t="s">
        <v>38</v>
      </c>
      <c r="D33" s="14"/>
      <c r="E33" s="35" t="s">
        <v>177</v>
      </c>
      <c r="F33" s="161">
        <v>0.03</v>
      </c>
      <c r="H33" s="188" t="s">
        <v>197</v>
      </c>
      <c r="I33" s="210">
        <f>NPV(uNominalDiscountRate,$D137:$AG137)</f>
        <v>2366084.821800146</v>
      </c>
      <c r="K33" s="188" t="s">
        <v>197</v>
      </c>
      <c r="L33" s="210">
        <f>NPV(uNominalDiscountRate,$D137:$AG137)</f>
        <v>2366084.821800146</v>
      </c>
      <c r="N33" s="188" t="s">
        <v>197</v>
      </c>
      <c r="O33" s="210">
        <f>NPV(uNominalDiscountRate,$D137:$AG137)</f>
        <v>2366084.821800146</v>
      </c>
      <c r="P33" s="185"/>
    </row>
    <row r="34" spans="1:16" ht="12.75">
      <c r="A34" s="3"/>
      <c r="B34" s="7" t="s">
        <v>184</v>
      </c>
      <c r="C34" s="47"/>
      <c r="D34" s="63"/>
      <c r="E34" s="35" t="s">
        <v>200</v>
      </c>
      <c r="F34" s="25">
        <v>1000</v>
      </c>
      <c r="H34" s="188" t="s">
        <v>198</v>
      </c>
      <c r="I34" s="210">
        <f>NPV(uNominalDiscountRate,$D138:$AG138)</f>
        <v>13750.245135419056</v>
      </c>
      <c r="K34" s="188" t="s">
        <v>198</v>
      </c>
      <c r="L34" s="210">
        <f>NPV(uNominalDiscountRate,$D138:$AG138)</f>
        <v>13750.245135419056</v>
      </c>
      <c r="N34" s="188" t="s">
        <v>198</v>
      </c>
      <c r="O34" s="210">
        <f>NPV(uNominalDiscountRate,$D138:$AG138)</f>
        <v>13750.245135419056</v>
      </c>
      <c r="P34" s="185"/>
    </row>
    <row r="35" spans="1:16" ht="12.75">
      <c r="A35" s="3"/>
      <c r="B35" s="36" t="s">
        <v>46</v>
      </c>
      <c r="C35" s="21">
        <v>0</v>
      </c>
      <c r="D35" s="50"/>
      <c r="E35" s="35" t="s">
        <v>201</v>
      </c>
      <c r="F35" s="161">
        <v>0.04</v>
      </c>
      <c r="H35" s="188" t="s">
        <v>199</v>
      </c>
      <c r="I35" s="210">
        <f>NPV(uNominalDiscountRate,$D139:$AG139)</f>
        <v>2259281.2516243146</v>
      </c>
      <c r="K35" s="188" t="s">
        <v>199</v>
      </c>
      <c r="L35" s="210">
        <f>NPV(uNominalDiscountRate,$D139:$AG139)</f>
        <v>2259281.2516243146</v>
      </c>
      <c r="N35" s="188" t="s">
        <v>199</v>
      </c>
      <c r="O35" s="210">
        <f>NPV(uNominalDiscountRate,$D139:$AG139)</f>
        <v>2259281.2516243146</v>
      </c>
      <c r="P35" s="185"/>
    </row>
    <row r="36" spans="1:16" ht="12.75">
      <c r="A36" s="3"/>
      <c r="B36" s="7" t="s">
        <v>185</v>
      </c>
      <c r="C36" s="47"/>
      <c r="D36" s="50"/>
      <c r="E36" s="11" t="s">
        <v>87</v>
      </c>
      <c r="F36" s="24"/>
      <c r="H36" s="188" t="s">
        <v>202</v>
      </c>
      <c r="I36" s="210">
        <f>NPV(uNominalDiscountRate,$D136:$AG136)</f>
        <v>22430.476698360973</v>
      </c>
      <c r="K36" s="188" t="s">
        <v>202</v>
      </c>
      <c r="L36" s="210">
        <f>NPV(uNominalDiscountRate,$D136:$AG136)</f>
        <v>22430.476698360973</v>
      </c>
      <c r="N36" s="188" t="s">
        <v>202</v>
      </c>
      <c r="O36" s="210">
        <f>NPV(uNominalDiscountRate,$D136:$AG136)</f>
        <v>22430.476698360973</v>
      </c>
      <c r="P36" s="185"/>
    </row>
    <row r="37" spans="1:16" ht="12.75">
      <c r="A37" s="3"/>
      <c r="B37" s="36" t="s">
        <v>47</v>
      </c>
      <c r="C37" s="21">
        <v>0.15</v>
      </c>
      <c r="D37" s="50"/>
      <c r="E37" s="114" t="s">
        <v>84</v>
      </c>
      <c r="F37" s="25">
        <f>+IF(uFixedTypeFed="Percent w/ Maximum",IF(uFedFixedPercent/100*uTotalInstalledCosts&lt;uFedFixedMax,uFedFixedPercent/100*uTotalInstalledCosts,uFedFixedMax),uFedFixedMax)</f>
        <v>0</v>
      </c>
      <c r="H37" s="188" t="s">
        <v>219</v>
      </c>
      <c r="I37" s="207">
        <f>SUM(I33:I36)</f>
        <v>4661546.795258241</v>
      </c>
      <c r="K37" s="188" t="s">
        <v>219</v>
      </c>
      <c r="L37" s="207">
        <f>SUM(L33:L36)</f>
        <v>4661546.795258241</v>
      </c>
      <c r="N37" s="188" t="s">
        <v>219</v>
      </c>
      <c r="O37" s="207">
        <f>SUM(O33:O36)</f>
        <v>4661546.795258241</v>
      </c>
      <c r="P37" s="185"/>
    </row>
    <row r="38" spans="1:16" ht="12.75">
      <c r="A38" s="3"/>
      <c r="B38" s="36"/>
      <c r="C38" s="35"/>
      <c r="D38" s="14"/>
      <c r="E38" s="114" t="s">
        <v>85</v>
      </c>
      <c r="F38" s="25">
        <f>+IF(uFixedTypeState="Percent w/ Maximum",IF(uStateFixedPercent/100*uTotalInstalledCosts&lt;uStateFixedMax,uStateFixedPercent/100*uTotalInstalledCosts,uStateFixedMax),uStateFixedMax)</f>
        <v>0</v>
      </c>
      <c r="H38" s="189"/>
      <c r="I38" s="209"/>
      <c r="K38" s="189"/>
      <c r="L38" s="209"/>
      <c r="N38" s="189"/>
      <c r="O38" s="209"/>
      <c r="P38" s="185"/>
    </row>
    <row r="39" spans="1:16" ht="12.75">
      <c r="A39" s="3"/>
      <c r="B39" s="36"/>
      <c r="C39" s="35"/>
      <c r="D39" s="14"/>
      <c r="E39" s="114" t="s">
        <v>99</v>
      </c>
      <c r="F39" s="25">
        <f>+IF(uFixedTypeUtility="Percent w/ Maximum",IF(uUtilityFixedPercent/100*uTotalInstalledCosts&lt;uUtilityFixedMax,uUtilityFixedPercent/100*uTotalInstalledCosts,uUtilityFixedMax),uUtilityFixedMax)</f>
        <v>0</v>
      </c>
      <c r="H39" s="188" t="s">
        <v>148</v>
      </c>
      <c r="I39" s="210">
        <f>NPV(uNominalDiscountRate,$D141:$AG141)</f>
        <v>560563.0064342838</v>
      </c>
      <c r="K39" s="188" t="s">
        <v>148</v>
      </c>
      <c r="L39" s="210">
        <f>NPV(uNominalDiscountRate,$D141:$AG141)</f>
        <v>560563.0064342838</v>
      </c>
      <c r="N39" s="188" t="s">
        <v>148</v>
      </c>
      <c r="O39" s="210">
        <f>NPV(uNominalDiscountRate,$D141:$AG141)</f>
        <v>560563.0064342838</v>
      </c>
      <c r="P39" s="185"/>
    </row>
    <row r="40" spans="1:16" ht="12.75">
      <c r="A40" s="3"/>
      <c r="B40" s="36"/>
      <c r="C40" s="35"/>
      <c r="D40" s="14"/>
      <c r="E40" s="114" t="s">
        <v>86</v>
      </c>
      <c r="F40" s="25">
        <f>+IF(uFixedTypeOther="Percent w/ Maximum",IF(uOtherFixedPercent/100*uTotalInstalledCosts&lt;uOtherFixedMax,uOtherFixedPercent/100*uTotalInstalledCosts,uOtherFixedMax),uOtherFixedMax)</f>
        <v>0</v>
      </c>
      <c r="H40" s="188" t="s">
        <v>4</v>
      </c>
      <c r="I40" s="210">
        <f>NPV(uNominalDiscountRate,$D140:$AG140)</f>
        <v>373708.6709561892</v>
      </c>
      <c r="K40" s="188" t="s">
        <v>4</v>
      </c>
      <c r="L40" s="210">
        <f>NPV(uNominalDiscountRate,$D140:$AG140)</f>
        <v>373708.6709561892</v>
      </c>
      <c r="N40" s="188" t="s">
        <v>4</v>
      </c>
      <c r="O40" s="210">
        <f>NPV(uNominalDiscountRate,$D140:$AG140)</f>
        <v>373708.6709561892</v>
      </c>
      <c r="P40" s="185"/>
    </row>
    <row r="41" spans="1:16" ht="13.5" thickBot="1">
      <c r="A41" s="3"/>
      <c r="B41" s="36"/>
      <c r="C41" s="116"/>
      <c r="D41" s="14"/>
      <c r="E41" s="114" t="s">
        <v>104</v>
      </c>
      <c r="F41" s="25">
        <f>IF(uArraySize*1000*uFedBuyDownPerWatt&lt;uFedBuyDownCap,uArraySize*1000*uFedBuyDownPerWatt,uFedBuyDownCap)</f>
        <v>0</v>
      </c>
      <c r="H41" s="212" t="s">
        <v>204</v>
      </c>
      <c r="I41" s="213">
        <f>SUM(I39:I40)</f>
        <v>934271.677390473</v>
      </c>
      <c r="K41" s="212" t="s">
        <v>204</v>
      </c>
      <c r="L41" s="213">
        <f>SUM(L39:L40)</f>
        <v>934271.677390473</v>
      </c>
      <c r="N41" s="212" t="s">
        <v>204</v>
      </c>
      <c r="O41" s="213">
        <f>SUM(O39:O40)</f>
        <v>934271.677390473</v>
      </c>
      <c r="P41" s="185"/>
    </row>
    <row r="42" spans="1:16" ht="12.75">
      <c r="A42" s="3"/>
      <c r="B42" s="36"/>
      <c r="C42" s="116"/>
      <c r="D42" s="14"/>
      <c r="E42" s="114" t="s">
        <v>105</v>
      </c>
      <c r="F42" s="25">
        <f>IF(uArraySize*1000*uStateBuyDownPerWatt&lt;uStateBuyDownCap,uArraySize*1000*uStateBuyDownPerWatt,uStateBuyDownCap)</f>
        <v>0</v>
      </c>
      <c r="H42" s="184"/>
      <c r="I42" s="185"/>
      <c r="O42" s="185"/>
      <c r="P42" s="185"/>
    </row>
    <row r="43" spans="1:16" ht="12.75">
      <c r="A43" s="3"/>
      <c r="B43" s="36"/>
      <c r="C43" s="116"/>
      <c r="D43" s="14"/>
      <c r="E43" s="114" t="s">
        <v>106</v>
      </c>
      <c r="F43" s="25">
        <f>IF(uArraySize*1000*uUtilityBuyDownPerWatt&lt;uUtilityBuyDownCap,uArraySize*1000*uUtilityBuyDownPerWatt,uUtilityBuyDownCap)</f>
        <v>0</v>
      </c>
      <c r="H43" s="184"/>
      <c r="I43" s="185"/>
      <c r="O43" s="185"/>
      <c r="P43" s="185"/>
    </row>
    <row r="44" spans="1:16" ht="12.75">
      <c r="A44" s="3"/>
      <c r="B44" s="36"/>
      <c r="C44" s="116"/>
      <c r="D44" s="14"/>
      <c r="E44" s="114" t="s">
        <v>107</v>
      </c>
      <c r="F44" s="25">
        <f>IF(uArraySize*1000*uOtherBuyDownPerWatt&lt;uOtherBuyDownCap,uArraySize*1000*uOtherBuyDownPerWatt,uOtherBuyDownCap)</f>
        <v>0</v>
      </c>
      <c r="P44" s="185"/>
    </row>
    <row r="45" spans="1:16" ht="13.5" thickBot="1">
      <c r="A45" s="3"/>
      <c r="B45" s="37"/>
      <c r="C45" s="54"/>
      <c r="D45" s="20"/>
      <c r="E45" s="128" t="s">
        <v>88</v>
      </c>
      <c r="F45" s="149">
        <f>+uTotalInstalledCosts-SUM(F37:F44)</f>
        <v>1317800</v>
      </c>
      <c r="H45" s="2"/>
      <c r="I45" s="185"/>
      <c r="J45" s="185"/>
      <c r="K45" s="185"/>
      <c r="L45" s="185"/>
      <c r="M45" s="185"/>
      <c r="N45" s="2"/>
      <c r="O45" s="2"/>
      <c r="P45" s="187"/>
    </row>
    <row r="46" spans="1:36" ht="12.75">
      <c r="A46" s="3"/>
      <c r="B46" s="193" t="s">
        <v>23</v>
      </c>
      <c r="C46" s="194"/>
      <c r="D46" s="194"/>
      <c r="E46" s="194"/>
      <c r="F46" s="195"/>
      <c r="H46" s="2"/>
      <c r="I46" s="185"/>
      <c r="J46" s="185"/>
      <c r="K46" s="185"/>
      <c r="L46" s="185"/>
      <c r="M46" s="185"/>
      <c r="N46" s="2"/>
      <c r="O46" s="2"/>
      <c r="P46" s="187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</row>
    <row r="47" spans="1:36" ht="12.75">
      <c r="A47" s="3"/>
      <c r="B47" s="33" t="s">
        <v>48</v>
      </c>
      <c r="C47" s="45"/>
      <c r="D47" s="57"/>
      <c r="E47" s="14"/>
      <c r="F47" s="52"/>
      <c r="N47" s="2"/>
      <c r="O47" s="2"/>
      <c r="P47" s="187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</row>
    <row r="48" spans="1:36" ht="13.5" thickBot="1">
      <c r="A48" s="3"/>
      <c r="B48" s="19" t="s">
        <v>30</v>
      </c>
      <c r="C48" s="27">
        <v>8760000</v>
      </c>
      <c r="D48" s="20" t="s">
        <v>33</v>
      </c>
      <c r="E48" s="63"/>
      <c r="F48" s="55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</row>
    <row r="49" spans="1:36" ht="12.75">
      <c r="A49" s="3"/>
      <c r="B49" s="190" t="s">
        <v>14</v>
      </c>
      <c r="C49" s="191"/>
      <c r="D49" s="191"/>
      <c r="E49" s="191"/>
      <c r="F49" s="192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</row>
    <row r="50" spans="1:36" ht="12.75">
      <c r="A50" s="3">
        <v>6.5</v>
      </c>
      <c r="B50" s="36" t="s">
        <v>8</v>
      </c>
      <c r="C50" s="22">
        <f>uFederalTax+(1-uFederalTax)*uStateTax</f>
        <v>0.3304</v>
      </c>
      <c r="D50" s="143"/>
      <c r="E50" s="14"/>
      <c r="F50" s="52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6"/>
    </row>
    <row r="51" spans="1:36" ht="12.75">
      <c r="A51" s="3" t="s">
        <v>37</v>
      </c>
      <c r="B51" s="62" t="s">
        <v>112</v>
      </c>
      <c r="C51" s="23">
        <f>uTotalInstalledCosts-IF(uFedFixedITCBasisFed="x",uFedFixed,0)-IF(uStateFixedITCBasisFed="x",uStateFixed,0)-IF(uUtilityFixedITCBasisFed="x",uUtilityFixed,0)-IF(uOtherFixedITCBasisFed="x",uOtherFixed,0)-IF(uFedBuyDownITCBasisFed="x",uFedBuyDown,0)-IF(uStateBuyDownITCBasisFed="x",uStateBuyDown,0)-IF(uUtilityBuyDownITCBasisFed="x",uUtilityBuyDown,0)-IF(uOtherBuyDownITCBasisFed="x",uOtherBuyDown,0)</f>
        <v>1317800</v>
      </c>
      <c r="D51" s="35" t="s">
        <v>117</v>
      </c>
      <c r="E51" s="23">
        <v>1317800</v>
      </c>
      <c r="F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</row>
    <row r="52" spans="1:36" ht="12.75">
      <c r="A52" s="3"/>
      <c r="B52" s="36" t="s">
        <v>82</v>
      </c>
      <c r="C52" s="23">
        <f>uTotalInstalledCosts-IF(uFedFixedITCBasisState="x",F37,0)-IF(uStateFixedITCBasisState="x",F38,0)-IF(uUtilityFixedITCBasisState="x",F39,0)-IF(uOtherFixedITCBasisState="x",F40,0)-IF(uFedBuyDownITCBasisState="x",F41,0)-IF(uStateBuyDownITCBasisState="x",F42,0)-IF(uUtilityBuyDownITCBasisState="x",F43,0)-IF(uOtherBuyDownITCBasisState="x",F44,0)</f>
        <v>1317800</v>
      </c>
      <c r="D52" s="144" t="s">
        <v>118</v>
      </c>
      <c r="E52" s="23">
        <f>+uTotalInstalledCosts-IF(uFedFixedDeprBasisState="x",F37,0)-IF(uStateFixedDeprBasisState="x",F38,0)-IF(uUtilityFixedDeprBasisState="x",F39,0)-IF(uOtherFixedDeprBasisState="x",F40,0)-IF(uFedBuyDownDeprBasisState="x",F41,0)-IF(uStateBuyDownDeprBasisState="x",F42,0)-IF(uUtilityBuyDownDeprBasisState="x",F43,0)-IF(uOtherBuyDownDeprBasisState="x",F44,0)-IF(uFedITCDeprBasisState="x",0.5*uFedITCAmount,0)-IF(uStateITCDeprBasisState="x",0.5*uStateITCAmount,0)</f>
        <v>1317800</v>
      </c>
      <c r="F52" s="52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</row>
    <row r="53" spans="1:36" ht="13.5" thickBot="1">
      <c r="A53" s="3">
        <v>3.3</v>
      </c>
      <c r="B53" s="37" t="s">
        <v>28</v>
      </c>
      <c r="C53" s="28">
        <f>(1+uRealDiscountRate)*(1+uInflationRate)-1</f>
        <v>0.08137499999999975</v>
      </c>
      <c r="D53" s="145"/>
      <c r="E53" s="20"/>
      <c r="F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</row>
    <row r="54" spans="1:36" ht="12.75">
      <c r="A54" s="3"/>
      <c r="B54" s="2"/>
      <c r="C54" s="10"/>
      <c r="D54" s="2"/>
      <c r="E54" s="2"/>
      <c r="F54" s="10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</row>
    <row r="55" spans="1:36" ht="13.5" thickBot="1">
      <c r="A55" s="3"/>
      <c r="D55" s="3"/>
      <c r="E55" s="3"/>
      <c r="F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J55" s="56"/>
    </row>
    <row r="56" spans="1:36" ht="12.75">
      <c r="A56" s="8"/>
      <c r="B56" s="84" t="s">
        <v>49</v>
      </c>
      <c r="C56" s="85"/>
      <c r="D56" s="86"/>
      <c r="E56" s="65" t="s">
        <v>50</v>
      </c>
      <c r="F56" s="66" t="s">
        <v>51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J56" s="56"/>
    </row>
    <row r="57" spans="1:36" ht="12.75">
      <c r="A57" s="3">
        <v>5.4</v>
      </c>
      <c r="B57" s="87" t="s">
        <v>52</v>
      </c>
      <c r="C57" s="88">
        <v>7.147420981195739</v>
      </c>
      <c r="D57" s="89" t="s">
        <v>53</v>
      </c>
      <c r="E57" s="90">
        <f>IF(ISNUMBER(uDSCR),MIN(uDSCR),"N/A")</f>
        <v>-0.542078503155268</v>
      </c>
      <c r="F57" s="91" t="s">
        <v>188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J57" s="56"/>
    </row>
    <row r="58" spans="1:36" ht="13.5" thickBot="1">
      <c r="A58" s="3"/>
      <c r="B58" s="15"/>
      <c r="C58" s="4"/>
      <c r="D58" s="93" t="s">
        <v>54</v>
      </c>
      <c r="E58" s="94">
        <f>IF(NOT(ISNUMBER(IRR(uAfterTaxCashflow,uMinReqIRR))),-2*ABS(uMinReqIRR),IRR(uAfterTaxCashflow,uMinReqIRR))</f>
        <v>0.1716886829852433</v>
      </c>
      <c r="F58" s="95">
        <f>uMinReqIRR</f>
        <v>0.15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J58" s="56"/>
    </row>
    <row r="59" spans="1:36" ht="13.5" thickBot="1">
      <c r="A59" s="3"/>
      <c r="B59" s="92"/>
      <c r="C59" s="92"/>
      <c r="D59" s="92" t="s">
        <v>173</v>
      </c>
      <c r="E59" s="165">
        <f>NPV(uMinReqIRR,uCashflow)+cashflow_0</f>
        <v>-7406.622658278793</v>
      </c>
      <c r="F59" s="165"/>
      <c r="G59" s="170"/>
      <c r="H59" s="3"/>
      <c r="I59" s="3"/>
      <c r="J59" s="3"/>
      <c r="K59" s="6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J59" s="56"/>
    </row>
    <row r="60" spans="1:36" ht="13.5" customHeight="1" thickBot="1">
      <c r="A60" s="8"/>
      <c r="B60" s="92"/>
      <c r="C60" s="92"/>
      <c r="D60" s="92" t="s">
        <v>189</v>
      </c>
      <c r="E60" s="165">
        <f>NPV(uMinReqIRR+0.1%,uCashflow)+cashflow_0</f>
        <v>-6678.557733907364</v>
      </c>
      <c r="F60" s="92"/>
      <c r="G60" s="170"/>
      <c r="H60" s="6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J60" s="56"/>
    </row>
    <row r="61" spans="1:36" ht="13.5" customHeight="1" thickBot="1">
      <c r="A61" s="8"/>
      <c r="G61" s="170"/>
      <c r="H61" s="6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J61" s="56"/>
    </row>
    <row r="62" spans="1:36" ht="13.5" customHeight="1">
      <c r="A62" s="8"/>
      <c r="B62" s="196"/>
      <c r="C62" s="198"/>
      <c r="D62" s="198"/>
      <c r="E62" s="198"/>
      <c r="F62" s="198"/>
      <c r="G62" s="198"/>
      <c r="H62" s="198"/>
      <c r="I62" s="198"/>
      <c r="J62" s="198" t="s">
        <v>56</v>
      </c>
      <c r="K62" s="198"/>
      <c r="L62" s="200" t="s">
        <v>111</v>
      </c>
      <c r="M62" s="201"/>
      <c r="N62" s="201"/>
      <c r="O62" s="20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J62" s="56"/>
    </row>
    <row r="63" spans="1:36" ht="13.5" customHeight="1" thickBot="1">
      <c r="A63" s="8"/>
      <c r="B63" s="197"/>
      <c r="C63" s="199"/>
      <c r="D63" s="199"/>
      <c r="E63" s="199"/>
      <c r="F63" s="199"/>
      <c r="G63" s="199"/>
      <c r="H63" s="199"/>
      <c r="I63" s="199"/>
      <c r="J63" s="105" t="s">
        <v>57</v>
      </c>
      <c r="K63" s="54" t="s">
        <v>58</v>
      </c>
      <c r="L63" s="124" t="s">
        <v>93</v>
      </c>
      <c r="M63" s="125" t="s">
        <v>94</v>
      </c>
      <c r="N63" s="101" t="s">
        <v>95</v>
      </c>
      <c r="O63" s="126" t="s">
        <v>96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J63" s="56"/>
    </row>
    <row r="64" spans="1:36" ht="13.5" customHeight="1">
      <c r="A64" s="8"/>
      <c r="B64" s="106"/>
      <c r="C64" s="63"/>
      <c r="D64" s="23"/>
      <c r="E64" s="63"/>
      <c r="F64" s="23"/>
      <c r="G64" s="171"/>
      <c r="H64" s="107"/>
      <c r="I64" s="107"/>
      <c r="J64" s="23"/>
      <c r="K64" s="116"/>
      <c r="L64" s="122"/>
      <c r="M64" s="117"/>
      <c r="N64" s="119"/>
      <c r="O64" s="12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J64" s="56"/>
    </row>
    <row r="65" spans="1:36" ht="13.5" customHeight="1">
      <c r="A65" s="146"/>
      <c r="B65" s="53" t="s">
        <v>120</v>
      </c>
      <c r="C65" s="107" t="s">
        <v>59</v>
      </c>
      <c r="D65" s="3"/>
      <c r="E65" s="63" t="s">
        <v>65</v>
      </c>
      <c r="F65" s="147">
        <v>1000000000000</v>
      </c>
      <c r="G65" s="172" t="s">
        <v>60</v>
      </c>
      <c r="H65" s="107"/>
      <c r="I65" s="107"/>
      <c r="J65" s="108" t="s">
        <v>83</v>
      </c>
      <c r="K65" s="108" t="s">
        <v>83</v>
      </c>
      <c r="L65" s="129"/>
      <c r="M65" s="130"/>
      <c r="N65" s="132"/>
      <c r="O65" s="13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J65" s="56"/>
    </row>
    <row r="66" spans="1:36" ht="13.5" customHeight="1">
      <c r="A66" s="146"/>
      <c r="B66" s="53" t="s">
        <v>120</v>
      </c>
      <c r="C66" s="107" t="s">
        <v>61</v>
      </c>
      <c r="D66" s="3"/>
      <c r="E66" s="63" t="s">
        <v>65</v>
      </c>
      <c r="F66" s="147">
        <v>1000000000000</v>
      </c>
      <c r="G66" s="171" t="s">
        <v>60</v>
      </c>
      <c r="H66" s="107"/>
      <c r="I66" s="107"/>
      <c r="J66" s="108" t="s">
        <v>83</v>
      </c>
      <c r="K66" s="10" t="s">
        <v>83</v>
      </c>
      <c r="L66" s="129"/>
      <c r="M66" s="130"/>
      <c r="N66" s="132"/>
      <c r="O66" s="13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J66" s="56"/>
    </row>
    <row r="67" spans="1:36" ht="13.5" customHeight="1">
      <c r="A67" s="146"/>
      <c r="B67" s="53" t="s">
        <v>120</v>
      </c>
      <c r="C67" s="107" t="s">
        <v>91</v>
      </c>
      <c r="D67" s="3"/>
      <c r="E67" s="63" t="s">
        <v>65</v>
      </c>
      <c r="F67" s="147">
        <v>1000000000000</v>
      </c>
      <c r="G67" s="171" t="s">
        <v>60</v>
      </c>
      <c r="H67" s="107"/>
      <c r="I67" s="107"/>
      <c r="J67" s="108" t="s">
        <v>83</v>
      </c>
      <c r="K67" s="10" t="s">
        <v>83</v>
      </c>
      <c r="L67" s="129"/>
      <c r="M67" s="130"/>
      <c r="N67" s="132"/>
      <c r="O67" s="13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J67" s="56"/>
    </row>
    <row r="68" spans="1:36" ht="13.5" customHeight="1">
      <c r="A68" s="146"/>
      <c r="B68" s="53" t="s">
        <v>120</v>
      </c>
      <c r="C68" s="107" t="s">
        <v>62</v>
      </c>
      <c r="D68" s="3"/>
      <c r="E68" s="63" t="s">
        <v>65</v>
      </c>
      <c r="F68" s="147">
        <v>1000000000000</v>
      </c>
      <c r="G68" s="173" t="s">
        <v>60</v>
      </c>
      <c r="H68" s="107"/>
      <c r="I68" s="107"/>
      <c r="J68" s="108" t="s">
        <v>83</v>
      </c>
      <c r="K68" s="10" t="s">
        <v>83</v>
      </c>
      <c r="L68" s="129"/>
      <c r="M68" s="130"/>
      <c r="N68" s="132"/>
      <c r="O68" s="13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J68" s="56"/>
    </row>
    <row r="69" spans="1:36" ht="13.5" customHeight="1">
      <c r="A69" s="146"/>
      <c r="B69" s="23"/>
      <c r="C69" s="107"/>
      <c r="D69" s="29"/>
      <c r="E69" s="109"/>
      <c r="F69" s="23" t="s">
        <v>119</v>
      </c>
      <c r="G69" s="171"/>
      <c r="H69" s="107"/>
      <c r="I69" s="107"/>
      <c r="J69" s="40"/>
      <c r="K69" s="40"/>
      <c r="L69" s="140"/>
      <c r="M69" s="120"/>
      <c r="N69" s="141"/>
      <c r="O69" s="12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J69" s="56"/>
    </row>
    <row r="70" spans="1:36" ht="13.5" customHeight="1">
      <c r="A70" s="146"/>
      <c r="B70" s="23"/>
      <c r="C70" s="107" t="s">
        <v>101</v>
      </c>
      <c r="D70" s="53"/>
      <c r="E70" s="107" t="s">
        <v>63</v>
      </c>
      <c r="F70" s="147">
        <f>10^12</f>
        <v>1000000000000</v>
      </c>
      <c r="G70" s="171" t="s">
        <v>60</v>
      </c>
      <c r="H70" s="107"/>
      <c r="I70" s="107"/>
      <c r="J70" s="108"/>
      <c r="K70" s="108"/>
      <c r="L70" s="129" t="s">
        <v>83</v>
      </c>
      <c r="M70" s="130" t="s">
        <v>83</v>
      </c>
      <c r="N70" s="132"/>
      <c r="O70" s="13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J70" s="56"/>
    </row>
    <row r="71" spans="1:36" ht="13.5" customHeight="1">
      <c r="A71" s="146"/>
      <c r="B71" s="23"/>
      <c r="C71" s="107" t="s">
        <v>102</v>
      </c>
      <c r="D71" s="53"/>
      <c r="E71" s="107" t="s">
        <v>63</v>
      </c>
      <c r="F71" s="147">
        <f>10^12</f>
        <v>1000000000000</v>
      </c>
      <c r="G71" s="171" t="s">
        <v>60</v>
      </c>
      <c r="H71" s="107"/>
      <c r="I71" s="107"/>
      <c r="J71" s="108" t="s">
        <v>83</v>
      </c>
      <c r="K71" s="10" t="s">
        <v>83</v>
      </c>
      <c r="L71" s="129"/>
      <c r="M71" s="130"/>
      <c r="N71" s="132"/>
      <c r="O71" s="13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J71" s="56"/>
    </row>
    <row r="72" spans="1:36" ht="13.5" customHeight="1">
      <c r="A72" s="146"/>
      <c r="B72" s="23"/>
      <c r="C72" s="107" t="s">
        <v>100</v>
      </c>
      <c r="D72" s="53"/>
      <c r="E72" s="107" t="s">
        <v>63</v>
      </c>
      <c r="F72" s="147">
        <v>500000</v>
      </c>
      <c r="G72" s="171" t="s">
        <v>60</v>
      </c>
      <c r="H72" s="107"/>
      <c r="I72" s="107"/>
      <c r="J72" s="108" t="s">
        <v>83</v>
      </c>
      <c r="K72" s="10" t="s">
        <v>83</v>
      </c>
      <c r="L72" s="129"/>
      <c r="M72" s="130"/>
      <c r="N72" s="132"/>
      <c r="O72" s="13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J72" s="56"/>
    </row>
    <row r="73" spans="1:36" ht="13.5" customHeight="1">
      <c r="A73" s="146"/>
      <c r="B73" s="23"/>
      <c r="C73" s="107" t="s">
        <v>103</v>
      </c>
      <c r="D73" s="53"/>
      <c r="E73" s="109" t="s">
        <v>63</v>
      </c>
      <c r="F73" s="147">
        <f>10^12</f>
        <v>1000000000000</v>
      </c>
      <c r="G73" s="171" t="s">
        <v>60</v>
      </c>
      <c r="H73" s="107"/>
      <c r="I73" s="107"/>
      <c r="J73" s="108" t="s">
        <v>83</v>
      </c>
      <c r="K73" s="10" t="s">
        <v>83</v>
      </c>
      <c r="L73" s="129"/>
      <c r="M73" s="130"/>
      <c r="N73" s="132"/>
      <c r="O73" s="13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J73" s="56"/>
    </row>
    <row r="74" spans="1:36" ht="13.5" customHeight="1">
      <c r="A74" s="146"/>
      <c r="B74" s="23"/>
      <c r="C74" s="107"/>
      <c r="D74" s="29"/>
      <c r="E74" s="63"/>
      <c r="F74" s="23"/>
      <c r="G74" s="171"/>
      <c r="H74" s="107"/>
      <c r="I74" s="107"/>
      <c r="J74" s="23"/>
      <c r="K74" s="40"/>
      <c r="L74" s="140"/>
      <c r="M74" s="120"/>
      <c r="N74" s="141"/>
      <c r="O74" s="127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J74" s="56"/>
    </row>
    <row r="75" spans="1:36" ht="13.5" customHeight="1">
      <c r="A75" s="146"/>
      <c r="B75" s="23"/>
      <c r="C75" s="107" t="s">
        <v>64</v>
      </c>
      <c r="D75" s="53"/>
      <c r="E75" s="63" t="s">
        <v>60</v>
      </c>
      <c r="F75" s="23"/>
      <c r="G75" s="171"/>
      <c r="H75" s="107"/>
      <c r="I75" s="107"/>
      <c r="J75" s="23" t="s">
        <v>89</v>
      </c>
      <c r="K75" s="23" t="s">
        <v>90</v>
      </c>
      <c r="L75" s="140"/>
      <c r="M75" s="120"/>
      <c r="N75" s="132" t="s">
        <v>83</v>
      </c>
      <c r="O75" s="131" t="s">
        <v>83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J75" s="56"/>
    </row>
    <row r="76" spans="1:36" ht="13.5" customHeight="1">
      <c r="A76" s="146"/>
      <c r="B76" s="23"/>
      <c r="C76" s="107" t="s">
        <v>66</v>
      </c>
      <c r="D76" s="53"/>
      <c r="E76" s="63" t="s">
        <v>60</v>
      </c>
      <c r="F76" s="23"/>
      <c r="G76" s="171"/>
      <c r="H76" s="107"/>
      <c r="I76" s="107"/>
      <c r="J76" s="23" t="s">
        <v>90</v>
      </c>
      <c r="K76" s="23" t="s">
        <v>89</v>
      </c>
      <c r="L76" s="140"/>
      <c r="M76" s="120"/>
      <c r="N76" s="132"/>
      <c r="O76" s="13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J76" s="56"/>
    </row>
    <row r="77" spans="1:36" ht="13.5" customHeight="1">
      <c r="A77" s="146"/>
      <c r="B77" s="23"/>
      <c r="C77" s="107"/>
      <c r="D77" s="29"/>
      <c r="E77" s="63"/>
      <c r="F77" s="23"/>
      <c r="G77" s="171"/>
      <c r="H77" s="107"/>
      <c r="I77" s="107"/>
      <c r="J77" s="23"/>
      <c r="K77" s="40"/>
      <c r="L77" s="140"/>
      <c r="M77" s="120"/>
      <c r="N77" s="141"/>
      <c r="O77" s="127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J77" s="56"/>
    </row>
    <row r="78" spans="1:36" ht="13.5" customHeight="1">
      <c r="A78" s="146"/>
      <c r="B78" s="53" t="s">
        <v>120</v>
      </c>
      <c r="C78" s="107" t="s">
        <v>64</v>
      </c>
      <c r="D78" s="53"/>
      <c r="E78" s="107" t="s">
        <v>65</v>
      </c>
      <c r="F78" s="147">
        <v>1000000000000</v>
      </c>
      <c r="G78" s="171" t="s">
        <v>60</v>
      </c>
      <c r="H78" s="107"/>
      <c r="I78" s="107"/>
      <c r="J78" s="23" t="s">
        <v>89</v>
      </c>
      <c r="K78" s="23" t="s">
        <v>90</v>
      </c>
      <c r="L78" s="140"/>
      <c r="M78" s="120"/>
      <c r="N78" s="132" t="s">
        <v>83</v>
      </c>
      <c r="O78" s="131" t="s">
        <v>83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J78" s="56"/>
    </row>
    <row r="79" spans="1:36" ht="13.5" customHeight="1">
      <c r="A79" s="146"/>
      <c r="B79" s="53" t="s">
        <v>120</v>
      </c>
      <c r="C79" s="107" t="s">
        <v>66</v>
      </c>
      <c r="D79" s="53"/>
      <c r="E79" s="107" t="s">
        <v>65</v>
      </c>
      <c r="F79" s="147">
        <v>25000</v>
      </c>
      <c r="G79" s="171" t="s">
        <v>60</v>
      </c>
      <c r="H79" s="107"/>
      <c r="I79" s="107"/>
      <c r="J79" s="23" t="s">
        <v>90</v>
      </c>
      <c r="K79" s="23" t="s">
        <v>89</v>
      </c>
      <c r="L79" s="140"/>
      <c r="M79" s="120"/>
      <c r="N79" s="132"/>
      <c r="O79" s="13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J79" s="56"/>
    </row>
    <row r="80" spans="1:36" ht="13.5" customHeight="1">
      <c r="A80" s="8"/>
      <c r="B80" s="106"/>
      <c r="C80" s="107"/>
      <c r="D80" s="23"/>
      <c r="E80" s="107"/>
      <c r="F80" s="23" t="s">
        <v>19</v>
      </c>
      <c r="G80" s="171"/>
      <c r="H80" s="23" t="s">
        <v>67</v>
      </c>
      <c r="I80" s="23"/>
      <c r="J80" s="23"/>
      <c r="K80" s="40"/>
      <c r="L80" s="140"/>
      <c r="M80" s="118"/>
      <c r="N80" s="141"/>
      <c r="O80" s="127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J80" s="56"/>
    </row>
    <row r="81" spans="1:36" ht="13.5" customHeight="1">
      <c r="A81" s="8"/>
      <c r="B81" s="106"/>
      <c r="C81" s="107" t="s">
        <v>68</v>
      </c>
      <c r="D81" s="53"/>
      <c r="E81" s="107" t="s">
        <v>69</v>
      </c>
      <c r="F81" s="53">
        <v>10</v>
      </c>
      <c r="G81" s="171" t="s">
        <v>70</v>
      </c>
      <c r="H81" s="53">
        <v>2</v>
      </c>
      <c r="I81" s="107" t="s">
        <v>65</v>
      </c>
      <c r="J81" s="23" t="s">
        <v>89</v>
      </c>
      <c r="K81" s="23" t="s">
        <v>90</v>
      </c>
      <c r="L81" s="140" t="s">
        <v>90</v>
      </c>
      <c r="M81" s="135" t="s">
        <v>110</v>
      </c>
      <c r="N81" s="141" t="s">
        <v>90</v>
      </c>
      <c r="O81" s="136" t="s">
        <v>110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J81" s="56"/>
    </row>
    <row r="82" spans="1:36" ht="13.5" customHeight="1">
      <c r="A82" s="8"/>
      <c r="B82" s="106"/>
      <c r="C82" s="107" t="s">
        <v>71</v>
      </c>
      <c r="D82" s="53"/>
      <c r="E82" s="107" t="s">
        <v>69</v>
      </c>
      <c r="F82" s="53">
        <v>10</v>
      </c>
      <c r="G82" s="171" t="s">
        <v>70</v>
      </c>
      <c r="H82" s="53">
        <v>2</v>
      </c>
      <c r="I82" s="107" t="s">
        <v>65</v>
      </c>
      <c r="J82" s="23" t="s">
        <v>90</v>
      </c>
      <c r="K82" s="23" t="s">
        <v>89</v>
      </c>
      <c r="L82" s="140" t="s">
        <v>90</v>
      </c>
      <c r="M82" s="135" t="s">
        <v>110</v>
      </c>
      <c r="N82" s="141" t="s">
        <v>90</v>
      </c>
      <c r="O82" s="136" t="s">
        <v>110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J82" s="56"/>
    </row>
    <row r="83" spans="1:36" ht="13.5" customHeight="1">
      <c r="A83" s="8"/>
      <c r="B83" s="106"/>
      <c r="C83" s="107"/>
      <c r="D83" s="23"/>
      <c r="E83" s="107"/>
      <c r="F83" s="23" t="s">
        <v>19</v>
      </c>
      <c r="G83" s="171"/>
      <c r="H83" s="23"/>
      <c r="I83" s="107"/>
      <c r="J83" s="23"/>
      <c r="K83" s="40"/>
      <c r="L83" s="140"/>
      <c r="M83" s="118"/>
      <c r="N83" s="141"/>
      <c r="O83" s="127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J83" s="56"/>
    </row>
    <row r="84" spans="1:36" ht="13.5" customHeight="1">
      <c r="A84" s="8"/>
      <c r="B84" s="106"/>
      <c r="C84" s="107" t="s">
        <v>72</v>
      </c>
      <c r="D84" s="53"/>
      <c r="E84" s="107" t="s">
        <v>69</v>
      </c>
      <c r="F84" s="53">
        <v>10</v>
      </c>
      <c r="G84" s="171" t="s">
        <v>70</v>
      </c>
      <c r="H84" s="53">
        <v>2</v>
      </c>
      <c r="I84" s="107" t="s">
        <v>65</v>
      </c>
      <c r="J84" s="108" t="s">
        <v>83</v>
      </c>
      <c r="K84" s="10" t="s">
        <v>83</v>
      </c>
      <c r="L84" s="140" t="s">
        <v>90</v>
      </c>
      <c r="M84" s="135" t="s">
        <v>110</v>
      </c>
      <c r="N84" s="141" t="s">
        <v>90</v>
      </c>
      <c r="O84" s="136" t="s">
        <v>110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J84" s="56"/>
    </row>
    <row r="85" spans="1:36" ht="13.5" customHeight="1">
      <c r="A85" s="8"/>
      <c r="B85" s="106"/>
      <c r="C85" s="107" t="s">
        <v>73</v>
      </c>
      <c r="D85" s="53"/>
      <c r="E85" s="107" t="s">
        <v>69</v>
      </c>
      <c r="F85" s="53">
        <v>10</v>
      </c>
      <c r="G85" s="171" t="s">
        <v>70</v>
      </c>
      <c r="H85" s="53">
        <v>2</v>
      </c>
      <c r="I85" s="107" t="s">
        <v>65</v>
      </c>
      <c r="J85" s="108" t="s">
        <v>83</v>
      </c>
      <c r="K85" s="10" t="s">
        <v>83</v>
      </c>
      <c r="L85" s="140" t="s">
        <v>90</v>
      </c>
      <c r="M85" s="135" t="s">
        <v>110</v>
      </c>
      <c r="N85" s="141" t="s">
        <v>90</v>
      </c>
      <c r="O85" s="136" t="s">
        <v>110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J85" s="56"/>
    </row>
    <row r="86" spans="1:36" ht="13.5" customHeight="1">
      <c r="A86" s="8"/>
      <c r="B86" s="106"/>
      <c r="C86" s="107" t="s">
        <v>92</v>
      </c>
      <c r="D86" s="53"/>
      <c r="E86" s="107" t="s">
        <v>69</v>
      </c>
      <c r="F86" s="53">
        <v>10</v>
      </c>
      <c r="G86" s="171" t="s">
        <v>70</v>
      </c>
      <c r="H86" s="53">
        <v>2</v>
      </c>
      <c r="I86" s="107" t="s">
        <v>65</v>
      </c>
      <c r="J86" s="108" t="s">
        <v>83</v>
      </c>
      <c r="K86" s="10" t="s">
        <v>83</v>
      </c>
      <c r="L86" s="140" t="s">
        <v>90</v>
      </c>
      <c r="M86" s="135" t="s">
        <v>110</v>
      </c>
      <c r="N86" s="141" t="s">
        <v>90</v>
      </c>
      <c r="O86" s="136" t="s">
        <v>110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J86" s="56"/>
    </row>
    <row r="87" spans="1:36" ht="13.5" customHeight="1" thickBot="1">
      <c r="A87" s="8"/>
      <c r="B87" s="110"/>
      <c r="C87" s="111" t="s">
        <v>74</v>
      </c>
      <c r="D87" s="38"/>
      <c r="E87" s="112" t="s">
        <v>69</v>
      </c>
      <c r="F87" s="38">
        <v>10</v>
      </c>
      <c r="G87" s="174" t="s">
        <v>70</v>
      </c>
      <c r="H87" s="38">
        <v>2</v>
      </c>
      <c r="I87" s="111" t="s">
        <v>65</v>
      </c>
      <c r="J87" s="113" t="s">
        <v>83</v>
      </c>
      <c r="K87" s="139" t="s">
        <v>83</v>
      </c>
      <c r="L87" s="134" t="s">
        <v>90</v>
      </c>
      <c r="M87" s="137" t="s">
        <v>110</v>
      </c>
      <c r="N87" s="133" t="s">
        <v>90</v>
      </c>
      <c r="O87" s="138" t="s">
        <v>110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J87" s="56"/>
    </row>
    <row r="88" spans="1:36" ht="13.5" customHeight="1">
      <c r="A88" s="8"/>
      <c r="D88" s="3"/>
      <c r="E88" s="3"/>
      <c r="F88" s="3"/>
      <c r="G88" s="170"/>
      <c r="H88" s="60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J88" s="56"/>
    </row>
    <row r="89" spans="1:36" ht="12.75" hidden="1">
      <c r="A89" s="3"/>
      <c r="B89" s="83" t="s">
        <v>0</v>
      </c>
      <c r="C89" s="81">
        <v>0</v>
      </c>
      <c r="D89" s="81">
        <v>1</v>
      </c>
      <c r="E89" s="81">
        <v>2</v>
      </c>
      <c r="F89" s="81">
        <v>3</v>
      </c>
      <c r="G89" s="175">
        <v>4</v>
      </c>
      <c r="H89" s="81">
        <v>5</v>
      </c>
      <c r="I89" s="81">
        <v>6</v>
      </c>
      <c r="J89" s="81">
        <v>7</v>
      </c>
      <c r="K89" s="81">
        <v>8</v>
      </c>
      <c r="L89" s="81">
        <v>9</v>
      </c>
      <c r="M89" s="81">
        <v>10</v>
      </c>
      <c r="N89" s="81">
        <v>11</v>
      </c>
      <c r="O89" s="81">
        <v>12</v>
      </c>
      <c r="P89" s="81">
        <v>13</v>
      </c>
      <c r="Q89" s="81">
        <v>14</v>
      </c>
      <c r="R89" s="81">
        <v>15</v>
      </c>
      <c r="S89" s="81">
        <v>16</v>
      </c>
      <c r="T89" s="81">
        <v>17</v>
      </c>
      <c r="U89" s="81">
        <v>18</v>
      </c>
      <c r="V89" s="81">
        <v>19</v>
      </c>
      <c r="W89" s="81">
        <v>20</v>
      </c>
      <c r="X89" s="81">
        <v>21</v>
      </c>
      <c r="Y89" s="81">
        <v>22</v>
      </c>
      <c r="Z89" s="81">
        <v>23</v>
      </c>
      <c r="AA89" s="81">
        <v>24</v>
      </c>
      <c r="AB89" s="81">
        <v>25</v>
      </c>
      <c r="AC89" s="81">
        <v>26</v>
      </c>
      <c r="AD89" s="81">
        <v>27</v>
      </c>
      <c r="AE89" s="81">
        <v>28</v>
      </c>
      <c r="AF89" s="81">
        <v>29</v>
      </c>
      <c r="AG89" s="82">
        <v>30</v>
      </c>
      <c r="AJ89" s="56"/>
    </row>
    <row r="90" spans="1:36" ht="12.75" hidden="1">
      <c r="A90" s="3"/>
      <c r="B90" s="74" t="s">
        <v>26</v>
      </c>
      <c r="C90" s="75"/>
      <c r="D90" s="75"/>
      <c r="E90" s="75"/>
      <c r="F90" s="75"/>
      <c r="G90" s="176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6"/>
      <c r="AJ90" s="56"/>
    </row>
    <row r="91" spans="1:36" ht="12.75" hidden="1">
      <c r="A91" s="3"/>
      <c r="B91" s="70"/>
      <c r="C91" s="79"/>
      <c r="D91" s="79">
        <f>uFirstYearAnnualOutput</f>
        <v>8760000</v>
      </c>
      <c r="E91" s="79">
        <f aca="true" t="shared" si="0" ref="E91:AG91">uFirstYearAnnualOutput*(1-uDegradation)^D89</f>
        <v>8672400</v>
      </c>
      <c r="F91" s="79">
        <f t="shared" si="0"/>
        <v>8585676</v>
      </c>
      <c r="G91" s="90">
        <f t="shared" si="0"/>
        <v>8499819.239999998</v>
      </c>
      <c r="H91" s="79">
        <f t="shared" si="0"/>
        <v>8414821.0476</v>
      </c>
      <c r="I91" s="79">
        <f t="shared" si="0"/>
        <v>8330672.837123999</v>
      </c>
      <c r="J91" s="79">
        <f t="shared" si="0"/>
        <v>8247366.108752759</v>
      </c>
      <c r="K91" s="79">
        <f t="shared" si="0"/>
        <v>8164892.447665231</v>
      </c>
      <c r="L91" s="79">
        <f t="shared" si="0"/>
        <v>8083243.523188579</v>
      </c>
      <c r="M91" s="79">
        <f t="shared" si="0"/>
        <v>8002411.087956693</v>
      </c>
      <c r="N91" s="79">
        <f t="shared" si="0"/>
        <v>7922386.977077126</v>
      </c>
      <c r="O91" s="79">
        <f>uFirstYearAnnualOutput*(1-uDegradation)^N89</f>
        <v>7843163.107306355</v>
      </c>
      <c r="P91" s="79">
        <f t="shared" si="0"/>
        <v>7764731.476233291</v>
      </c>
      <c r="Q91" s="79">
        <f t="shared" si="0"/>
        <v>7687084.161470957</v>
      </c>
      <c r="R91" s="79">
        <f t="shared" si="0"/>
        <v>7610213.319856248</v>
      </c>
      <c r="S91" s="79">
        <f t="shared" si="0"/>
        <v>7534111.186657686</v>
      </c>
      <c r="T91" s="79">
        <f t="shared" si="0"/>
        <v>7458770.074791108</v>
      </c>
      <c r="U91" s="79">
        <f t="shared" si="0"/>
        <v>7384182.374043197</v>
      </c>
      <c r="V91" s="79">
        <f t="shared" si="0"/>
        <v>7310340.550302765</v>
      </c>
      <c r="W91" s="79">
        <f t="shared" si="0"/>
        <v>7237237.144799737</v>
      </c>
      <c r="X91" s="79">
        <f t="shared" si="0"/>
        <v>7164864.77335174</v>
      </c>
      <c r="Y91" s="79">
        <f t="shared" si="0"/>
        <v>7093216.125618223</v>
      </c>
      <c r="Z91" s="79">
        <f t="shared" si="0"/>
        <v>7022283.96436204</v>
      </c>
      <c r="AA91" s="79">
        <f t="shared" si="0"/>
        <v>6952061.12471842</v>
      </c>
      <c r="AB91" s="79">
        <f t="shared" si="0"/>
        <v>6882540.5134712355</v>
      </c>
      <c r="AC91" s="79">
        <f t="shared" si="0"/>
        <v>6813715.108336523</v>
      </c>
      <c r="AD91" s="79">
        <f t="shared" si="0"/>
        <v>6745577.957253158</v>
      </c>
      <c r="AE91" s="79">
        <f t="shared" si="0"/>
        <v>6678122.1776806265</v>
      </c>
      <c r="AF91" s="79">
        <f t="shared" si="0"/>
        <v>6611340.95590382</v>
      </c>
      <c r="AG91" s="96">
        <f t="shared" si="0"/>
        <v>6545227.54634478</v>
      </c>
      <c r="AJ91" s="56"/>
    </row>
    <row r="92" spans="1:36" ht="12.75" hidden="1">
      <c r="A92" s="8"/>
      <c r="B92" s="74" t="s">
        <v>13</v>
      </c>
      <c r="C92" s="102"/>
      <c r="D92" s="102"/>
      <c r="E92" s="102"/>
      <c r="F92" s="102"/>
      <c r="G92" s="177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3"/>
      <c r="AJ92" s="56"/>
    </row>
    <row r="93" spans="1:36" ht="12.75" hidden="1">
      <c r="A93" s="3"/>
      <c r="B93" s="70"/>
      <c r="C93" s="97">
        <f>uTotalAdjustedInstalledCosts-uLoanAmount</f>
        <v>658900</v>
      </c>
      <c r="D93" s="97"/>
      <c r="E93" s="98"/>
      <c r="F93" s="98"/>
      <c r="G93" s="90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9"/>
      <c r="AJ93" s="56"/>
    </row>
    <row r="94" spans="1:36" ht="12.75" hidden="1">
      <c r="A94" s="3"/>
      <c r="B94" s="74" t="s">
        <v>5</v>
      </c>
      <c r="C94" s="102"/>
      <c r="D94" s="102"/>
      <c r="E94" s="102"/>
      <c r="F94" s="102"/>
      <c r="G94" s="177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/>
      <c r="AJ94" s="56"/>
    </row>
    <row r="95" spans="1:36" ht="12.75" hidden="1">
      <c r="A95" s="3"/>
      <c r="B95" s="70" t="s">
        <v>125</v>
      </c>
      <c r="C95" s="79"/>
      <c r="D95" s="71">
        <f aca="true" t="shared" si="1" ref="D95:AG95">uFixedOandM*(1+uInflationRate+uFixedOandMEsc)^C89*uArraySize</f>
        <v>150000</v>
      </c>
      <c r="E95" s="71">
        <f t="shared" si="1"/>
        <v>155250</v>
      </c>
      <c r="F95" s="71">
        <f t="shared" si="1"/>
        <v>160683.74999999997</v>
      </c>
      <c r="G95" s="178">
        <f t="shared" si="1"/>
        <v>166307.68124999997</v>
      </c>
      <c r="H95" s="71">
        <f t="shared" si="1"/>
        <v>172128.45009374997</v>
      </c>
      <c r="I95" s="71">
        <f t="shared" si="1"/>
        <v>178152.94584703117</v>
      </c>
      <c r="J95" s="71">
        <f t="shared" si="1"/>
        <v>184388.29895167728</v>
      </c>
      <c r="K95" s="71">
        <f t="shared" si="1"/>
        <v>190841.88941498596</v>
      </c>
      <c r="L95" s="71">
        <f t="shared" si="1"/>
        <v>197521.35554451044</v>
      </c>
      <c r="M95" s="71">
        <f t="shared" si="1"/>
        <v>204434.60298856825</v>
      </c>
      <c r="N95" s="71">
        <f t="shared" si="1"/>
        <v>211589.81409316816</v>
      </c>
      <c r="O95" s="71">
        <f t="shared" si="1"/>
        <v>218995.45758642905</v>
      </c>
      <c r="P95" s="71">
        <f t="shared" si="1"/>
        <v>226660.29860195404</v>
      </c>
      <c r="Q95" s="71">
        <f t="shared" si="1"/>
        <v>234593.4090530224</v>
      </c>
      <c r="R95" s="71">
        <f t="shared" si="1"/>
        <v>242804.1783698782</v>
      </c>
      <c r="S95" s="71">
        <f t="shared" si="1"/>
        <v>251302.3246128239</v>
      </c>
      <c r="T95" s="71">
        <f t="shared" si="1"/>
        <v>260097.9059742727</v>
      </c>
      <c r="U95" s="71">
        <f t="shared" si="1"/>
        <v>269201.33268337225</v>
      </c>
      <c r="V95" s="71">
        <f t="shared" si="1"/>
        <v>278623.37932729017</v>
      </c>
      <c r="W95" s="71">
        <f t="shared" si="1"/>
        <v>288375.1976037453</v>
      </c>
      <c r="X95" s="71">
        <f t="shared" si="1"/>
        <v>298468.3295198764</v>
      </c>
      <c r="Y95" s="71">
        <f t="shared" si="1"/>
        <v>308914.721053072</v>
      </c>
      <c r="Z95" s="71">
        <f t="shared" si="1"/>
        <v>319726.73628992954</v>
      </c>
      <c r="AA95" s="71">
        <f t="shared" si="1"/>
        <v>330917.1720600771</v>
      </c>
      <c r="AB95" s="71">
        <f t="shared" si="1"/>
        <v>342499.27308217966</v>
      </c>
      <c r="AC95" s="71">
        <f t="shared" si="1"/>
        <v>354486.74764005595</v>
      </c>
      <c r="AD95" s="71">
        <f t="shared" si="1"/>
        <v>366893.7838074579</v>
      </c>
      <c r="AE95" s="71">
        <f t="shared" si="1"/>
        <v>379735.06624071894</v>
      </c>
      <c r="AF95" s="71">
        <f t="shared" si="1"/>
        <v>393025.79355914413</v>
      </c>
      <c r="AG95" s="72">
        <f t="shared" si="1"/>
        <v>406781.69633371406</v>
      </c>
      <c r="AJ95" s="56"/>
    </row>
    <row r="96" spans="1:36" ht="12.75" hidden="1">
      <c r="A96" s="3"/>
      <c r="B96" s="70" t="s">
        <v>126</v>
      </c>
      <c r="C96" s="79"/>
      <c r="D96" s="71">
        <f>uVariableOandM*D91*(1+uInflationRate+uVariableOandMEsc)^C89</f>
        <v>876000</v>
      </c>
      <c r="E96" s="71">
        <f aca="true" t="shared" si="2" ref="E96:AG96">uVariableOandM*E91*(1+uInflationRate+uVariableOandMEsc)^D89</f>
        <v>906265.7999999999</v>
      </c>
      <c r="F96" s="71">
        <f t="shared" si="2"/>
        <v>937577.2833899999</v>
      </c>
      <c r="G96" s="178">
        <f t="shared" si="2"/>
        <v>969970.5785311242</v>
      </c>
      <c r="H96" s="71">
        <f t="shared" si="2"/>
        <v>1003483.0620193745</v>
      </c>
      <c r="I96" s="71">
        <f t="shared" si="2"/>
        <v>1038153.4018121439</v>
      </c>
      <c r="J96" s="71">
        <f t="shared" si="2"/>
        <v>1074021.601844753</v>
      </c>
      <c r="K96" s="71">
        <f t="shared" si="2"/>
        <v>1111129.0481884892</v>
      </c>
      <c r="L96" s="71">
        <f t="shared" si="2"/>
        <v>1149518.5568034013</v>
      </c>
      <c r="M96" s="71">
        <f t="shared" si="2"/>
        <v>1189234.4229409588</v>
      </c>
      <c r="N96" s="71">
        <f t="shared" si="2"/>
        <v>1230322.4722535685</v>
      </c>
      <c r="O96" s="71">
        <f t="shared" si="2"/>
        <v>1272830.1136699293</v>
      </c>
      <c r="P96" s="71">
        <f t="shared" si="2"/>
        <v>1316806.3940972253</v>
      </c>
      <c r="Q96" s="71">
        <f t="shared" si="2"/>
        <v>1362302.055013284</v>
      </c>
      <c r="R96" s="71">
        <f t="shared" si="2"/>
        <v>1409369.591013993</v>
      </c>
      <c r="S96" s="71">
        <f t="shared" si="2"/>
        <v>1458063.3103835266</v>
      </c>
      <c r="T96" s="71">
        <f t="shared" si="2"/>
        <v>1508439.3977572764</v>
      </c>
      <c r="U96" s="71">
        <f t="shared" si="2"/>
        <v>1560555.9789497906</v>
      </c>
      <c r="V96" s="71">
        <f t="shared" si="2"/>
        <v>1614473.1880225053</v>
      </c>
      <c r="W96" s="71">
        <f t="shared" si="2"/>
        <v>1670253.236668683</v>
      </c>
      <c r="X96" s="71">
        <f t="shared" si="2"/>
        <v>1727960.4859955856</v>
      </c>
      <c r="Y96" s="71">
        <f t="shared" si="2"/>
        <v>1787661.5207867334</v>
      </c>
      <c r="Z96" s="71">
        <f t="shared" si="2"/>
        <v>1849425.226329914</v>
      </c>
      <c r="AA96" s="71">
        <f t="shared" si="2"/>
        <v>1913322.8678996128</v>
      </c>
      <c r="AB96" s="71">
        <f t="shared" si="2"/>
        <v>1979428.1729855437</v>
      </c>
      <c r="AC96" s="71">
        <f t="shared" si="2"/>
        <v>2047817.416362194</v>
      </c>
      <c r="AD96" s="71">
        <f t="shared" si="2"/>
        <v>2118569.5080975075</v>
      </c>
      <c r="AE96" s="71">
        <f t="shared" si="2"/>
        <v>2191766.084602277</v>
      </c>
      <c r="AF96" s="71">
        <f t="shared" si="2"/>
        <v>2267491.6028252845</v>
      </c>
      <c r="AG96" s="72">
        <f t="shared" si="2"/>
        <v>2345833.437702898</v>
      </c>
      <c r="AJ96" s="56"/>
    </row>
    <row r="97" spans="1:36" ht="12.75" hidden="1">
      <c r="A97" s="3"/>
      <c r="B97" s="70" t="s">
        <v>3</v>
      </c>
      <c r="C97" s="79"/>
      <c r="D97" s="97">
        <f aca="true" t="shared" si="3" ref="D97:AG97">uTotalInstalledCosts*uPropertyTax*(1+uInflationRate)^C89</f>
        <v>39534</v>
      </c>
      <c r="E97" s="97">
        <f t="shared" si="3"/>
        <v>40522.35</v>
      </c>
      <c r="F97" s="97">
        <f t="shared" si="3"/>
        <v>41535.408749999995</v>
      </c>
      <c r="G97" s="179">
        <f t="shared" si="3"/>
        <v>42573.79396875</v>
      </c>
      <c r="H97" s="97">
        <f t="shared" si="3"/>
        <v>43638.13881796874</v>
      </c>
      <c r="I97" s="97">
        <f t="shared" si="3"/>
        <v>44729.09228841795</v>
      </c>
      <c r="J97" s="97">
        <f t="shared" si="3"/>
        <v>45847.3195956284</v>
      </c>
      <c r="K97" s="97">
        <f t="shared" si="3"/>
        <v>46993.50258551911</v>
      </c>
      <c r="L97" s="97">
        <f t="shared" si="3"/>
        <v>48168.340150157084</v>
      </c>
      <c r="M97" s="97">
        <f t="shared" si="3"/>
        <v>49372.548653911006</v>
      </c>
      <c r="N97" s="97">
        <f t="shared" si="3"/>
        <v>50606.86237025878</v>
      </c>
      <c r="O97" s="97">
        <f>uTotalInstalledCosts*uPropertyTax*(1+uInflationRate)^N89</f>
        <v>51872.03392951525</v>
      </c>
      <c r="P97" s="97">
        <f t="shared" si="3"/>
        <v>53168.83477775312</v>
      </c>
      <c r="Q97" s="97">
        <f t="shared" si="3"/>
        <v>54498.055647196954</v>
      </c>
      <c r="R97" s="97">
        <f t="shared" si="3"/>
        <v>55860.50703837687</v>
      </c>
      <c r="S97" s="97">
        <f t="shared" si="3"/>
        <v>57257.019714336304</v>
      </c>
      <c r="T97" s="97">
        <f t="shared" si="3"/>
        <v>58688.4452071947</v>
      </c>
      <c r="U97" s="97">
        <f t="shared" si="3"/>
        <v>60155.65633737456</v>
      </c>
      <c r="V97" s="97">
        <f t="shared" si="3"/>
        <v>61659.54774580893</v>
      </c>
      <c r="W97" s="97">
        <f t="shared" si="3"/>
        <v>63201.036439454154</v>
      </c>
      <c r="X97" s="97">
        <f t="shared" si="3"/>
        <v>64781.0623504405</v>
      </c>
      <c r="Y97" s="97">
        <f t="shared" si="3"/>
        <v>66400.5889092015</v>
      </c>
      <c r="Z97" s="97">
        <f t="shared" si="3"/>
        <v>68060.60363193153</v>
      </c>
      <c r="AA97" s="97">
        <f t="shared" si="3"/>
        <v>69762.11872272984</v>
      </c>
      <c r="AB97" s="97">
        <f t="shared" si="3"/>
        <v>71506.17169079807</v>
      </c>
      <c r="AC97" s="97">
        <f t="shared" si="3"/>
        <v>73293.825983068</v>
      </c>
      <c r="AD97" s="97">
        <f t="shared" si="3"/>
        <v>75126.1716326447</v>
      </c>
      <c r="AE97" s="97">
        <f t="shared" si="3"/>
        <v>77004.32592346083</v>
      </c>
      <c r="AF97" s="97">
        <f t="shared" si="3"/>
        <v>78929.43407154734</v>
      </c>
      <c r="AG97" s="104">
        <f t="shared" si="3"/>
        <v>80902.66992333603</v>
      </c>
      <c r="AJ97" s="56"/>
    </row>
    <row r="98" spans="1:36" ht="12.75" hidden="1">
      <c r="A98" s="3"/>
      <c r="B98" s="70" t="s">
        <v>4</v>
      </c>
      <c r="C98" s="79"/>
      <c r="D98" s="97">
        <f aca="true" t="shared" si="4" ref="D98:AG98">uTotalInstalledCosts*uInsurance*(1+uInflationRate)^C89</f>
        <v>26356</v>
      </c>
      <c r="E98" s="97">
        <f t="shared" si="4"/>
        <v>27014.899999999998</v>
      </c>
      <c r="F98" s="97">
        <f t="shared" si="4"/>
        <v>27690.2725</v>
      </c>
      <c r="G98" s="179">
        <f t="shared" si="4"/>
        <v>28382.529312499995</v>
      </c>
      <c r="H98" s="97">
        <f t="shared" si="4"/>
        <v>29092.092545312495</v>
      </c>
      <c r="I98" s="97">
        <f t="shared" si="4"/>
        <v>29819.394858945303</v>
      </c>
      <c r="J98" s="97">
        <f t="shared" si="4"/>
        <v>30564.879730418932</v>
      </c>
      <c r="K98" s="97">
        <f t="shared" si="4"/>
        <v>31329.00172367941</v>
      </c>
      <c r="L98" s="97">
        <f t="shared" si="4"/>
        <v>32112.22676677139</v>
      </c>
      <c r="M98" s="97">
        <f t="shared" si="4"/>
        <v>32915.03243594067</v>
      </c>
      <c r="N98" s="97">
        <f t="shared" si="4"/>
        <v>33737.908246839186</v>
      </c>
      <c r="O98" s="97">
        <f t="shared" si="4"/>
        <v>34581.35595301016</v>
      </c>
      <c r="P98" s="97">
        <f t="shared" si="4"/>
        <v>35445.88985183542</v>
      </c>
      <c r="Q98" s="97">
        <f t="shared" si="4"/>
        <v>36332.0370981313</v>
      </c>
      <c r="R98" s="97">
        <f t="shared" si="4"/>
        <v>37240.33802558458</v>
      </c>
      <c r="S98" s="97">
        <f t="shared" si="4"/>
        <v>38171.3464762242</v>
      </c>
      <c r="T98" s="97">
        <f t="shared" si="4"/>
        <v>39125.6301381298</v>
      </c>
      <c r="U98" s="97">
        <f t="shared" si="4"/>
        <v>40103.770891583044</v>
      </c>
      <c r="V98" s="97">
        <f t="shared" si="4"/>
        <v>41106.36516387262</v>
      </c>
      <c r="W98" s="97">
        <f t="shared" si="4"/>
        <v>42134.024292969436</v>
      </c>
      <c r="X98" s="97">
        <f t="shared" si="4"/>
        <v>43187.37490029367</v>
      </c>
      <c r="Y98" s="97">
        <f t="shared" si="4"/>
        <v>44267.059272801</v>
      </c>
      <c r="Z98" s="97">
        <f t="shared" si="4"/>
        <v>45373.735754621026</v>
      </c>
      <c r="AA98" s="97">
        <f t="shared" si="4"/>
        <v>46508.079148486555</v>
      </c>
      <c r="AB98" s="97">
        <f t="shared" si="4"/>
        <v>47670.781127198716</v>
      </c>
      <c r="AC98" s="97">
        <f t="shared" si="4"/>
        <v>48862.550655378676</v>
      </c>
      <c r="AD98" s="97">
        <f t="shared" si="4"/>
        <v>50084.11442176314</v>
      </c>
      <c r="AE98" s="97">
        <f t="shared" si="4"/>
        <v>51336.21728230721</v>
      </c>
      <c r="AF98" s="97">
        <f t="shared" si="4"/>
        <v>52619.62271436489</v>
      </c>
      <c r="AG98" s="104">
        <f t="shared" si="4"/>
        <v>53935.11328222402</v>
      </c>
      <c r="AJ98" s="56"/>
    </row>
    <row r="99" spans="1:36" ht="12.75" hidden="1">
      <c r="A99" s="3"/>
      <c r="B99" s="73" t="s">
        <v>27</v>
      </c>
      <c r="C99" s="79"/>
      <c r="D99" s="97">
        <f>SUM(D95:D98)</f>
        <v>1091890</v>
      </c>
      <c r="E99" s="98">
        <f>SUM(E95:E98)</f>
        <v>1129053.0499999998</v>
      </c>
      <c r="F99" s="98">
        <f>SUM(F95:F98)</f>
        <v>1167486.7146399997</v>
      </c>
      <c r="G99" s="90">
        <f aca="true" t="shared" si="5" ref="G99:AG99">SUM(G95:G98)</f>
        <v>1207234.583062374</v>
      </c>
      <c r="H99" s="98">
        <f t="shared" si="5"/>
        <v>1248341.7434764057</v>
      </c>
      <c r="I99" s="98">
        <f t="shared" si="5"/>
        <v>1290854.8348065384</v>
      </c>
      <c r="J99" s="98">
        <f t="shared" si="5"/>
        <v>1334822.1001224776</v>
      </c>
      <c r="K99" s="98">
        <f t="shared" si="5"/>
        <v>1380293.4419126736</v>
      </c>
      <c r="L99" s="98">
        <f t="shared" si="5"/>
        <v>1427320.4792648403</v>
      </c>
      <c r="M99" s="98">
        <f t="shared" si="5"/>
        <v>1475956.6070193786</v>
      </c>
      <c r="N99" s="98">
        <f t="shared" si="5"/>
        <v>1526257.0569638347</v>
      </c>
      <c r="O99" s="98">
        <f t="shared" si="5"/>
        <v>1578278.9611388838</v>
      </c>
      <c r="P99" s="98">
        <f t="shared" si="5"/>
        <v>1632081.4173287677</v>
      </c>
      <c r="Q99" s="98">
        <f t="shared" si="5"/>
        <v>1687725.556811635</v>
      </c>
      <c r="R99" s="98">
        <f t="shared" si="5"/>
        <v>1745274.6144478323</v>
      </c>
      <c r="S99" s="98">
        <f t="shared" si="5"/>
        <v>1804794.001186911</v>
      </c>
      <c r="T99" s="98">
        <f t="shared" si="5"/>
        <v>1866351.3790768734</v>
      </c>
      <c r="U99" s="98">
        <f t="shared" si="5"/>
        <v>1930016.7388621205</v>
      </c>
      <c r="V99" s="98">
        <f t="shared" si="5"/>
        <v>1995862.4802594772</v>
      </c>
      <c r="W99" s="98">
        <f t="shared" si="5"/>
        <v>2063963.4950048518</v>
      </c>
      <c r="X99" s="98">
        <f t="shared" si="5"/>
        <v>2134397.252766196</v>
      </c>
      <c r="Y99" s="98">
        <f t="shared" si="5"/>
        <v>2207243.890021808</v>
      </c>
      <c r="Z99" s="98">
        <f t="shared" si="5"/>
        <v>2282586.302006396</v>
      </c>
      <c r="AA99" s="98">
        <f t="shared" si="5"/>
        <v>2360510.237830906</v>
      </c>
      <c r="AB99" s="98">
        <f t="shared" si="5"/>
        <v>2441104.39888572</v>
      </c>
      <c r="AC99" s="98">
        <f t="shared" si="5"/>
        <v>2524460.5406406964</v>
      </c>
      <c r="AD99" s="98">
        <f t="shared" si="5"/>
        <v>2610673.577959373</v>
      </c>
      <c r="AE99" s="98">
        <f t="shared" si="5"/>
        <v>2699841.694048764</v>
      </c>
      <c r="AF99" s="98">
        <f t="shared" si="5"/>
        <v>2792066.453170341</v>
      </c>
      <c r="AG99" s="99">
        <f t="shared" si="5"/>
        <v>2887452.917242172</v>
      </c>
      <c r="AJ99" s="56"/>
    </row>
    <row r="100" spans="1:36" ht="12.75" hidden="1">
      <c r="A100" s="3"/>
      <c r="B100" s="74" t="s">
        <v>10</v>
      </c>
      <c r="C100" s="102"/>
      <c r="D100" s="102"/>
      <c r="E100" s="102"/>
      <c r="F100" s="102"/>
      <c r="G100" s="177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3"/>
      <c r="AJ100" s="56"/>
    </row>
    <row r="101" spans="1:36" ht="12.75" hidden="1">
      <c r="A101" s="1"/>
      <c r="B101" s="70" t="s">
        <v>24</v>
      </c>
      <c r="C101" s="79"/>
      <c r="D101" s="98">
        <f>-uLoanAmount</f>
        <v>-658900</v>
      </c>
      <c r="E101" s="98">
        <f>D101+D102</f>
        <v>-630591.8348298445</v>
      </c>
      <c r="F101" s="98">
        <f aca="true" t="shared" si="6" ref="F101:AG101">E101+E102</f>
        <v>-600585.1797494798</v>
      </c>
      <c r="G101" s="90">
        <f t="shared" si="6"/>
        <v>-568778.125364293</v>
      </c>
      <c r="H101" s="98">
        <f t="shared" si="6"/>
        <v>-535062.6477159951</v>
      </c>
      <c r="I101" s="98">
        <f t="shared" si="6"/>
        <v>-499324.2414087993</v>
      </c>
      <c r="J101" s="98">
        <f t="shared" si="6"/>
        <v>-461441.5307231718</v>
      </c>
      <c r="K101" s="98">
        <f t="shared" si="6"/>
        <v>-421285.8573964066</v>
      </c>
      <c r="L101" s="98">
        <f t="shared" si="6"/>
        <v>-378720.8436700355</v>
      </c>
      <c r="M101" s="98">
        <f t="shared" si="6"/>
        <v>-333601.9291200821</v>
      </c>
      <c r="N101" s="98">
        <f t="shared" si="6"/>
        <v>-285775.8796971316</v>
      </c>
      <c r="O101" s="98">
        <f>N101+N102</f>
        <v>-235080.26730880397</v>
      </c>
      <c r="P101" s="98">
        <f t="shared" si="6"/>
        <v>-181342.91817717673</v>
      </c>
      <c r="Q101" s="98">
        <f t="shared" si="6"/>
        <v>-124381.32809765184</v>
      </c>
      <c r="R101" s="98">
        <f t="shared" si="6"/>
        <v>-64002.04261335546</v>
      </c>
      <c r="S101" s="98">
        <f t="shared" si="6"/>
        <v>-1.2878444977104664E-09</v>
      </c>
      <c r="T101" s="98">
        <f t="shared" si="6"/>
        <v>-2.5756889954209328E-09</v>
      </c>
      <c r="U101" s="98">
        <f t="shared" si="6"/>
        <v>-5.1513779908418655E-09</v>
      </c>
      <c r="V101" s="98">
        <f t="shared" si="6"/>
        <v>-1.0302755981683731E-08</v>
      </c>
      <c r="W101" s="98">
        <f t="shared" si="6"/>
        <v>-2.0605511963367462E-08</v>
      </c>
      <c r="X101" s="98">
        <f t="shared" si="6"/>
        <v>-4.1211023926734924E-08</v>
      </c>
      <c r="Y101" s="98">
        <f t="shared" si="6"/>
        <v>-8.242204785346985E-08</v>
      </c>
      <c r="Z101" s="98">
        <f t="shared" si="6"/>
        <v>-1.648440957069397E-07</v>
      </c>
      <c r="AA101" s="98">
        <f t="shared" si="6"/>
        <v>-3.296881914138794E-07</v>
      </c>
      <c r="AB101" s="98">
        <f t="shared" si="6"/>
        <v>-6.593763828277588E-07</v>
      </c>
      <c r="AC101" s="98">
        <f t="shared" si="6"/>
        <v>-1.3187527656555176E-06</v>
      </c>
      <c r="AD101" s="98">
        <f t="shared" si="6"/>
        <v>-2.637505531311035E-06</v>
      </c>
      <c r="AE101" s="98">
        <f t="shared" si="6"/>
        <v>-5.27501106262207E-06</v>
      </c>
      <c r="AF101" s="98">
        <f t="shared" si="6"/>
        <v>-1.055002212524414E-05</v>
      </c>
      <c r="AG101" s="99">
        <f t="shared" si="6"/>
        <v>-2.110004425048828E-05</v>
      </c>
      <c r="AJ101" s="56"/>
    </row>
    <row r="102" spans="1:36" ht="12.75" hidden="1">
      <c r="A102" s="32"/>
      <c r="B102" s="70" t="s">
        <v>11</v>
      </c>
      <c r="C102" s="79"/>
      <c r="D102" s="98">
        <f>-PPMT(uLoanRate,D89,uLoanTerm,uLoanAmount,0,0)</f>
        <v>28308.165170155495</v>
      </c>
      <c r="E102" s="98">
        <f aca="true" t="shared" si="7" ref="E102:AG102">IF(E89&lt;=uLoanTerm,uLoanRate*uLoanAmount/(1-(1+uLoanRate)^(-uLoanTerm))-E103,E101)</f>
        <v>30006.65508036482</v>
      </c>
      <c r="F102" s="98">
        <f t="shared" si="7"/>
        <v>31807.05438518671</v>
      </c>
      <c r="G102" s="90">
        <f t="shared" si="7"/>
        <v>33715.477648297914</v>
      </c>
      <c r="H102" s="98">
        <f t="shared" si="7"/>
        <v>35738.40630719579</v>
      </c>
      <c r="I102" s="98">
        <f t="shared" si="7"/>
        <v>37882.710685627535</v>
      </c>
      <c r="J102" s="98">
        <f t="shared" si="7"/>
        <v>40155.67332676519</v>
      </c>
      <c r="K102" s="98">
        <f t="shared" si="7"/>
        <v>42565.0137263711</v>
      </c>
      <c r="L102" s="98">
        <f t="shared" si="7"/>
        <v>45118.91454995336</v>
      </c>
      <c r="M102" s="98">
        <f t="shared" si="7"/>
        <v>47826.04942295057</v>
      </c>
      <c r="N102" s="98">
        <f t="shared" si="7"/>
        <v>50695.6123883276</v>
      </c>
      <c r="O102" s="98">
        <f t="shared" si="7"/>
        <v>53737.349131627256</v>
      </c>
      <c r="P102" s="98">
        <f t="shared" si="7"/>
        <v>56961.59007952489</v>
      </c>
      <c r="Q102" s="98">
        <f t="shared" si="7"/>
        <v>60379.285484296386</v>
      </c>
      <c r="R102" s="98">
        <f t="shared" si="7"/>
        <v>64002.04261335417</v>
      </c>
      <c r="S102" s="98">
        <f t="shared" si="7"/>
        <v>-1.2878444977104664E-09</v>
      </c>
      <c r="T102" s="98">
        <f t="shared" si="7"/>
        <v>-2.5756889954209328E-09</v>
      </c>
      <c r="U102" s="98">
        <f t="shared" si="7"/>
        <v>-5.1513779908418655E-09</v>
      </c>
      <c r="V102" s="98">
        <f t="shared" si="7"/>
        <v>-1.0302755981683731E-08</v>
      </c>
      <c r="W102" s="98">
        <f t="shared" si="7"/>
        <v>-2.0605511963367462E-08</v>
      </c>
      <c r="X102" s="98">
        <f t="shared" si="7"/>
        <v>-4.1211023926734924E-08</v>
      </c>
      <c r="Y102" s="98">
        <f t="shared" si="7"/>
        <v>-8.242204785346985E-08</v>
      </c>
      <c r="Z102" s="98">
        <f t="shared" si="7"/>
        <v>-1.648440957069397E-07</v>
      </c>
      <c r="AA102" s="98">
        <f t="shared" si="7"/>
        <v>-3.296881914138794E-07</v>
      </c>
      <c r="AB102" s="98">
        <f t="shared" si="7"/>
        <v>-6.593763828277588E-07</v>
      </c>
      <c r="AC102" s="98">
        <f t="shared" si="7"/>
        <v>-1.3187527656555176E-06</v>
      </c>
      <c r="AD102" s="98">
        <f t="shared" si="7"/>
        <v>-2.637505531311035E-06</v>
      </c>
      <c r="AE102" s="98">
        <f t="shared" si="7"/>
        <v>-5.27501106262207E-06</v>
      </c>
      <c r="AF102" s="98">
        <f t="shared" si="7"/>
        <v>-1.055002212524414E-05</v>
      </c>
      <c r="AG102" s="99">
        <f t="shared" si="7"/>
        <v>-2.110004425048828E-05</v>
      </c>
      <c r="AJ102" s="56"/>
    </row>
    <row r="103" spans="1:36" ht="12.75" hidden="1">
      <c r="A103" s="3"/>
      <c r="B103" s="70" t="s">
        <v>25</v>
      </c>
      <c r="C103" s="79"/>
      <c r="D103" s="98">
        <f aca="true" t="shared" si="8" ref="D103:AG103">-D101*uLoanRate</f>
        <v>39534</v>
      </c>
      <c r="E103" s="98">
        <f t="shared" si="8"/>
        <v>37835.510089790674</v>
      </c>
      <c r="F103" s="98">
        <f t="shared" si="8"/>
        <v>36035.11078496878</v>
      </c>
      <c r="G103" s="90">
        <f t="shared" si="8"/>
        <v>34126.68752185758</v>
      </c>
      <c r="H103" s="98">
        <f t="shared" si="8"/>
        <v>32103.758862959705</v>
      </c>
      <c r="I103" s="98">
        <f t="shared" si="8"/>
        <v>29959.454484527956</v>
      </c>
      <c r="J103" s="98">
        <f t="shared" si="8"/>
        <v>27686.491843390304</v>
      </c>
      <c r="K103" s="98">
        <f t="shared" si="8"/>
        <v>25277.151443784394</v>
      </c>
      <c r="L103" s="98">
        <f t="shared" si="8"/>
        <v>22723.25062020213</v>
      </c>
      <c r="M103" s="98">
        <f t="shared" si="8"/>
        <v>20016.115747204927</v>
      </c>
      <c r="N103" s="98">
        <f t="shared" si="8"/>
        <v>17146.552781827893</v>
      </c>
      <c r="O103" s="98">
        <f t="shared" si="8"/>
        <v>14104.816038528237</v>
      </c>
      <c r="P103" s="98">
        <f t="shared" si="8"/>
        <v>10880.575090630604</v>
      </c>
      <c r="Q103" s="98">
        <f t="shared" si="8"/>
        <v>7462.87968585911</v>
      </c>
      <c r="R103" s="98">
        <f t="shared" si="8"/>
        <v>3840.1225568013274</v>
      </c>
      <c r="S103" s="98">
        <f t="shared" si="8"/>
        <v>7.727066986262798E-11</v>
      </c>
      <c r="T103" s="98">
        <f t="shared" si="8"/>
        <v>1.5454133972525595E-10</v>
      </c>
      <c r="U103" s="98">
        <f t="shared" si="8"/>
        <v>3.090826794505119E-10</v>
      </c>
      <c r="V103" s="98">
        <f t="shared" si="8"/>
        <v>6.181653589010238E-10</v>
      </c>
      <c r="W103" s="98">
        <f t="shared" si="8"/>
        <v>1.2363307178020476E-09</v>
      </c>
      <c r="X103" s="98">
        <f t="shared" si="8"/>
        <v>2.4726614356040953E-09</v>
      </c>
      <c r="Y103" s="98">
        <f t="shared" si="8"/>
        <v>4.9453228712081906E-09</v>
      </c>
      <c r="Z103" s="98">
        <f t="shared" si="8"/>
        <v>9.890645742416381E-09</v>
      </c>
      <c r="AA103" s="98">
        <f t="shared" si="8"/>
        <v>1.9781291484832762E-08</v>
      </c>
      <c r="AB103" s="98">
        <f t="shared" si="8"/>
        <v>3.9562582969665524E-08</v>
      </c>
      <c r="AC103" s="98">
        <f t="shared" si="8"/>
        <v>7.912516593933105E-08</v>
      </c>
      <c r="AD103" s="98">
        <f t="shared" si="8"/>
        <v>1.582503318786621E-07</v>
      </c>
      <c r="AE103" s="98">
        <f t="shared" si="8"/>
        <v>3.165006637573242E-07</v>
      </c>
      <c r="AF103" s="98">
        <f t="shared" si="8"/>
        <v>6.330013275146484E-07</v>
      </c>
      <c r="AG103" s="99">
        <f t="shared" si="8"/>
        <v>1.2660026550292968E-06</v>
      </c>
      <c r="AJ103" s="56"/>
    </row>
    <row r="104" spans="1:36" ht="12.75" hidden="1">
      <c r="A104" s="3"/>
      <c r="B104" s="70" t="s">
        <v>27</v>
      </c>
      <c r="C104" s="79"/>
      <c r="D104" s="98">
        <f>SUM(D102:D103)</f>
        <v>67842.1651701555</v>
      </c>
      <c r="E104" s="98">
        <f aca="true" t="shared" si="9" ref="E104:AG104">SUM(E102:E103)</f>
        <v>67842.1651701555</v>
      </c>
      <c r="F104" s="98">
        <f t="shared" si="9"/>
        <v>67842.1651701555</v>
      </c>
      <c r="G104" s="90">
        <f t="shared" si="9"/>
        <v>67842.1651701555</v>
      </c>
      <c r="H104" s="98">
        <f t="shared" si="9"/>
        <v>67842.1651701555</v>
      </c>
      <c r="I104" s="98">
        <f t="shared" si="9"/>
        <v>67842.1651701555</v>
      </c>
      <c r="J104" s="98">
        <f t="shared" si="9"/>
        <v>67842.1651701555</v>
      </c>
      <c r="K104" s="98">
        <f t="shared" si="9"/>
        <v>67842.1651701555</v>
      </c>
      <c r="L104" s="98">
        <f t="shared" si="9"/>
        <v>67842.1651701555</v>
      </c>
      <c r="M104" s="98">
        <f t="shared" si="9"/>
        <v>67842.1651701555</v>
      </c>
      <c r="N104" s="98">
        <f t="shared" si="9"/>
        <v>67842.1651701555</v>
      </c>
      <c r="O104" s="98">
        <f t="shared" si="9"/>
        <v>67842.1651701555</v>
      </c>
      <c r="P104" s="98">
        <f t="shared" si="9"/>
        <v>67842.1651701555</v>
      </c>
      <c r="Q104" s="98">
        <f t="shared" si="9"/>
        <v>67842.1651701555</v>
      </c>
      <c r="R104" s="98">
        <f t="shared" si="9"/>
        <v>67842.1651701555</v>
      </c>
      <c r="S104" s="98">
        <f t="shared" si="9"/>
        <v>-1.2105738278478384E-09</v>
      </c>
      <c r="T104" s="98">
        <f t="shared" si="9"/>
        <v>-2.4211476556956767E-09</v>
      </c>
      <c r="U104" s="98">
        <f t="shared" si="9"/>
        <v>-4.8422953113913535E-09</v>
      </c>
      <c r="V104" s="98">
        <f t="shared" si="9"/>
        <v>-9.684590622782707E-09</v>
      </c>
      <c r="W104" s="98">
        <f t="shared" si="9"/>
        <v>-1.9369181245565414E-08</v>
      </c>
      <c r="X104" s="98">
        <f t="shared" si="9"/>
        <v>-3.873836249113083E-08</v>
      </c>
      <c r="Y104" s="98">
        <f t="shared" si="9"/>
        <v>-7.747672498226166E-08</v>
      </c>
      <c r="Z104" s="98">
        <f t="shared" si="9"/>
        <v>-1.549534499645233E-07</v>
      </c>
      <c r="AA104" s="98">
        <f t="shared" si="9"/>
        <v>-3.099068999290466E-07</v>
      </c>
      <c r="AB104" s="98">
        <f t="shared" si="9"/>
        <v>-6.198137998580932E-07</v>
      </c>
      <c r="AC104" s="98">
        <f t="shared" si="9"/>
        <v>-1.2396275997161865E-06</v>
      </c>
      <c r="AD104" s="98">
        <f t="shared" si="9"/>
        <v>-2.479255199432373E-06</v>
      </c>
      <c r="AE104" s="98">
        <f t="shared" si="9"/>
        <v>-4.958510398864746E-06</v>
      </c>
      <c r="AF104" s="98">
        <f t="shared" si="9"/>
        <v>-9.917020797729492E-06</v>
      </c>
      <c r="AG104" s="99">
        <f t="shared" si="9"/>
        <v>-1.9834041595458984E-05</v>
      </c>
      <c r="AJ104" s="56"/>
    </row>
    <row r="105" spans="1:36" ht="12.75" hidden="1">
      <c r="A105" s="3"/>
      <c r="B105" s="74" t="s">
        <v>12</v>
      </c>
      <c r="C105" s="102"/>
      <c r="D105" s="102"/>
      <c r="E105" s="102"/>
      <c r="F105" s="102"/>
      <c r="G105" s="177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3"/>
      <c r="AJ105" s="56"/>
    </row>
    <row r="106" spans="1:36" ht="12.75" hidden="1">
      <c r="A106" s="1"/>
      <c r="B106" s="70" t="s">
        <v>113</v>
      </c>
      <c r="C106" s="79"/>
      <c r="D106" s="80">
        <f>IF(uDepreciationType="MACRS (MidQuarter)",0.35,IF(uDepreciationType="MACRS (HalfYear)",0.2,0))</f>
        <v>0.35</v>
      </c>
      <c r="E106" s="80">
        <f>IF(uDepreciationType="MACRS (MidQuarter)",0.26,IF(uDepreciationType="MACRS (HalfYear)",0.32,0))</f>
        <v>0.26</v>
      </c>
      <c r="F106" s="80">
        <f>IF(uDepreciationType="MACRS (MidQuarter)",0.156,IF(uDepreciationType="MACRS (HalfYear)",0.192,0))</f>
        <v>0.156</v>
      </c>
      <c r="G106" s="80">
        <f>IF(uDepreciationType="MACRS (MidQuarter)",0.1101,IF(uDepreciationType="MACRS (HalfYear)",0.1152,0))</f>
        <v>0.1101</v>
      </c>
      <c r="H106" s="80">
        <f>IF(uDepreciationType="MACRS (MidQuarter)",0.1101,IF(uDepreciationType="MACRS (HalfYear)",0.1152,0))</f>
        <v>0.1101</v>
      </c>
      <c r="I106" s="80">
        <f>IF(uDepreciationType="MACRS (MidQuarter)",0.0138,IF(uDepreciationType="MACRS (HalfYear)",0.0576,0))</f>
        <v>0.0138</v>
      </c>
      <c r="J106" s="80">
        <v>0</v>
      </c>
      <c r="K106" s="80">
        <v>0</v>
      </c>
      <c r="L106" s="80">
        <v>0</v>
      </c>
      <c r="M106" s="80">
        <v>0</v>
      </c>
      <c r="N106" s="80">
        <v>0</v>
      </c>
      <c r="O106" s="80">
        <v>0</v>
      </c>
      <c r="P106" s="80">
        <v>0</v>
      </c>
      <c r="Q106" s="80">
        <v>0</v>
      </c>
      <c r="R106" s="80">
        <v>0</v>
      </c>
      <c r="S106" s="80">
        <v>0</v>
      </c>
      <c r="T106" s="80">
        <v>0</v>
      </c>
      <c r="U106" s="80">
        <v>0</v>
      </c>
      <c r="V106" s="80">
        <v>0</v>
      </c>
      <c r="W106" s="80">
        <v>0</v>
      </c>
      <c r="X106" s="80">
        <v>0</v>
      </c>
      <c r="Y106" s="80">
        <v>0</v>
      </c>
      <c r="Z106" s="80">
        <v>0</v>
      </c>
      <c r="AA106" s="80">
        <v>0</v>
      </c>
      <c r="AB106" s="80">
        <v>0</v>
      </c>
      <c r="AC106" s="80">
        <v>0</v>
      </c>
      <c r="AD106" s="80">
        <v>0</v>
      </c>
      <c r="AE106" s="80">
        <v>0</v>
      </c>
      <c r="AF106" s="80">
        <v>0</v>
      </c>
      <c r="AG106" s="100">
        <v>0</v>
      </c>
      <c r="AJ106" s="56"/>
    </row>
    <row r="107" spans="1:36" ht="12.75" hidden="1">
      <c r="A107" s="1"/>
      <c r="B107" s="70" t="s">
        <v>114</v>
      </c>
      <c r="C107" s="79"/>
      <c r="D107" s="80">
        <f>IF(uStateDepreciationType="MACRS (MidQuarter)",0.35,IF(uStateDepreciationType="MACRS (HalfYear)",0.2,0))</f>
        <v>0.35</v>
      </c>
      <c r="E107" s="80">
        <f>IF(uStateDepreciationType="MACRS (MidQuarter)",0.26,IF(uStateDepreciationType="MACRS (HalfYear)",0.32,0))</f>
        <v>0.26</v>
      </c>
      <c r="F107" s="80">
        <f>IF(uStateDepreciationType="MACRS (MidQuarter)",0.156,IF(uStateDepreciationType="MACRS (HalfYear)",0.192,0))</f>
        <v>0.156</v>
      </c>
      <c r="G107" s="80">
        <f>IF(uStateDepreciationType="MACRS (MidQuarter)",0.1101,IF(uStateDepreciationType="MACRS (HalfYear)",0.1152,0))</f>
        <v>0.1101</v>
      </c>
      <c r="H107" s="80">
        <f>IF(uStateDepreciationType="MACRS (MidQuarter)",0.1101,IF(uStateDepreciationType="MACRS (HalfYear)",0.1152,0))</f>
        <v>0.1101</v>
      </c>
      <c r="I107" s="80">
        <f>IF(uStateDepreciationType="MACRS (MidQuarter)",0.0138,IF(uStateDepreciationType="MACRS (HalfYear)",0.0576,0))</f>
        <v>0.0138</v>
      </c>
      <c r="J107" s="80">
        <v>0</v>
      </c>
      <c r="K107" s="80">
        <v>0</v>
      </c>
      <c r="L107" s="80">
        <v>0</v>
      </c>
      <c r="M107" s="80">
        <v>0</v>
      </c>
      <c r="N107" s="80">
        <v>0</v>
      </c>
      <c r="O107" s="80">
        <v>0</v>
      </c>
      <c r="P107" s="80">
        <v>0</v>
      </c>
      <c r="Q107" s="80">
        <v>0</v>
      </c>
      <c r="R107" s="80">
        <v>0</v>
      </c>
      <c r="S107" s="80">
        <v>0</v>
      </c>
      <c r="T107" s="80">
        <v>0</v>
      </c>
      <c r="U107" s="80">
        <v>0</v>
      </c>
      <c r="V107" s="80">
        <v>0</v>
      </c>
      <c r="W107" s="80">
        <v>0</v>
      </c>
      <c r="X107" s="80">
        <v>0</v>
      </c>
      <c r="Y107" s="80">
        <v>0</v>
      </c>
      <c r="Z107" s="80">
        <v>0</v>
      </c>
      <c r="AA107" s="80">
        <v>0</v>
      </c>
      <c r="AB107" s="80">
        <v>0</v>
      </c>
      <c r="AC107" s="80">
        <v>0</v>
      </c>
      <c r="AD107" s="80">
        <v>0</v>
      </c>
      <c r="AE107" s="80">
        <v>0</v>
      </c>
      <c r="AF107" s="80">
        <v>0</v>
      </c>
      <c r="AG107" s="100">
        <v>0</v>
      </c>
      <c r="AJ107" s="56"/>
    </row>
    <row r="108" spans="1:36" ht="12.75" hidden="1">
      <c r="A108" s="3"/>
      <c r="B108" s="70" t="s">
        <v>115</v>
      </c>
      <c r="C108" s="79"/>
      <c r="D108" s="98">
        <f>D106*uDepreciableBase</f>
        <v>461229.99999999994</v>
      </c>
      <c r="E108" s="98">
        <f aca="true" t="shared" si="10" ref="E108:AG108">E106*uDepreciableBase</f>
        <v>342628</v>
      </c>
      <c r="F108" s="98">
        <f t="shared" si="10"/>
        <v>205576.8</v>
      </c>
      <c r="G108" s="90">
        <f t="shared" si="10"/>
        <v>145089.78</v>
      </c>
      <c r="H108" s="98">
        <f t="shared" si="10"/>
        <v>145089.78</v>
      </c>
      <c r="I108" s="98">
        <f t="shared" si="10"/>
        <v>18185.64</v>
      </c>
      <c r="J108" s="98">
        <f t="shared" si="10"/>
        <v>0</v>
      </c>
      <c r="K108" s="98">
        <f t="shared" si="10"/>
        <v>0</v>
      </c>
      <c r="L108" s="98">
        <f t="shared" si="10"/>
        <v>0</v>
      </c>
      <c r="M108" s="98">
        <f t="shared" si="10"/>
        <v>0</v>
      </c>
      <c r="N108" s="98">
        <f t="shared" si="10"/>
        <v>0</v>
      </c>
      <c r="O108" s="98">
        <f t="shared" si="10"/>
        <v>0</v>
      </c>
      <c r="P108" s="98">
        <f t="shared" si="10"/>
        <v>0</v>
      </c>
      <c r="Q108" s="98">
        <f t="shared" si="10"/>
        <v>0</v>
      </c>
      <c r="R108" s="98">
        <f t="shared" si="10"/>
        <v>0</v>
      </c>
      <c r="S108" s="98">
        <f t="shared" si="10"/>
        <v>0</v>
      </c>
      <c r="T108" s="98">
        <f t="shared" si="10"/>
        <v>0</v>
      </c>
      <c r="U108" s="98">
        <f t="shared" si="10"/>
        <v>0</v>
      </c>
      <c r="V108" s="98">
        <f t="shared" si="10"/>
        <v>0</v>
      </c>
      <c r="W108" s="98">
        <f t="shared" si="10"/>
        <v>0</v>
      </c>
      <c r="X108" s="98">
        <f t="shared" si="10"/>
        <v>0</v>
      </c>
      <c r="Y108" s="98">
        <f t="shared" si="10"/>
        <v>0</v>
      </c>
      <c r="Z108" s="98">
        <f t="shared" si="10"/>
        <v>0</v>
      </c>
      <c r="AA108" s="98">
        <f t="shared" si="10"/>
        <v>0</v>
      </c>
      <c r="AB108" s="98">
        <f t="shared" si="10"/>
        <v>0</v>
      </c>
      <c r="AC108" s="98">
        <f t="shared" si="10"/>
        <v>0</v>
      </c>
      <c r="AD108" s="98">
        <f t="shared" si="10"/>
        <v>0</v>
      </c>
      <c r="AE108" s="98">
        <f t="shared" si="10"/>
        <v>0</v>
      </c>
      <c r="AF108" s="98">
        <f t="shared" si="10"/>
        <v>0</v>
      </c>
      <c r="AG108" s="99">
        <f t="shared" si="10"/>
        <v>0</v>
      </c>
      <c r="AJ108" s="56"/>
    </row>
    <row r="109" spans="1:36" ht="12.75" hidden="1">
      <c r="A109" s="3"/>
      <c r="B109" s="70" t="s">
        <v>116</v>
      </c>
      <c r="C109" s="79"/>
      <c r="D109" s="98">
        <f aca="true" t="shared" si="11" ref="D109:AG109">D107*uStateDepreciableBase</f>
        <v>461229.99999999994</v>
      </c>
      <c r="E109" s="98">
        <f t="shared" si="11"/>
        <v>342628</v>
      </c>
      <c r="F109" s="98">
        <f t="shared" si="11"/>
        <v>205576.8</v>
      </c>
      <c r="G109" s="90">
        <f t="shared" si="11"/>
        <v>145089.78</v>
      </c>
      <c r="H109" s="98">
        <f t="shared" si="11"/>
        <v>145089.78</v>
      </c>
      <c r="I109" s="98">
        <f t="shared" si="11"/>
        <v>18185.64</v>
      </c>
      <c r="J109" s="98">
        <f t="shared" si="11"/>
        <v>0</v>
      </c>
      <c r="K109" s="98">
        <f t="shared" si="11"/>
        <v>0</v>
      </c>
      <c r="L109" s="98">
        <f t="shared" si="11"/>
        <v>0</v>
      </c>
      <c r="M109" s="98">
        <f t="shared" si="11"/>
        <v>0</v>
      </c>
      <c r="N109" s="98">
        <f t="shared" si="11"/>
        <v>0</v>
      </c>
      <c r="O109" s="98">
        <f t="shared" si="11"/>
        <v>0</v>
      </c>
      <c r="P109" s="98">
        <f t="shared" si="11"/>
        <v>0</v>
      </c>
      <c r="Q109" s="98">
        <f t="shared" si="11"/>
        <v>0</v>
      </c>
      <c r="R109" s="98">
        <f t="shared" si="11"/>
        <v>0</v>
      </c>
      <c r="S109" s="98">
        <f t="shared" si="11"/>
        <v>0</v>
      </c>
      <c r="T109" s="98">
        <f t="shared" si="11"/>
        <v>0</v>
      </c>
      <c r="U109" s="98">
        <f t="shared" si="11"/>
        <v>0</v>
      </c>
      <c r="V109" s="98">
        <f t="shared" si="11"/>
        <v>0</v>
      </c>
      <c r="W109" s="98">
        <f t="shared" si="11"/>
        <v>0</v>
      </c>
      <c r="X109" s="98">
        <f t="shared" si="11"/>
        <v>0</v>
      </c>
      <c r="Y109" s="98">
        <f t="shared" si="11"/>
        <v>0</v>
      </c>
      <c r="Z109" s="98">
        <f t="shared" si="11"/>
        <v>0</v>
      </c>
      <c r="AA109" s="98">
        <f t="shared" si="11"/>
        <v>0</v>
      </c>
      <c r="AB109" s="98">
        <f t="shared" si="11"/>
        <v>0</v>
      </c>
      <c r="AC109" s="98">
        <f t="shared" si="11"/>
        <v>0</v>
      </c>
      <c r="AD109" s="98">
        <f t="shared" si="11"/>
        <v>0</v>
      </c>
      <c r="AE109" s="98">
        <f t="shared" si="11"/>
        <v>0</v>
      </c>
      <c r="AF109" s="98">
        <f t="shared" si="11"/>
        <v>0</v>
      </c>
      <c r="AG109" s="99">
        <f t="shared" si="11"/>
        <v>0</v>
      </c>
      <c r="AJ109" s="56"/>
    </row>
    <row r="110" spans="1:33" ht="12.75" hidden="1">
      <c r="A110" s="3"/>
      <c r="B110" s="74" t="s">
        <v>76</v>
      </c>
      <c r="C110" s="77"/>
      <c r="D110" s="77"/>
      <c r="E110" s="77"/>
      <c r="F110" s="77"/>
      <c r="G110" s="180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8"/>
    </row>
    <row r="111" spans="1:33" ht="12.75" hidden="1">
      <c r="A111" s="3"/>
      <c r="B111" s="70" t="s">
        <v>79</v>
      </c>
      <c r="C111" s="63"/>
      <c r="D111" s="63">
        <f>+IF(uITCTypeFed="Percent w/ Maximum",IF(uFedITCPercent/100*uTotalInstalledCosts&lt;uFedITCMax,uFedITCPercent/100*uFedCreditBasis,uFedITCMax),uFedITCMax)+uFedITC</f>
        <v>0</v>
      </c>
      <c r="E111" s="67"/>
      <c r="F111" s="67"/>
      <c r="G111" s="181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8"/>
    </row>
    <row r="112" spans="1:33" ht="12.75" hidden="1">
      <c r="A112" s="3"/>
      <c r="B112" s="70" t="s">
        <v>80</v>
      </c>
      <c r="C112" s="69"/>
      <c r="D112" s="67">
        <f aca="true" t="shared" si="12" ref="D112:AG112">IF(D89&lt;=uFedPTCTerm,+uFedPTC*(1+uFedPTCEsc/100)^(D89-1)*D91,0)</f>
        <v>0</v>
      </c>
      <c r="E112" s="67">
        <f t="shared" si="12"/>
        <v>0</v>
      </c>
      <c r="F112" s="67">
        <f t="shared" si="12"/>
        <v>0</v>
      </c>
      <c r="G112" s="181">
        <f t="shared" si="12"/>
        <v>0</v>
      </c>
      <c r="H112" s="67">
        <f t="shared" si="12"/>
        <v>0</v>
      </c>
      <c r="I112" s="67">
        <f t="shared" si="12"/>
        <v>0</v>
      </c>
      <c r="J112" s="67">
        <f t="shared" si="12"/>
        <v>0</v>
      </c>
      <c r="K112" s="67">
        <f t="shared" si="12"/>
        <v>0</v>
      </c>
      <c r="L112" s="67">
        <f t="shared" si="12"/>
        <v>0</v>
      </c>
      <c r="M112" s="67">
        <f t="shared" si="12"/>
        <v>0</v>
      </c>
      <c r="N112" s="67">
        <f t="shared" si="12"/>
        <v>0</v>
      </c>
      <c r="O112" s="67">
        <f t="shared" si="12"/>
        <v>0</v>
      </c>
      <c r="P112" s="67">
        <f t="shared" si="12"/>
        <v>0</v>
      </c>
      <c r="Q112" s="67">
        <f t="shared" si="12"/>
        <v>0</v>
      </c>
      <c r="R112" s="67">
        <f t="shared" si="12"/>
        <v>0</v>
      </c>
      <c r="S112" s="67">
        <f t="shared" si="12"/>
        <v>0</v>
      </c>
      <c r="T112" s="67">
        <f t="shared" si="12"/>
        <v>0</v>
      </c>
      <c r="U112" s="67">
        <f t="shared" si="12"/>
        <v>0</v>
      </c>
      <c r="V112" s="67">
        <f t="shared" si="12"/>
        <v>0</v>
      </c>
      <c r="W112" s="67">
        <f t="shared" si="12"/>
        <v>0</v>
      </c>
      <c r="X112" s="67">
        <f t="shared" si="12"/>
        <v>0</v>
      </c>
      <c r="Y112" s="67">
        <f t="shared" si="12"/>
        <v>0</v>
      </c>
      <c r="Z112" s="67">
        <f t="shared" si="12"/>
        <v>0</v>
      </c>
      <c r="AA112" s="67">
        <f t="shared" si="12"/>
        <v>0</v>
      </c>
      <c r="AB112" s="67">
        <f t="shared" si="12"/>
        <v>0</v>
      </c>
      <c r="AC112" s="67">
        <f t="shared" si="12"/>
        <v>0</v>
      </c>
      <c r="AD112" s="67">
        <f t="shared" si="12"/>
        <v>0</v>
      </c>
      <c r="AE112" s="67">
        <f t="shared" si="12"/>
        <v>0</v>
      </c>
      <c r="AF112" s="67">
        <f t="shared" si="12"/>
        <v>0</v>
      </c>
      <c r="AG112" s="68">
        <f t="shared" si="12"/>
        <v>0</v>
      </c>
    </row>
    <row r="113" spans="1:33" ht="12.75" hidden="1">
      <c r="A113" s="3"/>
      <c r="B113" s="70" t="s">
        <v>81</v>
      </c>
      <c r="C113" s="69"/>
      <c r="D113" s="67">
        <f aca="true" t="shared" si="13" ref="D113:AG113">IF(D89&lt;=uFedPBITerm,+uFedPBI*(1+uFedPBIEsc/100)^(D89-1)*D91,0)</f>
        <v>0</v>
      </c>
      <c r="E113" s="67">
        <f t="shared" si="13"/>
        <v>0</v>
      </c>
      <c r="F113" s="67">
        <f t="shared" si="13"/>
        <v>0</v>
      </c>
      <c r="G113" s="181">
        <f t="shared" si="13"/>
        <v>0</v>
      </c>
      <c r="H113" s="67">
        <f t="shared" si="13"/>
        <v>0</v>
      </c>
      <c r="I113" s="67">
        <f t="shared" si="13"/>
        <v>0</v>
      </c>
      <c r="J113" s="67">
        <f t="shared" si="13"/>
        <v>0</v>
      </c>
      <c r="K113" s="67">
        <f t="shared" si="13"/>
        <v>0</v>
      </c>
      <c r="L113" s="67">
        <f t="shared" si="13"/>
        <v>0</v>
      </c>
      <c r="M113" s="67">
        <f t="shared" si="13"/>
        <v>0</v>
      </c>
      <c r="N113" s="67">
        <f t="shared" si="13"/>
        <v>0</v>
      </c>
      <c r="O113" s="67">
        <f t="shared" si="13"/>
        <v>0</v>
      </c>
      <c r="P113" s="67">
        <f t="shared" si="13"/>
        <v>0</v>
      </c>
      <c r="Q113" s="67">
        <f t="shared" si="13"/>
        <v>0</v>
      </c>
      <c r="R113" s="67">
        <f t="shared" si="13"/>
        <v>0</v>
      </c>
      <c r="S113" s="67">
        <f t="shared" si="13"/>
        <v>0</v>
      </c>
      <c r="T113" s="67">
        <f t="shared" si="13"/>
        <v>0</v>
      </c>
      <c r="U113" s="67">
        <f t="shared" si="13"/>
        <v>0</v>
      </c>
      <c r="V113" s="67">
        <f t="shared" si="13"/>
        <v>0</v>
      </c>
      <c r="W113" s="67">
        <f t="shared" si="13"/>
        <v>0</v>
      </c>
      <c r="X113" s="67">
        <f t="shared" si="13"/>
        <v>0</v>
      </c>
      <c r="Y113" s="67">
        <f t="shared" si="13"/>
        <v>0</v>
      </c>
      <c r="Z113" s="67">
        <f t="shared" si="13"/>
        <v>0</v>
      </c>
      <c r="AA113" s="67">
        <f t="shared" si="13"/>
        <v>0</v>
      </c>
      <c r="AB113" s="67">
        <f t="shared" si="13"/>
        <v>0</v>
      </c>
      <c r="AC113" s="67">
        <f t="shared" si="13"/>
        <v>0</v>
      </c>
      <c r="AD113" s="67">
        <f t="shared" si="13"/>
        <v>0</v>
      </c>
      <c r="AE113" s="67">
        <f t="shared" si="13"/>
        <v>0</v>
      </c>
      <c r="AF113" s="67">
        <f t="shared" si="13"/>
        <v>0</v>
      </c>
      <c r="AG113" s="68">
        <f t="shared" si="13"/>
        <v>0</v>
      </c>
    </row>
    <row r="114" spans="1:33" ht="12.75" hidden="1">
      <c r="A114" s="3"/>
      <c r="B114" s="70" t="s">
        <v>27</v>
      </c>
      <c r="C114" s="69"/>
      <c r="D114" s="67">
        <f>SUM(D111:D113)</f>
        <v>0</v>
      </c>
      <c r="E114" s="67">
        <f aca="true" t="shared" si="14" ref="E114:AG114">SUM(E111:E113)</f>
        <v>0</v>
      </c>
      <c r="F114" s="67">
        <f t="shared" si="14"/>
        <v>0</v>
      </c>
      <c r="G114" s="181">
        <f t="shared" si="14"/>
        <v>0</v>
      </c>
      <c r="H114" s="67">
        <f t="shared" si="14"/>
        <v>0</v>
      </c>
      <c r="I114" s="67">
        <f t="shared" si="14"/>
        <v>0</v>
      </c>
      <c r="J114" s="67">
        <f t="shared" si="14"/>
        <v>0</v>
      </c>
      <c r="K114" s="67">
        <f t="shared" si="14"/>
        <v>0</v>
      </c>
      <c r="L114" s="67">
        <f t="shared" si="14"/>
        <v>0</v>
      </c>
      <c r="M114" s="67">
        <f t="shared" si="14"/>
        <v>0</v>
      </c>
      <c r="N114" s="67">
        <f t="shared" si="14"/>
        <v>0</v>
      </c>
      <c r="O114" s="67">
        <f t="shared" si="14"/>
        <v>0</v>
      </c>
      <c r="P114" s="67">
        <f t="shared" si="14"/>
        <v>0</v>
      </c>
      <c r="Q114" s="67">
        <f t="shared" si="14"/>
        <v>0</v>
      </c>
      <c r="R114" s="67">
        <f t="shared" si="14"/>
        <v>0</v>
      </c>
      <c r="S114" s="67">
        <f t="shared" si="14"/>
        <v>0</v>
      </c>
      <c r="T114" s="67">
        <f t="shared" si="14"/>
        <v>0</v>
      </c>
      <c r="U114" s="67">
        <f t="shared" si="14"/>
        <v>0</v>
      </c>
      <c r="V114" s="67">
        <f t="shared" si="14"/>
        <v>0</v>
      </c>
      <c r="W114" s="67">
        <f t="shared" si="14"/>
        <v>0</v>
      </c>
      <c r="X114" s="67">
        <f t="shared" si="14"/>
        <v>0</v>
      </c>
      <c r="Y114" s="67">
        <f t="shared" si="14"/>
        <v>0</v>
      </c>
      <c r="Z114" s="67">
        <f t="shared" si="14"/>
        <v>0</v>
      </c>
      <c r="AA114" s="67">
        <f t="shared" si="14"/>
        <v>0</v>
      </c>
      <c r="AB114" s="67">
        <f t="shared" si="14"/>
        <v>0</v>
      </c>
      <c r="AC114" s="67">
        <f t="shared" si="14"/>
        <v>0</v>
      </c>
      <c r="AD114" s="67">
        <f t="shared" si="14"/>
        <v>0</v>
      </c>
      <c r="AE114" s="67">
        <f t="shared" si="14"/>
        <v>0</v>
      </c>
      <c r="AF114" s="67">
        <f t="shared" si="14"/>
        <v>0</v>
      </c>
      <c r="AG114" s="68">
        <f t="shared" si="14"/>
        <v>0</v>
      </c>
    </row>
    <row r="115" spans="1:33" ht="12.75" hidden="1">
      <c r="A115" s="3"/>
      <c r="B115" s="74" t="s">
        <v>77</v>
      </c>
      <c r="C115" s="77"/>
      <c r="D115" s="77"/>
      <c r="E115" s="77"/>
      <c r="F115" s="77"/>
      <c r="G115" s="180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8"/>
    </row>
    <row r="116" spans="1:33" ht="12.75" hidden="1">
      <c r="A116" s="3"/>
      <c r="B116" s="70" t="s">
        <v>79</v>
      </c>
      <c r="C116" s="63"/>
      <c r="D116" s="63">
        <f>+IF(uITCTypeState="Percent w/ Maximum",IF(uStateITCPercent/100*uTotalInstalledCosts&lt;uStateITCMax,uStateITCPercent/100*uStateCreditBasis,uStateITCMax),uStateITCMax)+uStateITC</f>
        <v>0</v>
      </c>
      <c r="E116" s="67"/>
      <c r="F116" s="67"/>
      <c r="G116" s="181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8"/>
    </row>
    <row r="117" spans="1:33" ht="12.75" hidden="1">
      <c r="A117" s="3"/>
      <c r="B117" s="70" t="s">
        <v>80</v>
      </c>
      <c r="C117" s="69"/>
      <c r="D117" s="67">
        <f aca="true" t="shared" si="15" ref="D117:AG117">IF(D89&lt;=uStatePTCTerm,+uStatePTC*(1+uStatePTCEsc/100)^(D89-1)*D91,0)</f>
        <v>0</v>
      </c>
      <c r="E117" s="67">
        <f t="shared" si="15"/>
        <v>0</v>
      </c>
      <c r="F117" s="67">
        <f t="shared" si="15"/>
        <v>0</v>
      </c>
      <c r="G117" s="181">
        <f t="shared" si="15"/>
        <v>0</v>
      </c>
      <c r="H117" s="67">
        <f t="shared" si="15"/>
        <v>0</v>
      </c>
      <c r="I117" s="67">
        <f t="shared" si="15"/>
        <v>0</v>
      </c>
      <c r="J117" s="67">
        <f t="shared" si="15"/>
        <v>0</v>
      </c>
      <c r="K117" s="67">
        <f t="shared" si="15"/>
        <v>0</v>
      </c>
      <c r="L117" s="67">
        <f t="shared" si="15"/>
        <v>0</v>
      </c>
      <c r="M117" s="67">
        <f t="shared" si="15"/>
        <v>0</v>
      </c>
      <c r="N117" s="67">
        <f t="shared" si="15"/>
        <v>0</v>
      </c>
      <c r="O117" s="67">
        <f t="shared" si="15"/>
        <v>0</v>
      </c>
      <c r="P117" s="67">
        <f t="shared" si="15"/>
        <v>0</v>
      </c>
      <c r="Q117" s="67">
        <f t="shared" si="15"/>
        <v>0</v>
      </c>
      <c r="R117" s="67">
        <f t="shared" si="15"/>
        <v>0</v>
      </c>
      <c r="S117" s="67">
        <f t="shared" si="15"/>
        <v>0</v>
      </c>
      <c r="T117" s="67">
        <f t="shared" si="15"/>
        <v>0</v>
      </c>
      <c r="U117" s="67">
        <f t="shared" si="15"/>
        <v>0</v>
      </c>
      <c r="V117" s="67">
        <f t="shared" si="15"/>
        <v>0</v>
      </c>
      <c r="W117" s="67">
        <f t="shared" si="15"/>
        <v>0</v>
      </c>
      <c r="X117" s="67">
        <f t="shared" si="15"/>
        <v>0</v>
      </c>
      <c r="Y117" s="67">
        <f t="shared" si="15"/>
        <v>0</v>
      </c>
      <c r="Z117" s="67">
        <f t="shared" si="15"/>
        <v>0</v>
      </c>
      <c r="AA117" s="67">
        <f t="shared" si="15"/>
        <v>0</v>
      </c>
      <c r="AB117" s="67">
        <f t="shared" si="15"/>
        <v>0</v>
      </c>
      <c r="AC117" s="67">
        <f t="shared" si="15"/>
        <v>0</v>
      </c>
      <c r="AD117" s="67">
        <f t="shared" si="15"/>
        <v>0</v>
      </c>
      <c r="AE117" s="67">
        <f t="shared" si="15"/>
        <v>0</v>
      </c>
      <c r="AF117" s="67">
        <f t="shared" si="15"/>
        <v>0</v>
      </c>
      <c r="AG117" s="68">
        <f t="shared" si="15"/>
        <v>0</v>
      </c>
    </row>
    <row r="118" spans="1:33" ht="12.75" hidden="1">
      <c r="A118" s="3"/>
      <c r="B118" s="70" t="s">
        <v>81</v>
      </c>
      <c r="C118" s="69"/>
      <c r="D118" s="67">
        <f aca="true" t="shared" si="16" ref="D118:AG118">IF(D89&lt;=uStatePBITerm,+uStatePBI*(1+uStatePBIEsc/100)^(D89-1)*D91,0)</f>
        <v>0</v>
      </c>
      <c r="E118" s="67">
        <f t="shared" si="16"/>
        <v>0</v>
      </c>
      <c r="F118" s="67">
        <f t="shared" si="16"/>
        <v>0</v>
      </c>
      <c r="G118" s="181">
        <f t="shared" si="16"/>
        <v>0</v>
      </c>
      <c r="H118" s="67">
        <f t="shared" si="16"/>
        <v>0</v>
      </c>
      <c r="I118" s="67">
        <f t="shared" si="16"/>
        <v>0</v>
      </c>
      <c r="J118" s="67">
        <f t="shared" si="16"/>
        <v>0</v>
      </c>
      <c r="K118" s="67">
        <f t="shared" si="16"/>
        <v>0</v>
      </c>
      <c r="L118" s="67">
        <f t="shared" si="16"/>
        <v>0</v>
      </c>
      <c r="M118" s="67">
        <f t="shared" si="16"/>
        <v>0</v>
      </c>
      <c r="N118" s="67">
        <f t="shared" si="16"/>
        <v>0</v>
      </c>
      <c r="O118" s="67">
        <f t="shared" si="16"/>
        <v>0</v>
      </c>
      <c r="P118" s="67">
        <f t="shared" si="16"/>
        <v>0</v>
      </c>
      <c r="Q118" s="67">
        <f t="shared" si="16"/>
        <v>0</v>
      </c>
      <c r="R118" s="67">
        <f t="shared" si="16"/>
        <v>0</v>
      </c>
      <c r="S118" s="67">
        <f t="shared" si="16"/>
        <v>0</v>
      </c>
      <c r="T118" s="67">
        <f t="shared" si="16"/>
        <v>0</v>
      </c>
      <c r="U118" s="67">
        <f t="shared" si="16"/>
        <v>0</v>
      </c>
      <c r="V118" s="67">
        <f t="shared" si="16"/>
        <v>0</v>
      </c>
      <c r="W118" s="67">
        <f t="shared" si="16"/>
        <v>0</v>
      </c>
      <c r="X118" s="67">
        <f t="shared" si="16"/>
        <v>0</v>
      </c>
      <c r="Y118" s="67">
        <f t="shared" si="16"/>
        <v>0</v>
      </c>
      <c r="Z118" s="67">
        <f t="shared" si="16"/>
        <v>0</v>
      </c>
      <c r="AA118" s="67">
        <f t="shared" si="16"/>
        <v>0</v>
      </c>
      <c r="AB118" s="67">
        <f t="shared" si="16"/>
        <v>0</v>
      </c>
      <c r="AC118" s="67">
        <f t="shared" si="16"/>
        <v>0</v>
      </c>
      <c r="AD118" s="67">
        <f t="shared" si="16"/>
        <v>0</v>
      </c>
      <c r="AE118" s="67">
        <f t="shared" si="16"/>
        <v>0</v>
      </c>
      <c r="AF118" s="67">
        <f t="shared" si="16"/>
        <v>0</v>
      </c>
      <c r="AG118" s="68">
        <f t="shared" si="16"/>
        <v>0</v>
      </c>
    </row>
    <row r="119" spans="1:33" ht="12.75" hidden="1">
      <c r="A119" s="3"/>
      <c r="B119" s="70" t="s">
        <v>27</v>
      </c>
      <c r="C119" s="69"/>
      <c r="D119" s="67">
        <f>SUM(D116:D118)</f>
        <v>0</v>
      </c>
      <c r="E119" s="67">
        <f aca="true" t="shared" si="17" ref="E119:AG119">SUM(E116:E118)</f>
        <v>0</v>
      </c>
      <c r="F119" s="67">
        <f t="shared" si="17"/>
        <v>0</v>
      </c>
      <c r="G119" s="181">
        <f t="shared" si="17"/>
        <v>0</v>
      </c>
      <c r="H119" s="67">
        <f t="shared" si="17"/>
        <v>0</v>
      </c>
      <c r="I119" s="67">
        <f t="shared" si="17"/>
        <v>0</v>
      </c>
      <c r="J119" s="67">
        <f t="shared" si="17"/>
        <v>0</v>
      </c>
      <c r="K119" s="67">
        <f t="shared" si="17"/>
        <v>0</v>
      </c>
      <c r="L119" s="67">
        <f t="shared" si="17"/>
        <v>0</v>
      </c>
      <c r="M119" s="67">
        <f t="shared" si="17"/>
        <v>0</v>
      </c>
      <c r="N119" s="67">
        <f t="shared" si="17"/>
        <v>0</v>
      </c>
      <c r="O119" s="67">
        <f t="shared" si="17"/>
        <v>0</v>
      </c>
      <c r="P119" s="67">
        <f t="shared" si="17"/>
        <v>0</v>
      </c>
      <c r="Q119" s="67">
        <f t="shared" si="17"/>
        <v>0</v>
      </c>
      <c r="R119" s="67">
        <f t="shared" si="17"/>
        <v>0</v>
      </c>
      <c r="S119" s="67">
        <f t="shared" si="17"/>
        <v>0</v>
      </c>
      <c r="T119" s="67">
        <f t="shared" si="17"/>
        <v>0</v>
      </c>
      <c r="U119" s="67">
        <f t="shared" si="17"/>
        <v>0</v>
      </c>
      <c r="V119" s="67">
        <f t="shared" si="17"/>
        <v>0</v>
      </c>
      <c r="W119" s="67">
        <f t="shared" si="17"/>
        <v>0</v>
      </c>
      <c r="X119" s="67">
        <f t="shared" si="17"/>
        <v>0</v>
      </c>
      <c r="Y119" s="67">
        <f t="shared" si="17"/>
        <v>0</v>
      </c>
      <c r="Z119" s="67">
        <f t="shared" si="17"/>
        <v>0</v>
      </c>
      <c r="AA119" s="67">
        <f t="shared" si="17"/>
        <v>0</v>
      </c>
      <c r="AB119" s="67">
        <f t="shared" si="17"/>
        <v>0</v>
      </c>
      <c r="AC119" s="67">
        <f t="shared" si="17"/>
        <v>0</v>
      </c>
      <c r="AD119" s="67">
        <f t="shared" si="17"/>
        <v>0</v>
      </c>
      <c r="AE119" s="67">
        <f t="shared" si="17"/>
        <v>0</v>
      </c>
      <c r="AF119" s="67">
        <f t="shared" si="17"/>
        <v>0</v>
      </c>
      <c r="AG119" s="68">
        <f t="shared" si="17"/>
        <v>0</v>
      </c>
    </row>
    <row r="120" spans="1:33" ht="12.75" hidden="1">
      <c r="A120" s="3"/>
      <c r="B120" s="74" t="s">
        <v>98</v>
      </c>
      <c r="C120" s="77"/>
      <c r="D120" s="77"/>
      <c r="E120" s="77"/>
      <c r="F120" s="77"/>
      <c r="G120" s="180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8"/>
    </row>
    <row r="121" spans="1:33" ht="12.75" hidden="1">
      <c r="A121" s="3"/>
      <c r="B121" s="70" t="s">
        <v>81</v>
      </c>
      <c r="C121" s="69"/>
      <c r="D121" s="67">
        <f aca="true" t="shared" si="18" ref="D121:AG121">IF(D89&lt;=uUtilityPBITerm,+uUtilityPBI*(1+uUtilityPBIEsc/100)^(D89-1)*D91,0)</f>
        <v>0</v>
      </c>
      <c r="E121" s="67">
        <f t="shared" si="18"/>
        <v>0</v>
      </c>
      <c r="F121" s="67">
        <f t="shared" si="18"/>
        <v>0</v>
      </c>
      <c r="G121" s="181">
        <f t="shared" si="18"/>
        <v>0</v>
      </c>
      <c r="H121" s="67">
        <f t="shared" si="18"/>
        <v>0</v>
      </c>
      <c r="I121" s="67">
        <f t="shared" si="18"/>
        <v>0</v>
      </c>
      <c r="J121" s="67">
        <f t="shared" si="18"/>
        <v>0</v>
      </c>
      <c r="K121" s="67">
        <f t="shared" si="18"/>
        <v>0</v>
      </c>
      <c r="L121" s="67">
        <f t="shared" si="18"/>
        <v>0</v>
      </c>
      <c r="M121" s="67">
        <f t="shared" si="18"/>
        <v>0</v>
      </c>
      <c r="N121" s="67">
        <f t="shared" si="18"/>
        <v>0</v>
      </c>
      <c r="O121" s="67">
        <f t="shared" si="18"/>
        <v>0</v>
      </c>
      <c r="P121" s="67">
        <f t="shared" si="18"/>
        <v>0</v>
      </c>
      <c r="Q121" s="67">
        <f t="shared" si="18"/>
        <v>0</v>
      </c>
      <c r="R121" s="67">
        <f t="shared" si="18"/>
        <v>0</v>
      </c>
      <c r="S121" s="67">
        <f t="shared" si="18"/>
        <v>0</v>
      </c>
      <c r="T121" s="67">
        <f t="shared" si="18"/>
        <v>0</v>
      </c>
      <c r="U121" s="67">
        <f t="shared" si="18"/>
        <v>0</v>
      </c>
      <c r="V121" s="67">
        <f t="shared" si="18"/>
        <v>0</v>
      </c>
      <c r="W121" s="67">
        <f t="shared" si="18"/>
        <v>0</v>
      </c>
      <c r="X121" s="67">
        <f t="shared" si="18"/>
        <v>0</v>
      </c>
      <c r="Y121" s="67">
        <f t="shared" si="18"/>
        <v>0</v>
      </c>
      <c r="Z121" s="67">
        <f t="shared" si="18"/>
        <v>0</v>
      </c>
      <c r="AA121" s="67">
        <f t="shared" si="18"/>
        <v>0</v>
      </c>
      <c r="AB121" s="67">
        <f t="shared" si="18"/>
        <v>0</v>
      </c>
      <c r="AC121" s="67">
        <f t="shared" si="18"/>
        <v>0</v>
      </c>
      <c r="AD121" s="67">
        <f t="shared" si="18"/>
        <v>0</v>
      </c>
      <c r="AE121" s="67">
        <f t="shared" si="18"/>
        <v>0</v>
      </c>
      <c r="AF121" s="67">
        <f t="shared" si="18"/>
        <v>0</v>
      </c>
      <c r="AG121" s="67">
        <f t="shared" si="18"/>
        <v>0</v>
      </c>
    </row>
    <row r="122" spans="1:33" ht="12.75" hidden="1">
      <c r="A122" s="3"/>
      <c r="B122" s="70" t="s">
        <v>27</v>
      </c>
      <c r="C122" s="69"/>
      <c r="D122" s="67">
        <f>SUM(D121)</f>
        <v>0</v>
      </c>
      <c r="E122" s="67">
        <f aca="true" t="shared" si="19" ref="E122:AG122">SUM(E121)</f>
        <v>0</v>
      </c>
      <c r="F122" s="67">
        <f t="shared" si="19"/>
        <v>0</v>
      </c>
      <c r="G122" s="181">
        <f t="shared" si="19"/>
        <v>0</v>
      </c>
      <c r="H122" s="67">
        <f t="shared" si="19"/>
        <v>0</v>
      </c>
      <c r="I122" s="67">
        <f t="shared" si="19"/>
        <v>0</v>
      </c>
      <c r="J122" s="67">
        <f t="shared" si="19"/>
        <v>0</v>
      </c>
      <c r="K122" s="67">
        <f t="shared" si="19"/>
        <v>0</v>
      </c>
      <c r="L122" s="67">
        <f t="shared" si="19"/>
        <v>0</v>
      </c>
      <c r="M122" s="67">
        <f t="shared" si="19"/>
        <v>0</v>
      </c>
      <c r="N122" s="67">
        <f t="shared" si="19"/>
        <v>0</v>
      </c>
      <c r="O122" s="67">
        <f t="shared" si="19"/>
        <v>0</v>
      </c>
      <c r="P122" s="67">
        <f t="shared" si="19"/>
        <v>0</v>
      </c>
      <c r="Q122" s="67">
        <f t="shared" si="19"/>
        <v>0</v>
      </c>
      <c r="R122" s="67">
        <f t="shared" si="19"/>
        <v>0</v>
      </c>
      <c r="S122" s="67">
        <f t="shared" si="19"/>
        <v>0</v>
      </c>
      <c r="T122" s="67">
        <f t="shared" si="19"/>
        <v>0</v>
      </c>
      <c r="U122" s="67">
        <f t="shared" si="19"/>
        <v>0</v>
      </c>
      <c r="V122" s="67">
        <f t="shared" si="19"/>
        <v>0</v>
      </c>
      <c r="W122" s="67">
        <f t="shared" si="19"/>
        <v>0</v>
      </c>
      <c r="X122" s="67">
        <f t="shared" si="19"/>
        <v>0</v>
      </c>
      <c r="Y122" s="67">
        <f t="shared" si="19"/>
        <v>0</v>
      </c>
      <c r="Z122" s="67">
        <f t="shared" si="19"/>
        <v>0</v>
      </c>
      <c r="AA122" s="67">
        <f t="shared" si="19"/>
        <v>0</v>
      </c>
      <c r="AB122" s="67">
        <f t="shared" si="19"/>
        <v>0</v>
      </c>
      <c r="AC122" s="67">
        <f t="shared" si="19"/>
        <v>0</v>
      </c>
      <c r="AD122" s="67">
        <f t="shared" si="19"/>
        <v>0</v>
      </c>
      <c r="AE122" s="67">
        <f t="shared" si="19"/>
        <v>0</v>
      </c>
      <c r="AF122" s="67">
        <f t="shared" si="19"/>
        <v>0</v>
      </c>
      <c r="AG122" s="68">
        <f t="shared" si="19"/>
        <v>0</v>
      </c>
    </row>
    <row r="123" spans="1:33" ht="12.75" hidden="1">
      <c r="A123" s="3"/>
      <c r="B123" s="74" t="s">
        <v>78</v>
      </c>
      <c r="C123" s="77"/>
      <c r="D123" s="77"/>
      <c r="E123" s="77"/>
      <c r="F123" s="77"/>
      <c r="G123" s="180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8"/>
    </row>
    <row r="124" spans="1:33" ht="12.75" hidden="1">
      <c r="A124" s="3"/>
      <c r="B124" s="70" t="s">
        <v>81</v>
      </c>
      <c r="C124" s="69"/>
      <c r="D124" s="67">
        <f aca="true" t="shared" si="20" ref="D124:AG124">IF(D89&lt;=uOtherPBITerm,+uOtherPBI*(1+uOtherPBIEsc/100)^(D89-1)*D91,0)</f>
        <v>0</v>
      </c>
      <c r="E124" s="67">
        <f t="shared" si="20"/>
        <v>0</v>
      </c>
      <c r="F124" s="67">
        <f t="shared" si="20"/>
        <v>0</v>
      </c>
      <c r="G124" s="181">
        <f t="shared" si="20"/>
        <v>0</v>
      </c>
      <c r="H124" s="67">
        <f t="shared" si="20"/>
        <v>0</v>
      </c>
      <c r="I124" s="67">
        <f t="shared" si="20"/>
        <v>0</v>
      </c>
      <c r="J124" s="67">
        <f t="shared" si="20"/>
        <v>0</v>
      </c>
      <c r="K124" s="67">
        <f t="shared" si="20"/>
        <v>0</v>
      </c>
      <c r="L124" s="67">
        <f t="shared" si="20"/>
        <v>0</v>
      </c>
      <c r="M124" s="67">
        <f t="shared" si="20"/>
        <v>0</v>
      </c>
      <c r="N124" s="67">
        <f t="shared" si="20"/>
        <v>0</v>
      </c>
      <c r="O124" s="67">
        <f t="shared" si="20"/>
        <v>0</v>
      </c>
      <c r="P124" s="67">
        <f t="shared" si="20"/>
        <v>0</v>
      </c>
      <c r="Q124" s="67">
        <f t="shared" si="20"/>
        <v>0</v>
      </c>
      <c r="R124" s="67">
        <f t="shared" si="20"/>
        <v>0</v>
      </c>
      <c r="S124" s="67">
        <f t="shared" si="20"/>
        <v>0</v>
      </c>
      <c r="T124" s="67">
        <f t="shared" si="20"/>
        <v>0</v>
      </c>
      <c r="U124" s="67">
        <f t="shared" si="20"/>
        <v>0</v>
      </c>
      <c r="V124" s="67">
        <f t="shared" si="20"/>
        <v>0</v>
      </c>
      <c r="W124" s="67">
        <f t="shared" si="20"/>
        <v>0</v>
      </c>
      <c r="X124" s="67">
        <f t="shared" si="20"/>
        <v>0</v>
      </c>
      <c r="Y124" s="67">
        <f t="shared" si="20"/>
        <v>0</v>
      </c>
      <c r="Z124" s="67">
        <f t="shared" si="20"/>
        <v>0</v>
      </c>
      <c r="AA124" s="67">
        <f t="shared" si="20"/>
        <v>0</v>
      </c>
      <c r="AB124" s="67">
        <f t="shared" si="20"/>
        <v>0</v>
      </c>
      <c r="AC124" s="67">
        <f t="shared" si="20"/>
        <v>0</v>
      </c>
      <c r="AD124" s="67">
        <f t="shared" si="20"/>
        <v>0</v>
      </c>
      <c r="AE124" s="67">
        <f t="shared" si="20"/>
        <v>0</v>
      </c>
      <c r="AF124" s="67">
        <f t="shared" si="20"/>
        <v>0</v>
      </c>
      <c r="AG124" s="68">
        <f t="shared" si="20"/>
        <v>0</v>
      </c>
    </row>
    <row r="125" spans="1:33" ht="12.75" hidden="1">
      <c r="A125" s="3"/>
      <c r="B125" s="70" t="s">
        <v>27</v>
      </c>
      <c r="C125" s="69"/>
      <c r="D125" s="67">
        <f aca="true" t="shared" si="21" ref="D125:AG125">SUM(D124:D124)</f>
        <v>0</v>
      </c>
      <c r="E125" s="67">
        <f t="shared" si="21"/>
        <v>0</v>
      </c>
      <c r="F125" s="67">
        <f t="shared" si="21"/>
        <v>0</v>
      </c>
      <c r="G125" s="181">
        <f t="shared" si="21"/>
        <v>0</v>
      </c>
      <c r="H125" s="67">
        <f t="shared" si="21"/>
        <v>0</v>
      </c>
      <c r="I125" s="67">
        <f t="shared" si="21"/>
        <v>0</v>
      </c>
      <c r="J125" s="67">
        <f t="shared" si="21"/>
        <v>0</v>
      </c>
      <c r="K125" s="67">
        <f t="shared" si="21"/>
        <v>0</v>
      </c>
      <c r="L125" s="67">
        <f t="shared" si="21"/>
        <v>0</v>
      </c>
      <c r="M125" s="67">
        <f t="shared" si="21"/>
        <v>0</v>
      </c>
      <c r="N125" s="67">
        <f t="shared" si="21"/>
        <v>0</v>
      </c>
      <c r="O125" s="67">
        <f t="shared" si="21"/>
        <v>0</v>
      </c>
      <c r="P125" s="67">
        <f t="shared" si="21"/>
        <v>0</v>
      </c>
      <c r="Q125" s="67">
        <f t="shared" si="21"/>
        <v>0</v>
      </c>
      <c r="R125" s="67">
        <f t="shared" si="21"/>
        <v>0</v>
      </c>
      <c r="S125" s="67">
        <f t="shared" si="21"/>
        <v>0</v>
      </c>
      <c r="T125" s="67">
        <f t="shared" si="21"/>
        <v>0</v>
      </c>
      <c r="U125" s="67">
        <f t="shared" si="21"/>
        <v>0</v>
      </c>
      <c r="V125" s="67">
        <f t="shared" si="21"/>
        <v>0</v>
      </c>
      <c r="W125" s="67">
        <f t="shared" si="21"/>
        <v>0</v>
      </c>
      <c r="X125" s="67">
        <f t="shared" si="21"/>
        <v>0</v>
      </c>
      <c r="Y125" s="67">
        <f t="shared" si="21"/>
        <v>0</v>
      </c>
      <c r="Z125" s="67">
        <f t="shared" si="21"/>
        <v>0</v>
      </c>
      <c r="AA125" s="67">
        <f t="shared" si="21"/>
        <v>0</v>
      </c>
      <c r="AB125" s="67">
        <f t="shared" si="21"/>
        <v>0</v>
      </c>
      <c r="AC125" s="67">
        <f t="shared" si="21"/>
        <v>0</v>
      </c>
      <c r="AD125" s="67">
        <f t="shared" si="21"/>
        <v>0</v>
      </c>
      <c r="AE125" s="67">
        <f t="shared" si="21"/>
        <v>0</v>
      </c>
      <c r="AF125" s="67">
        <f t="shared" si="21"/>
        <v>0</v>
      </c>
      <c r="AG125" s="68">
        <f t="shared" si="21"/>
        <v>0</v>
      </c>
    </row>
    <row r="126" spans="1:36" ht="12.75" hidden="1">
      <c r="A126" s="3"/>
      <c r="D126" s="3"/>
      <c r="E126" s="61"/>
      <c r="F126" s="3"/>
      <c r="G126" s="170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J126" s="56"/>
    </row>
    <row r="127" spans="1:36" ht="13.5" thickBot="1">
      <c r="A127" s="3"/>
      <c r="B127" s="153" t="s">
        <v>129</v>
      </c>
      <c r="D127" s="3"/>
      <c r="E127" s="3"/>
      <c r="F127" s="3"/>
      <c r="G127" s="170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J127" s="56"/>
    </row>
    <row r="128" spans="1:36" ht="12.75">
      <c r="A128" s="3"/>
      <c r="B128" s="83" t="s">
        <v>0</v>
      </c>
      <c r="C128" s="81">
        <v>0</v>
      </c>
      <c r="D128" s="81">
        <v>1</v>
      </c>
      <c r="E128" s="81">
        <v>2</v>
      </c>
      <c r="F128" s="81">
        <v>3</v>
      </c>
      <c r="G128" s="175">
        <v>4</v>
      </c>
      <c r="H128" s="81">
        <v>5</v>
      </c>
      <c r="I128" s="81">
        <v>6</v>
      </c>
      <c r="J128" s="81">
        <v>7</v>
      </c>
      <c r="K128" s="81">
        <v>8</v>
      </c>
      <c r="L128" s="81">
        <v>9</v>
      </c>
      <c r="M128" s="81">
        <v>10</v>
      </c>
      <c r="N128" s="81">
        <v>11</v>
      </c>
      <c r="O128" s="81">
        <v>12</v>
      </c>
      <c r="P128" s="81">
        <v>13</v>
      </c>
      <c r="Q128" s="81">
        <v>14</v>
      </c>
      <c r="R128" s="81">
        <v>15</v>
      </c>
      <c r="S128" s="81">
        <v>16</v>
      </c>
      <c r="T128" s="81">
        <v>17</v>
      </c>
      <c r="U128" s="81">
        <v>18</v>
      </c>
      <c r="V128" s="81">
        <v>19</v>
      </c>
      <c r="W128" s="81">
        <v>20</v>
      </c>
      <c r="X128" s="81">
        <v>21</v>
      </c>
      <c r="Y128" s="81">
        <v>22</v>
      </c>
      <c r="Z128" s="81">
        <v>23</v>
      </c>
      <c r="AA128" s="81">
        <v>24</v>
      </c>
      <c r="AB128" s="81">
        <v>25</v>
      </c>
      <c r="AC128" s="81">
        <v>26</v>
      </c>
      <c r="AD128" s="81">
        <v>27</v>
      </c>
      <c r="AE128" s="81">
        <v>28</v>
      </c>
      <c r="AF128" s="81">
        <v>29</v>
      </c>
      <c r="AG128" s="81">
        <v>30</v>
      </c>
      <c r="AH128" s="3"/>
      <c r="AJ128" s="56"/>
    </row>
    <row r="129" spans="1:34" ht="12.75">
      <c r="A129" s="3"/>
      <c r="B129" s="150" t="s">
        <v>132</v>
      </c>
      <c r="D129" s="154">
        <f>uFirstYearAnnualOutput</f>
        <v>8760000</v>
      </c>
      <c r="E129" s="154">
        <f aca="true" t="shared" si="22" ref="E129:AG129">uFirstYearAnnualOutput*(1-uDegradation)^D128</f>
        <v>8672400</v>
      </c>
      <c r="F129" s="154">
        <f t="shared" si="22"/>
        <v>8585676</v>
      </c>
      <c r="G129" s="158">
        <f t="shared" si="22"/>
        <v>8499819.239999998</v>
      </c>
      <c r="H129" s="154">
        <f t="shared" si="22"/>
        <v>8414821.0476</v>
      </c>
      <c r="I129" s="154">
        <f t="shared" si="22"/>
        <v>8330672.837123999</v>
      </c>
      <c r="J129" s="154">
        <f t="shared" si="22"/>
        <v>8247366.108752759</v>
      </c>
      <c r="K129" s="154">
        <f t="shared" si="22"/>
        <v>8164892.447665231</v>
      </c>
      <c r="L129" s="154">
        <f t="shared" si="22"/>
        <v>8083243.523188579</v>
      </c>
      <c r="M129" s="154">
        <f t="shared" si="22"/>
        <v>8002411.087956693</v>
      </c>
      <c r="N129" s="154">
        <f t="shared" si="22"/>
        <v>7922386.977077126</v>
      </c>
      <c r="O129" s="154">
        <f t="shared" si="22"/>
        <v>7843163.107306355</v>
      </c>
      <c r="P129" s="154">
        <f t="shared" si="22"/>
        <v>7764731.476233291</v>
      </c>
      <c r="Q129" s="154">
        <f t="shared" si="22"/>
        <v>7687084.161470957</v>
      </c>
      <c r="R129" s="154">
        <f t="shared" si="22"/>
        <v>7610213.319856248</v>
      </c>
      <c r="S129" s="154">
        <f t="shared" si="22"/>
        <v>7534111.186657686</v>
      </c>
      <c r="T129" s="154">
        <f t="shared" si="22"/>
        <v>7458770.074791108</v>
      </c>
      <c r="U129" s="154">
        <f t="shared" si="22"/>
        <v>7384182.374043197</v>
      </c>
      <c r="V129" s="154">
        <f t="shared" si="22"/>
        <v>7310340.550302765</v>
      </c>
      <c r="W129" s="154">
        <f t="shared" si="22"/>
        <v>7237237.144799737</v>
      </c>
      <c r="X129" s="154">
        <f t="shared" si="22"/>
        <v>7164864.77335174</v>
      </c>
      <c r="Y129" s="154">
        <f t="shared" si="22"/>
        <v>7093216.125618223</v>
      </c>
      <c r="Z129" s="154">
        <f t="shared" si="22"/>
        <v>7022283.96436204</v>
      </c>
      <c r="AA129" s="154">
        <f t="shared" si="22"/>
        <v>6952061.12471842</v>
      </c>
      <c r="AB129" s="154">
        <f t="shared" si="22"/>
        <v>6882540.5134712355</v>
      </c>
      <c r="AC129" s="154">
        <f t="shared" si="22"/>
        <v>6813715.108336523</v>
      </c>
      <c r="AD129" s="154">
        <f t="shared" si="22"/>
        <v>6745577.957253158</v>
      </c>
      <c r="AE129" s="154">
        <f t="shared" si="22"/>
        <v>6678122.1776806265</v>
      </c>
      <c r="AF129" s="154">
        <f t="shared" si="22"/>
        <v>6611340.95590382</v>
      </c>
      <c r="AG129" s="154">
        <f t="shared" si="22"/>
        <v>6545227.54634478</v>
      </c>
      <c r="AH129" s="3"/>
    </row>
    <row r="130" spans="1:34" s="164" customFormat="1" ht="12.75">
      <c r="A130" s="162"/>
      <c r="B130" s="163" t="s">
        <v>130</v>
      </c>
      <c r="D130" s="164">
        <f aca="true" t="shared" si="23" ref="D130:AG130">uPPA/100*(1+uPPAEscalation)^C128</f>
        <v>0.07147420981195739</v>
      </c>
      <c r="E130" s="164">
        <f t="shared" si="23"/>
        <v>0.07147420981195739</v>
      </c>
      <c r="F130" s="164">
        <f t="shared" si="23"/>
        <v>0.07147420981195739</v>
      </c>
      <c r="G130" s="158">
        <f t="shared" si="23"/>
        <v>0.07147420981195739</v>
      </c>
      <c r="H130" s="164">
        <f t="shared" si="23"/>
        <v>0.07147420981195739</v>
      </c>
      <c r="I130" s="164">
        <f t="shared" si="23"/>
        <v>0.07147420981195739</v>
      </c>
      <c r="J130" s="164">
        <f t="shared" si="23"/>
        <v>0.07147420981195739</v>
      </c>
      <c r="K130" s="164">
        <f t="shared" si="23"/>
        <v>0.07147420981195739</v>
      </c>
      <c r="L130" s="164">
        <f t="shared" si="23"/>
        <v>0.07147420981195739</v>
      </c>
      <c r="M130" s="164">
        <f t="shared" si="23"/>
        <v>0.07147420981195739</v>
      </c>
      <c r="N130" s="164">
        <f t="shared" si="23"/>
        <v>0.07147420981195739</v>
      </c>
      <c r="O130" s="164">
        <f t="shared" si="23"/>
        <v>0.07147420981195739</v>
      </c>
      <c r="P130" s="164">
        <f t="shared" si="23"/>
        <v>0.07147420981195739</v>
      </c>
      <c r="Q130" s="164">
        <f t="shared" si="23"/>
        <v>0.07147420981195739</v>
      </c>
      <c r="R130" s="164">
        <f t="shared" si="23"/>
        <v>0.07147420981195739</v>
      </c>
      <c r="S130" s="164">
        <f t="shared" si="23"/>
        <v>0.07147420981195739</v>
      </c>
      <c r="T130" s="164">
        <f t="shared" si="23"/>
        <v>0.07147420981195739</v>
      </c>
      <c r="U130" s="164">
        <f t="shared" si="23"/>
        <v>0.07147420981195739</v>
      </c>
      <c r="V130" s="164">
        <f t="shared" si="23"/>
        <v>0.07147420981195739</v>
      </c>
      <c r="W130" s="164">
        <f t="shared" si="23"/>
        <v>0.07147420981195739</v>
      </c>
      <c r="X130" s="164">
        <f t="shared" si="23"/>
        <v>0.07147420981195739</v>
      </c>
      <c r="Y130" s="164">
        <f t="shared" si="23"/>
        <v>0.07147420981195739</v>
      </c>
      <c r="Z130" s="164">
        <f t="shared" si="23"/>
        <v>0.07147420981195739</v>
      </c>
      <c r="AA130" s="164">
        <f t="shared" si="23"/>
        <v>0.07147420981195739</v>
      </c>
      <c r="AB130" s="164">
        <f t="shared" si="23"/>
        <v>0.07147420981195739</v>
      </c>
      <c r="AC130" s="164">
        <f t="shared" si="23"/>
        <v>0.07147420981195739</v>
      </c>
      <c r="AD130" s="164">
        <f t="shared" si="23"/>
        <v>0.07147420981195739</v>
      </c>
      <c r="AE130" s="164">
        <f t="shared" si="23"/>
        <v>0.07147420981195739</v>
      </c>
      <c r="AF130" s="164">
        <f t="shared" si="23"/>
        <v>0.07147420981195739</v>
      </c>
      <c r="AG130" s="164">
        <f t="shared" si="23"/>
        <v>0.07147420981195739</v>
      </c>
      <c r="AH130" s="162"/>
    </row>
    <row r="131" spans="1:33" ht="12.75">
      <c r="A131" s="3"/>
      <c r="B131" s="151"/>
      <c r="C131" s="3"/>
      <c r="D131" s="154"/>
      <c r="E131" s="154"/>
      <c r="F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</row>
    <row r="132" spans="1:33" ht="12.75">
      <c r="A132" s="3"/>
      <c r="B132" s="152" t="s">
        <v>146</v>
      </c>
      <c r="C132" s="3"/>
      <c r="D132" s="154"/>
      <c r="E132" s="154"/>
      <c r="F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</row>
    <row r="133" spans="1:33" ht="12.75">
      <c r="A133" s="3"/>
      <c r="B133" s="156" t="s">
        <v>145</v>
      </c>
      <c r="C133" s="3"/>
      <c r="D133" s="154">
        <f>+D130*D129</f>
        <v>626114.0779527468</v>
      </c>
      <c r="E133" s="154">
        <f aca="true" t="shared" si="24" ref="E133:AG133">+E130*E129</f>
        <v>619852.9371732193</v>
      </c>
      <c r="F133" s="154">
        <f t="shared" si="24"/>
        <v>613654.407801487</v>
      </c>
      <c r="G133" s="158">
        <f t="shared" si="24"/>
        <v>607517.8637234721</v>
      </c>
      <c r="H133" s="154">
        <f t="shared" si="24"/>
        <v>601442.6850862374</v>
      </c>
      <c r="I133" s="154">
        <f t="shared" si="24"/>
        <v>595428.258235375</v>
      </c>
      <c r="J133" s="154">
        <f t="shared" si="24"/>
        <v>589473.9756530212</v>
      </c>
      <c r="K133" s="154">
        <f t="shared" si="24"/>
        <v>583579.2358964911</v>
      </c>
      <c r="L133" s="154">
        <f t="shared" si="24"/>
        <v>577743.4435375262</v>
      </c>
      <c r="M133" s="154">
        <f t="shared" si="24"/>
        <v>571966.0091021509</v>
      </c>
      <c r="N133" s="154">
        <f t="shared" si="24"/>
        <v>566246.3490111294</v>
      </c>
      <c r="O133" s="154">
        <f t="shared" si="24"/>
        <v>560583.8855210181</v>
      </c>
      <c r="P133" s="154">
        <f t="shared" si="24"/>
        <v>554978.0466658078</v>
      </c>
      <c r="Q133" s="154">
        <f t="shared" si="24"/>
        <v>549428.2661991497</v>
      </c>
      <c r="R133" s="154">
        <f t="shared" si="24"/>
        <v>543933.9835371582</v>
      </c>
      <c r="S133" s="154">
        <f t="shared" si="24"/>
        <v>538494.6437017866</v>
      </c>
      <c r="T133" s="154">
        <f t="shared" si="24"/>
        <v>533109.6972647688</v>
      </c>
      <c r="U133" s="154">
        <f t="shared" si="24"/>
        <v>527778.6002921211</v>
      </c>
      <c r="V133" s="154">
        <f t="shared" si="24"/>
        <v>522500.8142891999</v>
      </c>
      <c r="W133" s="154">
        <f t="shared" si="24"/>
        <v>517275.80614630785</v>
      </c>
      <c r="X133" s="154">
        <f t="shared" si="24"/>
        <v>512103.0480848448</v>
      </c>
      <c r="Y133" s="154">
        <f t="shared" si="24"/>
        <v>506982.0176039964</v>
      </c>
      <c r="Z133" s="154">
        <f t="shared" si="24"/>
        <v>501912.19742795633</v>
      </c>
      <c r="AA133" s="154">
        <f t="shared" si="24"/>
        <v>496893.0754536768</v>
      </c>
      <c r="AB133" s="154">
        <f t="shared" si="24"/>
        <v>491924.14469914</v>
      </c>
      <c r="AC133" s="154">
        <f t="shared" si="24"/>
        <v>487004.9032521486</v>
      </c>
      <c r="AD133" s="154">
        <f t="shared" si="24"/>
        <v>482134.85421962716</v>
      </c>
      <c r="AE133" s="154">
        <f t="shared" si="24"/>
        <v>477313.5056774309</v>
      </c>
      <c r="AF133" s="154">
        <f t="shared" si="24"/>
        <v>472540.3706206565</v>
      </c>
      <c r="AG133" s="154">
        <f t="shared" si="24"/>
        <v>467814.9669144499</v>
      </c>
    </row>
    <row r="134" spans="1:33" ht="12.75">
      <c r="A134" s="3"/>
      <c r="B134" s="150"/>
      <c r="C134" s="3"/>
      <c r="D134" s="154"/>
      <c r="E134" s="154"/>
      <c r="F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</row>
    <row r="135" spans="1:33" ht="12.75">
      <c r="A135" s="3"/>
      <c r="B135" s="150" t="s">
        <v>168</v>
      </c>
      <c r="C135" s="3"/>
      <c r="D135" s="154"/>
      <c r="E135" s="154"/>
      <c r="F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</row>
    <row r="136" spans="1:33" ht="12.75">
      <c r="A136" s="3"/>
      <c r="B136" s="156" t="s">
        <v>203</v>
      </c>
      <c r="D136" s="30">
        <f aca="true" t="shared" si="25" ref="D136:AG136">uLumpOandM*(1+uInflationRate+uLumpOandMEsc)^C128</f>
        <v>1000</v>
      </c>
      <c r="E136" s="30">
        <f t="shared" si="25"/>
        <v>1065</v>
      </c>
      <c r="F136" s="30">
        <f t="shared" si="25"/>
        <v>1134.225</v>
      </c>
      <c r="G136" s="30">
        <f t="shared" si="25"/>
        <v>1207.9496249999997</v>
      </c>
      <c r="H136" s="30">
        <f t="shared" si="25"/>
        <v>1286.4663506249997</v>
      </c>
      <c r="I136" s="30">
        <f t="shared" si="25"/>
        <v>1370.0866634156246</v>
      </c>
      <c r="J136" s="30">
        <f t="shared" si="25"/>
        <v>1459.14229653764</v>
      </c>
      <c r="K136" s="30">
        <f t="shared" si="25"/>
        <v>1553.9865458125864</v>
      </c>
      <c r="L136" s="30">
        <f t="shared" si="25"/>
        <v>1654.9956712904043</v>
      </c>
      <c r="M136" s="30">
        <f t="shared" si="25"/>
        <v>1762.5703899242806</v>
      </c>
      <c r="N136" s="30">
        <f t="shared" si="25"/>
        <v>1877.1374652693587</v>
      </c>
      <c r="O136" s="30">
        <f t="shared" si="25"/>
        <v>1999.1514005118668</v>
      </c>
      <c r="P136" s="30">
        <f t="shared" si="25"/>
        <v>2129.0962415451377</v>
      </c>
      <c r="Q136" s="30">
        <f t="shared" si="25"/>
        <v>2267.487497245572</v>
      </c>
      <c r="R136" s="30">
        <f t="shared" si="25"/>
        <v>2414.8741845665336</v>
      </c>
      <c r="S136" s="30">
        <f t="shared" si="25"/>
        <v>2571.841006563358</v>
      </c>
      <c r="T136" s="30">
        <f t="shared" si="25"/>
        <v>2739.010671989976</v>
      </c>
      <c r="U136" s="30">
        <f t="shared" si="25"/>
        <v>2917.046365669324</v>
      </c>
      <c r="V136" s="30">
        <f t="shared" si="25"/>
        <v>3106.6543794378304</v>
      </c>
      <c r="W136" s="30">
        <f t="shared" si="25"/>
        <v>3308.586914101289</v>
      </c>
      <c r="X136" s="30">
        <f t="shared" si="25"/>
        <v>3523.6450635178726</v>
      </c>
      <c r="Y136" s="30">
        <f t="shared" si="25"/>
        <v>3752.6819926465337</v>
      </c>
      <c r="Z136" s="30">
        <f t="shared" si="25"/>
        <v>3996.606322168558</v>
      </c>
      <c r="AA136" s="30">
        <f t="shared" si="25"/>
        <v>4256.385733109513</v>
      </c>
      <c r="AB136" s="30">
        <f t="shared" si="25"/>
        <v>4533.050805761632</v>
      </c>
      <c r="AC136" s="30">
        <f t="shared" si="25"/>
        <v>4827.699108136138</v>
      </c>
      <c r="AD136" s="30">
        <f t="shared" si="25"/>
        <v>5141.499550164986</v>
      </c>
      <c r="AE136" s="30">
        <f t="shared" si="25"/>
        <v>5475.69702092571</v>
      </c>
      <c r="AF136" s="30">
        <f t="shared" si="25"/>
        <v>5831.61732728588</v>
      </c>
      <c r="AG136" s="30">
        <f t="shared" si="25"/>
        <v>6210.672453559463</v>
      </c>
    </row>
    <row r="137" spans="2:33" ht="12.75">
      <c r="B137" s="156" t="s">
        <v>147</v>
      </c>
      <c r="D137" s="30">
        <f aca="true" t="shared" si="26" ref="D137:AG137">uFixedOandM*(1+uInflationRate+uFixedOandMEsc)^C128*uArraySize</f>
        <v>150000</v>
      </c>
      <c r="E137" s="154">
        <f t="shared" si="26"/>
        <v>155250</v>
      </c>
      <c r="F137" s="154">
        <f t="shared" si="26"/>
        <v>160683.74999999997</v>
      </c>
      <c r="G137" s="158">
        <f t="shared" si="26"/>
        <v>166307.68124999997</v>
      </c>
      <c r="H137" s="154">
        <f t="shared" si="26"/>
        <v>172128.45009374997</v>
      </c>
      <c r="I137" s="154">
        <f t="shared" si="26"/>
        <v>178152.94584703117</v>
      </c>
      <c r="J137" s="154">
        <f t="shared" si="26"/>
        <v>184388.29895167728</v>
      </c>
      <c r="K137" s="154">
        <f t="shared" si="26"/>
        <v>190841.88941498596</v>
      </c>
      <c r="L137" s="154">
        <f t="shared" si="26"/>
        <v>197521.35554451044</v>
      </c>
      <c r="M137" s="154">
        <f t="shared" si="26"/>
        <v>204434.60298856825</v>
      </c>
      <c r="N137" s="154">
        <f t="shared" si="26"/>
        <v>211589.81409316816</v>
      </c>
      <c r="O137" s="154">
        <f t="shared" si="26"/>
        <v>218995.45758642905</v>
      </c>
      <c r="P137" s="154">
        <f t="shared" si="26"/>
        <v>226660.29860195404</v>
      </c>
      <c r="Q137" s="154">
        <f t="shared" si="26"/>
        <v>234593.4090530224</v>
      </c>
      <c r="R137" s="154">
        <f t="shared" si="26"/>
        <v>242804.1783698782</v>
      </c>
      <c r="S137" s="154">
        <f t="shared" si="26"/>
        <v>251302.3246128239</v>
      </c>
      <c r="T137" s="154">
        <f t="shared" si="26"/>
        <v>260097.9059742727</v>
      </c>
      <c r="U137" s="154">
        <f t="shared" si="26"/>
        <v>269201.33268337225</v>
      </c>
      <c r="V137" s="154">
        <f t="shared" si="26"/>
        <v>278623.37932729017</v>
      </c>
      <c r="W137" s="154">
        <f t="shared" si="26"/>
        <v>288375.1976037453</v>
      </c>
      <c r="X137" s="154">
        <f t="shared" si="26"/>
        <v>298468.3295198764</v>
      </c>
      <c r="Y137" s="154">
        <f t="shared" si="26"/>
        <v>308914.721053072</v>
      </c>
      <c r="Z137" s="154">
        <f t="shared" si="26"/>
        <v>319726.73628992954</v>
      </c>
      <c r="AA137" s="154">
        <f t="shared" si="26"/>
        <v>330917.1720600771</v>
      </c>
      <c r="AB137" s="154">
        <f t="shared" si="26"/>
        <v>342499.27308217966</v>
      </c>
      <c r="AC137" s="154">
        <f t="shared" si="26"/>
        <v>354486.74764005595</v>
      </c>
      <c r="AD137" s="154">
        <f t="shared" si="26"/>
        <v>366893.7838074579</v>
      </c>
      <c r="AE137" s="154">
        <f t="shared" si="26"/>
        <v>379735.06624071894</v>
      </c>
      <c r="AF137" s="154">
        <f t="shared" si="26"/>
        <v>393025.79355914413</v>
      </c>
      <c r="AG137" s="154">
        <f t="shared" si="26"/>
        <v>406781.69633371406</v>
      </c>
    </row>
    <row r="138" spans="2:33" ht="12.75">
      <c r="B138" s="156" t="s">
        <v>179</v>
      </c>
      <c r="D138" s="30">
        <f aca="true" t="shared" si="27" ref="D138:AG138">uVariableOandM*(D129/1000)*(1+uInflationRate+uVariableOandMEsc)^C128</f>
        <v>876</v>
      </c>
      <c r="E138" s="30">
        <f t="shared" si="27"/>
        <v>906.2657999999999</v>
      </c>
      <c r="F138" s="30">
        <f t="shared" si="27"/>
        <v>937.5772833899998</v>
      </c>
      <c r="G138" s="182">
        <f t="shared" si="27"/>
        <v>969.9705785311243</v>
      </c>
      <c r="H138" s="30">
        <f t="shared" si="27"/>
        <v>1003.4830620193742</v>
      </c>
      <c r="I138" s="30">
        <f t="shared" si="27"/>
        <v>1038.1534018121438</v>
      </c>
      <c r="J138" s="30">
        <f t="shared" si="27"/>
        <v>1074.0216018447531</v>
      </c>
      <c r="K138" s="30">
        <f t="shared" si="27"/>
        <v>1111.1290481884894</v>
      </c>
      <c r="L138" s="30">
        <f t="shared" si="27"/>
        <v>1149.5185568034015</v>
      </c>
      <c r="M138" s="30">
        <f t="shared" si="27"/>
        <v>1189.2344229409587</v>
      </c>
      <c r="N138" s="30">
        <f t="shared" si="27"/>
        <v>1230.3224722535685</v>
      </c>
      <c r="O138" s="30">
        <f t="shared" si="27"/>
        <v>1272.8301136699292</v>
      </c>
      <c r="P138" s="30">
        <f t="shared" si="27"/>
        <v>1316.8063940972252</v>
      </c>
      <c r="Q138" s="30">
        <f t="shared" si="27"/>
        <v>1362.302055013284</v>
      </c>
      <c r="R138" s="30">
        <f t="shared" si="27"/>
        <v>1409.3695910139927</v>
      </c>
      <c r="S138" s="30">
        <f t="shared" si="27"/>
        <v>1458.0633103835264</v>
      </c>
      <c r="T138" s="30">
        <f t="shared" si="27"/>
        <v>1508.4393977572768</v>
      </c>
      <c r="U138" s="30">
        <f t="shared" si="27"/>
        <v>1560.5559789497906</v>
      </c>
      <c r="V138" s="30">
        <f t="shared" si="27"/>
        <v>1614.4731880225054</v>
      </c>
      <c r="W138" s="30">
        <f t="shared" si="27"/>
        <v>1670.2532366686828</v>
      </c>
      <c r="X138" s="30">
        <f t="shared" si="27"/>
        <v>1727.9604859955855</v>
      </c>
      <c r="Y138" s="30">
        <f t="shared" si="27"/>
        <v>1787.6615207867333</v>
      </c>
      <c r="Z138" s="30">
        <f t="shared" si="27"/>
        <v>1849.425226329914</v>
      </c>
      <c r="AA138" s="30">
        <f t="shared" si="27"/>
        <v>1913.3228678996127</v>
      </c>
      <c r="AB138" s="30">
        <f t="shared" si="27"/>
        <v>1979.4281729855436</v>
      </c>
      <c r="AC138" s="30">
        <f t="shared" si="27"/>
        <v>2047.817416362194</v>
      </c>
      <c r="AD138" s="30">
        <f t="shared" si="27"/>
        <v>2118.5695080975074</v>
      </c>
      <c r="AE138" s="30">
        <f t="shared" si="27"/>
        <v>2191.766084602277</v>
      </c>
      <c r="AF138" s="30">
        <f t="shared" si="27"/>
        <v>2267.491602825284</v>
      </c>
      <c r="AG138" s="30">
        <f t="shared" si="27"/>
        <v>2345.833437702898</v>
      </c>
    </row>
    <row r="139" spans="2:33" ht="12.75">
      <c r="B139" s="156" t="s">
        <v>180</v>
      </c>
      <c r="D139" s="30">
        <f aca="true" t="shared" si="28" ref="D139:AG139">uFuelCost*uHeatRate*(uFirstYearAnnualOutput/1000)*(1+uInflationRate+uFuelCostEsc)^C128</f>
        <v>113880</v>
      </c>
      <c r="E139" s="30">
        <f t="shared" si="28"/>
        <v>120143.4</v>
      </c>
      <c r="F139" s="30">
        <f t="shared" si="28"/>
        <v>126751.287</v>
      </c>
      <c r="G139" s="182">
        <f t="shared" si="28"/>
        <v>133722.60778499997</v>
      </c>
      <c r="H139" s="30">
        <f t="shared" si="28"/>
        <v>141077.351213175</v>
      </c>
      <c r="I139" s="30">
        <f t="shared" si="28"/>
        <v>148836.6055298996</v>
      </c>
      <c r="J139" s="30">
        <f t="shared" si="28"/>
        <v>157022.61883404406</v>
      </c>
      <c r="K139" s="30">
        <f t="shared" si="28"/>
        <v>165658.86286991648</v>
      </c>
      <c r="L139" s="30">
        <f t="shared" si="28"/>
        <v>174770.10032776187</v>
      </c>
      <c r="M139" s="30">
        <f t="shared" si="28"/>
        <v>184382.4558457888</v>
      </c>
      <c r="N139" s="30">
        <f t="shared" si="28"/>
        <v>194523.49091730718</v>
      </c>
      <c r="O139" s="30">
        <f t="shared" si="28"/>
        <v>205222.28291775903</v>
      </c>
      <c r="P139" s="30">
        <f t="shared" si="28"/>
        <v>216509.50847823577</v>
      </c>
      <c r="Q139" s="30">
        <f t="shared" si="28"/>
        <v>228417.53144453873</v>
      </c>
      <c r="R139" s="30">
        <f t="shared" si="28"/>
        <v>240980.49567398836</v>
      </c>
      <c r="S139" s="30">
        <f t="shared" si="28"/>
        <v>254234.4229360577</v>
      </c>
      <c r="T139" s="30">
        <f t="shared" si="28"/>
        <v>268217.3161975409</v>
      </c>
      <c r="U139" s="30">
        <f t="shared" si="28"/>
        <v>282969.2685884056</v>
      </c>
      <c r="V139" s="30">
        <f t="shared" si="28"/>
        <v>298532.5783607679</v>
      </c>
      <c r="W139" s="30">
        <f t="shared" si="28"/>
        <v>314951.87017061014</v>
      </c>
      <c r="X139" s="30">
        <f t="shared" si="28"/>
        <v>332274.2230299937</v>
      </c>
      <c r="Y139" s="30">
        <f t="shared" si="28"/>
        <v>350549.30529664335</v>
      </c>
      <c r="Z139" s="30">
        <f t="shared" si="28"/>
        <v>369829.5170879587</v>
      </c>
      <c r="AA139" s="30">
        <f t="shared" si="28"/>
        <v>390170.1405277964</v>
      </c>
      <c r="AB139" s="30">
        <f t="shared" si="28"/>
        <v>411629.4982568252</v>
      </c>
      <c r="AC139" s="30">
        <f t="shared" si="28"/>
        <v>434269.12066095055</v>
      </c>
      <c r="AD139" s="30">
        <f t="shared" si="28"/>
        <v>458153.92229730287</v>
      </c>
      <c r="AE139" s="30">
        <f t="shared" si="28"/>
        <v>483352.38802365446</v>
      </c>
      <c r="AF139" s="30">
        <f t="shared" si="28"/>
        <v>509936.7693649554</v>
      </c>
      <c r="AG139" s="30">
        <f t="shared" si="28"/>
        <v>537983.291680028</v>
      </c>
    </row>
    <row r="140" spans="2:33" ht="12.75">
      <c r="B140" s="156" t="s">
        <v>4</v>
      </c>
      <c r="D140" s="30">
        <f aca="true" t="shared" si="29" ref="D140:AG140">uTotalInstalledCosts*uInsurance*(1+uInflationRate)^C128</f>
        <v>26356</v>
      </c>
      <c r="E140" s="154">
        <f t="shared" si="29"/>
        <v>27014.899999999998</v>
      </c>
      <c r="F140" s="154">
        <f t="shared" si="29"/>
        <v>27690.2725</v>
      </c>
      <c r="G140" s="158">
        <f t="shared" si="29"/>
        <v>28382.529312499995</v>
      </c>
      <c r="H140" s="154">
        <f t="shared" si="29"/>
        <v>29092.092545312495</v>
      </c>
      <c r="I140" s="154">
        <f t="shared" si="29"/>
        <v>29819.394858945303</v>
      </c>
      <c r="J140" s="154">
        <f t="shared" si="29"/>
        <v>30564.879730418932</v>
      </c>
      <c r="K140" s="154">
        <f t="shared" si="29"/>
        <v>31329.00172367941</v>
      </c>
      <c r="L140" s="154">
        <f t="shared" si="29"/>
        <v>32112.22676677139</v>
      </c>
      <c r="M140" s="154">
        <f t="shared" si="29"/>
        <v>32915.03243594067</v>
      </c>
      <c r="N140" s="154">
        <f t="shared" si="29"/>
        <v>33737.908246839186</v>
      </c>
      <c r="O140" s="154">
        <f t="shared" si="29"/>
        <v>34581.35595301016</v>
      </c>
      <c r="P140" s="154">
        <f t="shared" si="29"/>
        <v>35445.88985183542</v>
      </c>
      <c r="Q140" s="154">
        <f t="shared" si="29"/>
        <v>36332.0370981313</v>
      </c>
      <c r="R140" s="154">
        <f t="shared" si="29"/>
        <v>37240.33802558458</v>
      </c>
      <c r="S140" s="154">
        <f t="shared" si="29"/>
        <v>38171.3464762242</v>
      </c>
      <c r="T140" s="154">
        <f t="shared" si="29"/>
        <v>39125.6301381298</v>
      </c>
      <c r="U140" s="154">
        <f t="shared" si="29"/>
        <v>40103.770891583044</v>
      </c>
      <c r="V140" s="154">
        <f t="shared" si="29"/>
        <v>41106.36516387262</v>
      </c>
      <c r="W140" s="154">
        <f t="shared" si="29"/>
        <v>42134.024292969436</v>
      </c>
      <c r="X140" s="154">
        <f t="shared" si="29"/>
        <v>43187.37490029367</v>
      </c>
      <c r="Y140" s="154">
        <f t="shared" si="29"/>
        <v>44267.059272801</v>
      </c>
      <c r="Z140" s="154">
        <f t="shared" si="29"/>
        <v>45373.735754621026</v>
      </c>
      <c r="AA140" s="154">
        <f t="shared" si="29"/>
        <v>46508.079148486555</v>
      </c>
      <c r="AB140" s="154">
        <f t="shared" si="29"/>
        <v>47670.781127198716</v>
      </c>
      <c r="AC140" s="154">
        <f t="shared" si="29"/>
        <v>48862.550655378676</v>
      </c>
      <c r="AD140" s="154">
        <f t="shared" si="29"/>
        <v>50084.11442176314</v>
      </c>
      <c r="AE140" s="154">
        <f t="shared" si="29"/>
        <v>51336.21728230721</v>
      </c>
      <c r="AF140" s="154">
        <f t="shared" si="29"/>
        <v>52619.62271436489</v>
      </c>
      <c r="AG140" s="154">
        <f t="shared" si="29"/>
        <v>53935.11328222402</v>
      </c>
    </row>
    <row r="141" spans="2:33" ht="12.75">
      <c r="B141" s="156" t="s">
        <v>148</v>
      </c>
      <c r="D141" s="30">
        <f aca="true" t="shared" si="30" ref="D141:AG141">uTotalInstalledCosts*uPropertyTax*(1+uInflationRate)^C128</f>
        <v>39534</v>
      </c>
      <c r="E141" s="154">
        <f t="shared" si="30"/>
        <v>40522.35</v>
      </c>
      <c r="F141" s="154">
        <f t="shared" si="30"/>
        <v>41535.408749999995</v>
      </c>
      <c r="G141" s="158">
        <f t="shared" si="30"/>
        <v>42573.79396875</v>
      </c>
      <c r="H141" s="154">
        <f t="shared" si="30"/>
        <v>43638.13881796874</v>
      </c>
      <c r="I141" s="154">
        <f t="shared" si="30"/>
        <v>44729.09228841795</v>
      </c>
      <c r="J141" s="154">
        <f t="shared" si="30"/>
        <v>45847.3195956284</v>
      </c>
      <c r="K141" s="154">
        <f t="shared" si="30"/>
        <v>46993.50258551911</v>
      </c>
      <c r="L141" s="154">
        <f t="shared" si="30"/>
        <v>48168.340150157084</v>
      </c>
      <c r="M141" s="154">
        <f t="shared" si="30"/>
        <v>49372.548653911006</v>
      </c>
      <c r="N141" s="154">
        <f t="shared" si="30"/>
        <v>50606.86237025878</v>
      </c>
      <c r="O141" s="154">
        <f t="shared" si="30"/>
        <v>51872.03392951525</v>
      </c>
      <c r="P141" s="154">
        <f t="shared" si="30"/>
        <v>53168.83477775312</v>
      </c>
      <c r="Q141" s="154">
        <f t="shared" si="30"/>
        <v>54498.055647196954</v>
      </c>
      <c r="R141" s="154">
        <f t="shared" si="30"/>
        <v>55860.50703837687</v>
      </c>
      <c r="S141" s="154">
        <f t="shared" si="30"/>
        <v>57257.019714336304</v>
      </c>
      <c r="T141" s="154">
        <f t="shared" si="30"/>
        <v>58688.4452071947</v>
      </c>
      <c r="U141" s="154">
        <f t="shared" si="30"/>
        <v>60155.65633737456</v>
      </c>
      <c r="V141" s="154">
        <f t="shared" si="30"/>
        <v>61659.54774580893</v>
      </c>
      <c r="W141" s="154">
        <f t="shared" si="30"/>
        <v>63201.036439454154</v>
      </c>
      <c r="X141" s="154">
        <f t="shared" si="30"/>
        <v>64781.0623504405</v>
      </c>
      <c r="Y141" s="154">
        <f t="shared" si="30"/>
        <v>66400.5889092015</v>
      </c>
      <c r="Z141" s="154">
        <f t="shared" si="30"/>
        <v>68060.60363193153</v>
      </c>
      <c r="AA141" s="154">
        <f t="shared" si="30"/>
        <v>69762.11872272984</v>
      </c>
      <c r="AB141" s="154">
        <f t="shared" si="30"/>
        <v>71506.17169079807</v>
      </c>
      <c r="AC141" s="154">
        <f t="shared" si="30"/>
        <v>73293.825983068</v>
      </c>
      <c r="AD141" s="154">
        <f t="shared" si="30"/>
        <v>75126.1716326447</v>
      </c>
      <c r="AE141" s="154">
        <f t="shared" si="30"/>
        <v>77004.32592346083</v>
      </c>
      <c r="AF141" s="154">
        <f t="shared" si="30"/>
        <v>78929.43407154734</v>
      </c>
      <c r="AG141" s="154">
        <f t="shared" si="30"/>
        <v>80902.66992333603</v>
      </c>
    </row>
    <row r="142" spans="2:33" ht="12.75">
      <c r="B142" s="156" t="s">
        <v>149</v>
      </c>
      <c r="D142" s="154">
        <f>SUM(D136:D141)</f>
        <v>331646</v>
      </c>
      <c r="E142" s="154">
        <f aca="true" t="shared" si="31" ref="E142:AG142">SUM(E136:E141)</f>
        <v>344901.91579999996</v>
      </c>
      <c r="F142" s="154">
        <f t="shared" si="31"/>
        <v>358732.52053339</v>
      </c>
      <c r="G142" s="154">
        <f t="shared" si="31"/>
        <v>373164.53251978103</v>
      </c>
      <c r="H142" s="154">
        <f t="shared" si="31"/>
        <v>388225.98208285053</v>
      </c>
      <c r="I142" s="154">
        <f t="shared" si="31"/>
        <v>403946.27858952177</v>
      </c>
      <c r="J142" s="154">
        <f t="shared" si="31"/>
        <v>420356.281010151</v>
      </c>
      <c r="K142" s="154">
        <f t="shared" si="31"/>
        <v>437488.37218810205</v>
      </c>
      <c r="L142" s="154">
        <f t="shared" si="31"/>
        <v>455376.5370172947</v>
      </c>
      <c r="M142" s="154">
        <f t="shared" si="31"/>
        <v>474056.44473707397</v>
      </c>
      <c r="N142" s="154">
        <f t="shared" si="31"/>
        <v>493565.53556509624</v>
      </c>
      <c r="O142" s="154">
        <f t="shared" si="31"/>
        <v>513943.11190089525</v>
      </c>
      <c r="P142" s="154">
        <f t="shared" si="31"/>
        <v>535230.4343454207</v>
      </c>
      <c r="Q142" s="154">
        <f t="shared" si="31"/>
        <v>557470.8227951482</v>
      </c>
      <c r="R142" s="154">
        <f t="shared" si="31"/>
        <v>580709.7628834086</v>
      </c>
      <c r="S142" s="154">
        <f t="shared" si="31"/>
        <v>604995.018056389</v>
      </c>
      <c r="T142" s="154">
        <f t="shared" si="31"/>
        <v>630376.7475868854</v>
      </c>
      <c r="U142" s="154">
        <f t="shared" si="31"/>
        <v>656907.6308453546</v>
      </c>
      <c r="V142" s="154">
        <f t="shared" si="31"/>
        <v>684642.9981652</v>
      </c>
      <c r="W142" s="154">
        <f t="shared" si="31"/>
        <v>713640.968657549</v>
      </c>
      <c r="X142" s="154">
        <f t="shared" si="31"/>
        <v>743962.5953501178</v>
      </c>
      <c r="Y142" s="154">
        <f t="shared" si="31"/>
        <v>775672.0180451511</v>
      </c>
      <c r="Z142" s="154">
        <f t="shared" si="31"/>
        <v>808836.6243129394</v>
      </c>
      <c r="AA142" s="154">
        <f t="shared" si="31"/>
        <v>843527.2190600991</v>
      </c>
      <c r="AB142" s="154">
        <f t="shared" si="31"/>
        <v>879818.2031357489</v>
      </c>
      <c r="AC142" s="154">
        <f t="shared" si="31"/>
        <v>917787.7614639516</v>
      </c>
      <c r="AD142" s="154">
        <f t="shared" si="31"/>
        <v>957518.0612174311</v>
      </c>
      <c r="AE142" s="154">
        <f t="shared" si="31"/>
        <v>999095.4605756695</v>
      </c>
      <c r="AF142" s="154">
        <f t="shared" si="31"/>
        <v>1042610.728640123</v>
      </c>
      <c r="AG142" s="154">
        <f t="shared" si="31"/>
        <v>1088159.2771105645</v>
      </c>
    </row>
    <row r="143" spans="2:33" ht="12.75">
      <c r="B143" s="150"/>
      <c r="D143" s="154"/>
      <c r="E143" s="154"/>
      <c r="F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>
      <c r="B144" s="150" t="s">
        <v>138</v>
      </c>
      <c r="D144" s="154">
        <f>D133-D142</f>
        <v>294468.07795274677</v>
      </c>
      <c r="E144" s="154">
        <f aca="true" t="shared" si="32" ref="E144:AG144">E133-E142</f>
        <v>274951.0213732193</v>
      </c>
      <c r="F144" s="154">
        <f t="shared" si="32"/>
        <v>254921.88726809702</v>
      </c>
      <c r="G144" s="158">
        <f t="shared" si="32"/>
        <v>234353.33120369108</v>
      </c>
      <c r="H144" s="154">
        <f t="shared" si="32"/>
        <v>213216.70300338685</v>
      </c>
      <c r="I144" s="154">
        <f t="shared" si="32"/>
        <v>191481.97964585328</v>
      </c>
      <c r="J144" s="154">
        <f t="shared" si="32"/>
        <v>169117.69464287022</v>
      </c>
      <c r="K144" s="154">
        <f t="shared" si="32"/>
        <v>146090.86370838905</v>
      </c>
      <c r="L144" s="154">
        <f t="shared" si="32"/>
        <v>122366.90652023151</v>
      </c>
      <c r="M144" s="154">
        <f t="shared" si="32"/>
        <v>97909.56436507695</v>
      </c>
      <c r="N144" s="154">
        <f t="shared" si="32"/>
        <v>72680.8134460331</v>
      </c>
      <c r="O144" s="154">
        <f t="shared" si="32"/>
        <v>46640.77362012281</v>
      </c>
      <c r="P144" s="154">
        <f t="shared" si="32"/>
        <v>19747.612320387154</v>
      </c>
      <c r="Q144" s="154">
        <f t="shared" si="32"/>
        <v>-8042.556595998583</v>
      </c>
      <c r="R144" s="154">
        <f t="shared" si="32"/>
        <v>-36775.77934625035</v>
      </c>
      <c r="S144" s="154">
        <f t="shared" si="32"/>
        <v>-66500.3743546023</v>
      </c>
      <c r="T144" s="154">
        <f t="shared" si="32"/>
        <v>-97267.05032211659</v>
      </c>
      <c r="U144" s="154">
        <f t="shared" si="32"/>
        <v>-129129.03055323358</v>
      </c>
      <c r="V144" s="154">
        <f t="shared" si="32"/>
        <v>-162142.1838760001</v>
      </c>
      <c r="W144" s="154">
        <f t="shared" si="32"/>
        <v>-196365.16251124116</v>
      </c>
      <c r="X144" s="154">
        <f t="shared" si="32"/>
        <v>-231859.547265273</v>
      </c>
      <c r="Y144" s="154">
        <f t="shared" si="32"/>
        <v>-268690.00044115476</v>
      </c>
      <c r="Z144" s="154">
        <f t="shared" si="32"/>
        <v>-306924.426884983</v>
      </c>
      <c r="AA144" s="154">
        <f t="shared" si="32"/>
        <v>-346634.1436064223</v>
      </c>
      <c r="AB144" s="154">
        <f t="shared" si="32"/>
        <v>-387894.0584366089</v>
      </c>
      <c r="AC144" s="154">
        <f t="shared" si="32"/>
        <v>-430782.85821180296</v>
      </c>
      <c r="AD144" s="154">
        <f t="shared" si="32"/>
        <v>-475383.20699780394</v>
      </c>
      <c r="AE144" s="154">
        <f t="shared" si="32"/>
        <v>-521781.95489823865</v>
      </c>
      <c r="AF144" s="154">
        <f t="shared" si="32"/>
        <v>-570070.3580194665</v>
      </c>
      <c r="AG144" s="154">
        <f t="shared" si="32"/>
        <v>-620344.3101961147</v>
      </c>
    </row>
    <row r="145" spans="2:33" ht="12.75">
      <c r="B145" s="150"/>
      <c r="D145" s="154"/>
      <c r="E145" s="154"/>
      <c r="F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>
      <c r="B146" s="150" t="s">
        <v>169</v>
      </c>
      <c r="D146" s="154"/>
      <c r="E146" s="154"/>
      <c r="F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>
      <c r="B147" s="156" t="s">
        <v>150</v>
      </c>
      <c r="C147" s="154">
        <f>uLoanAmount</f>
        <v>658900</v>
      </c>
      <c r="D147" s="154"/>
      <c r="E147" s="154"/>
      <c r="F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>
      <c r="B148" s="156" t="s">
        <v>151</v>
      </c>
      <c r="C148" s="154">
        <f>uFirstCost</f>
        <v>658900</v>
      </c>
      <c r="D148" s="154"/>
      <c r="E148" s="154"/>
      <c r="F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>
      <c r="B149" s="156" t="s">
        <v>152</v>
      </c>
      <c r="C149" s="154">
        <f>+C147+C148</f>
        <v>1317800</v>
      </c>
      <c r="D149" s="154"/>
      <c r="E149" s="154"/>
      <c r="F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>
      <c r="B150" s="150"/>
      <c r="D150" s="154"/>
      <c r="E150" s="154"/>
      <c r="F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>
      <c r="B151" s="150" t="s">
        <v>153</v>
      </c>
      <c r="C151" s="154"/>
      <c r="D151" s="154">
        <f>D144</f>
        <v>294468.07795274677</v>
      </c>
      <c r="E151" s="154">
        <f aca="true" t="shared" si="33" ref="E151:AG151">E144</f>
        <v>274951.0213732193</v>
      </c>
      <c r="F151" s="154">
        <f t="shared" si="33"/>
        <v>254921.88726809702</v>
      </c>
      <c r="G151" s="158">
        <f t="shared" si="33"/>
        <v>234353.33120369108</v>
      </c>
      <c r="H151" s="154">
        <f t="shared" si="33"/>
        <v>213216.70300338685</v>
      </c>
      <c r="I151" s="154">
        <f t="shared" si="33"/>
        <v>191481.97964585328</v>
      </c>
      <c r="J151" s="154">
        <f t="shared" si="33"/>
        <v>169117.69464287022</v>
      </c>
      <c r="K151" s="154">
        <f t="shared" si="33"/>
        <v>146090.86370838905</v>
      </c>
      <c r="L151" s="154">
        <f t="shared" si="33"/>
        <v>122366.90652023151</v>
      </c>
      <c r="M151" s="154">
        <f t="shared" si="33"/>
        <v>97909.56436507695</v>
      </c>
      <c r="N151" s="154">
        <f t="shared" si="33"/>
        <v>72680.8134460331</v>
      </c>
      <c r="O151" s="154">
        <f t="shared" si="33"/>
        <v>46640.77362012281</v>
      </c>
      <c r="P151" s="154">
        <f t="shared" si="33"/>
        <v>19747.612320387154</v>
      </c>
      <c r="Q151" s="154">
        <f t="shared" si="33"/>
        <v>-8042.556595998583</v>
      </c>
      <c r="R151" s="154">
        <f t="shared" si="33"/>
        <v>-36775.77934625035</v>
      </c>
      <c r="S151" s="154">
        <f t="shared" si="33"/>
        <v>-66500.3743546023</v>
      </c>
      <c r="T151" s="154">
        <f t="shared" si="33"/>
        <v>-97267.05032211659</v>
      </c>
      <c r="U151" s="154">
        <f t="shared" si="33"/>
        <v>-129129.03055323358</v>
      </c>
      <c r="V151" s="154">
        <f t="shared" si="33"/>
        <v>-162142.1838760001</v>
      </c>
      <c r="W151" s="154">
        <f t="shared" si="33"/>
        <v>-196365.16251124116</v>
      </c>
      <c r="X151" s="154">
        <f t="shared" si="33"/>
        <v>-231859.547265273</v>
      </c>
      <c r="Y151" s="154">
        <f t="shared" si="33"/>
        <v>-268690.00044115476</v>
      </c>
      <c r="Z151" s="154">
        <f t="shared" si="33"/>
        <v>-306924.426884983</v>
      </c>
      <c r="AA151" s="154">
        <f t="shared" si="33"/>
        <v>-346634.1436064223</v>
      </c>
      <c r="AB151" s="154">
        <f t="shared" si="33"/>
        <v>-387894.0584366089</v>
      </c>
      <c r="AC151" s="154">
        <f t="shared" si="33"/>
        <v>-430782.85821180296</v>
      </c>
      <c r="AD151" s="154">
        <f t="shared" si="33"/>
        <v>-475383.20699780394</v>
      </c>
      <c r="AE151" s="154">
        <f t="shared" si="33"/>
        <v>-521781.95489823865</v>
      </c>
      <c r="AF151" s="154">
        <f t="shared" si="33"/>
        <v>-570070.3580194665</v>
      </c>
      <c r="AG151" s="154">
        <f t="shared" si="33"/>
        <v>-620344.3101961147</v>
      </c>
    </row>
    <row r="152" spans="2:33" ht="12.75">
      <c r="B152" s="150" t="s">
        <v>154</v>
      </c>
      <c r="C152" s="154"/>
      <c r="D152" s="154">
        <f aca="true" t="shared" si="34" ref="D152:AG152">IF(D128&gt;uLoanTerm,0,-IPMT(uLoanRate,D128,uLoanTerm,uLoanAmount,0,0))</f>
        <v>39534</v>
      </c>
      <c r="E152" s="154">
        <f t="shared" si="34"/>
        <v>37835.51008979067</v>
      </c>
      <c r="F152" s="154">
        <f t="shared" si="34"/>
        <v>36035.110784968776</v>
      </c>
      <c r="G152" s="158">
        <f t="shared" si="34"/>
        <v>34126.687521857566</v>
      </c>
      <c r="H152" s="154">
        <f t="shared" si="34"/>
        <v>32103.75886295969</v>
      </c>
      <c r="I152" s="154">
        <f t="shared" si="34"/>
        <v>29959.454484527938</v>
      </c>
      <c r="J152" s="154">
        <f t="shared" si="34"/>
        <v>27686.491843390286</v>
      </c>
      <c r="K152" s="154">
        <f t="shared" si="34"/>
        <v>25277.151443784365</v>
      </c>
      <c r="L152" s="154">
        <f t="shared" si="34"/>
        <v>22723.250620202092</v>
      </c>
      <c r="M152" s="154">
        <f t="shared" si="34"/>
        <v>20016.115747204894</v>
      </c>
      <c r="N152" s="154">
        <f t="shared" si="34"/>
        <v>17146.552781827864</v>
      </c>
      <c r="O152" s="154">
        <f t="shared" si="34"/>
        <v>14104.81603852819</v>
      </c>
      <c r="P152" s="154">
        <f t="shared" si="34"/>
        <v>10880.575090630562</v>
      </c>
      <c r="Q152" s="154">
        <f t="shared" si="34"/>
        <v>7462.879685859047</v>
      </c>
      <c r="R152" s="154">
        <f t="shared" si="34"/>
        <v>3840.1225568012705</v>
      </c>
      <c r="S152" s="154">
        <f t="shared" si="34"/>
        <v>0</v>
      </c>
      <c r="T152" s="154">
        <f t="shared" si="34"/>
        <v>0</v>
      </c>
      <c r="U152" s="154">
        <f t="shared" si="34"/>
        <v>0</v>
      </c>
      <c r="V152" s="154">
        <f t="shared" si="34"/>
        <v>0</v>
      </c>
      <c r="W152" s="154">
        <f t="shared" si="34"/>
        <v>0</v>
      </c>
      <c r="X152" s="154">
        <f t="shared" si="34"/>
        <v>0</v>
      </c>
      <c r="Y152" s="154">
        <f t="shared" si="34"/>
        <v>0</v>
      </c>
      <c r="Z152" s="154">
        <f t="shared" si="34"/>
        <v>0</v>
      </c>
      <c r="AA152" s="154">
        <f t="shared" si="34"/>
        <v>0</v>
      </c>
      <c r="AB152" s="154">
        <f t="shared" si="34"/>
        <v>0</v>
      </c>
      <c r="AC152" s="154">
        <f t="shared" si="34"/>
        <v>0</v>
      </c>
      <c r="AD152" s="154">
        <f t="shared" si="34"/>
        <v>0</v>
      </c>
      <c r="AE152" s="154">
        <f t="shared" si="34"/>
        <v>0</v>
      </c>
      <c r="AF152" s="154">
        <f t="shared" si="34"/>
        <v>0</v>
      </c>
      <c r="AG152" s="154">
        <f t="shared" si="34"/>
        <v>0</v>
      </c>
    </row>
    <row r="153" spans="2:33" ht="12.75">
      <c r="B153" s="150" t="s">
        <v>155</v>
      </c>
      <c r="C153" s="154"/>
      <c r="D153" s="154">
        <f aca="true" t="shared" si="35" ref="D153:AG153">IF(D128&gt;uLoanTerm,0,-PPMT(uLoanRate,D128,uLoanTerm,uLoanAmount,0,0))</f>
        <v>28308.165170155495</v>
      </c>
      <c r="E153" s="154">
        <f t="shared" si="35"/>
        <v>30006.655080364828</v>
      </c>
      <c r="F153" s="154">
        <f t="shared" si="35"/>
        <v>31807.05438518672</v>
      </c>
      <c r="G153" s="158">
        <f t="shared" si="35"/>
        <v>33715.47764829793</v>
      </c>
      <c r="H153" s="154">
        <f t="shared" si="35"/>
        <v>35738.40630719581</v>
      </c>
      <c r="I153" s="154">
        <f t="shared" si="35"/>
        <v>37882.71068562756</v>
      </c>
      <c r="J153" s="154">
        <f t="shared" si="35"/>
        <v>40155.67332676521</v>
      </c>
      <c r="K153" s="154">
        <f t="shared" si="35"/>
        <v>42565.01372637113</v>
      </c>
      <c r="L153" s="154">
        <f t="shared" si="35"/>
        <v>45118.914549953406</v>
      </c>
      <c r="M153" s="154">
        <f t="shared" si="35"/>
        <v>47826.0494229506</v>
      </c>
      <c r="N153" s="154">
        <f t="shared" si="35"/>
        <v>50695.61238832763</v>
      </c>
      <c r="O153" s="154">
        <f t="shared" si="35"/>
        <v>53737.34913162731</v>
      </c>
      <c r="P153" s="154">
        <f t="shared" si="35"/>
        <v>56961.59007952493</v>
      </c>
      <c r="Q153" s="154">
        <f t="shared" si="35"/>
        <v>60379.285484296444</v>
      </c>
      <c r="R153" s="154">
        <f t="shared" si="35"/>
        <v>64002.04261335422</v>
      </c>
      <c r="S153" s="154">
        <f t="shared" si="35"/>
        <v>0</v>
      </c>
      <c r="T153" s="154">
        <f t="shared" si="35"/>
        <v>0</v>
      </c>
      <c r="U153" s="154">
        <f t="shared" si="35"/>
        <v>0</v>
      </c>
      <c r="V153" s="154">
        <f t="shared" si="35"/>
        <v>0</v>
      </c>
      <c r="W153" s="154">
        <f t="shared" si="35"/>
        <v>0</v>
      </c>
      <c r="X153" s="154">
        <f t="shared" si="35"/>
        <v>0</v>
      </c>
      <c r="Y153" s="154">
        <f t="shared" si="35"/>
        <v>0</v>
      </c>
      <c r="Z153" s="154">
        <f t="shared" si="35"/>
        <v>0</v>
      </c>
      <c r="AA153" s="154">
        <f t="shared" si="35"/>
        <v>0</v>
      </c>
      <c r="AB153" s="154">
        <f t="shared" si="35"/>
        <v>0</v>
      </c>
      <c r="AC153" s="154">
        <f t="shared" si="35"/>
        <v>0</v>
      </c>
      <c r="AD153" s="154">
        <f t="shared" si="35"/>
        <v>0</v>
      </c>
      <c r="AE153" s="154">
        <f t="shared" si="35"/>
        <v>0</v>
      </c>
      <c r="AF153" s="154">
        <f t="shared" si="35"/>
        <v>0</v>
      </c>
      <c r="AG153" s="154">
        <f t="shared" si="35"/>
        <v>0</v>
      </c>
    </row>
    <row r="154" spans="2:33" ht="12.75">
      <c r="B154" s="150" t="s">
        <v>156</v>
      </c>
      <c r="C154" s="154"/>
      <c r="D154" s="154">
        <f>+D152+D153</f>
        <v>67842.1651701555</v>
      </c>
      <c r="E154" s="154">
        <f aca="true" t="shared" si="36" ref="E154:AG154">+E152+E153</f>
        <v>67842.1651701555</v>
      </c>
      <c r="F154" s="154">
        <f t="shared" si="36"/>
        <v>67842.1651701555</v>
      </c>
      <c r="G154" s="158">
        <f t="shared" si="36"/>
        <v>67842.1651701555</v>
      </c>
      <c r="H154" s="154">
        <f t="shared" si="36"/>
        <v>67842.1651701555</v>
      </c>
      <c r="I154" s="154">
        <f t="shared" si="36"/>
        <v>67842.1651701555</v>
      </c>
      <c r="J154" s="154">
        <f t="shared" si="36"/>
        <v>67842.1651701555</v>
      </c>
      <c r="K154" s="154">
        <f t="shared" si="36"/>
        <v>67842.1651701555</v>
      </c>
      <c r="L154" s="154">
        <f t="shared" si="36"/>
        <v>67842.1651701555</v>
      </c>
      <c r="M154" s="154">
        <f t="shared" si="36"/>
        <v>67842.1651701555</v>
      </c>
      <c r="N154" s="154">
        <f t="shared" si="36"/>
        <v>67842.1651701555</v>
      </c>
      <c r="O154" s="154">
        <f t="shared" si="36"/>
        <v>67842.1651701555</v>
      </c>
      <c r="P154" s="154">
        <f t="shared" si="36"/>
        <v>67842.1651701555</v>
      </c>
      <c r="Q154" s="154">
        <f t="shared" si="36"/>
        <v>67842.1651701555</v>
      </c>
      <c r="R154" s="154">
        <f t="shared" si="36"/>
        <v>67842.1651701555</v>
      </c>
      <c r="S154" s="154">
        <f t="shared" si="36"/>
        <v>0</v>
      </c>
      <c r="T154" s="154">
        <f t="shared" si="36"/>
        <v>0</v>
      </c>
      <c r="U154" s="154">
        <f t="shared" si="36"/>
        <v>0</v>
      </c>
      <c r="V154" s="154">
        <f t="shared" si="36"/>
        <v>0</v>
      </c>
      <c r="W154" s="154">
        <f t="shared" si="36"/>
        <v>0</v>
      </c>
      <c r="X154" s="154">
        <f t="shared" si="36"/>
        <v>0</v>
      </c>
      <c r="Y154" s="154">
        <f t="shared" si="36"/>
        <v>0</v>
      </c>
      <c r="Z154" s="154">
        <f t="shared" si="36"/>
        <v>0</v>
      </c>
      <c r="AA154" s="154">
        <f t="shared" si="36"/>
        <v>0</v>
      </c>
      <c r="AB154" s="154">
        <f t="shared" si="36"/>
        <v>0</v>
      </c>
      <c r="AC154" s="154">
        <f t="shared" si="36"/>
        <v>0</v>
      </c>
      <c r="AD154" s="154">
        <f t="shared" si="36"/>
        <v>0</v>
      </c>
      <c r="AE154" s="154">
        <f t="shared" si="36"/>
        <v>0</v>
      </c>
      <c r="AF154" s="154">
        <f t="shared" si="36"/>
        <v>0</v>
      </c>
      <c r="AG154" s="154">
        <f t="shared" si="36"/>
        <v>0</v>
      </c>
    </row>
    <row r="155" spans="2:33" ht="12.75">
      <c r="B155" s="150"/>
      <c r="C155" s="154"/>
      <c r="D155" s="154"/>
      <c r="E155" s="154"/>
      <c r="F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>
      <c r="B156" s="150" t="s">
        <v>134</v>
      </c>
      <c r="C156" s="154"/>
      <c r="D156" s="154"/>
      <c r="E156" s="154"/>
      <c r="F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>
      <c r="B157" s="156" t="s">
        <v>138</v>
      </c>
      <c r="C157" s="154"/>
      <c r="D157" s="154">
        <f>D144</f>
        <v>294468.07795274677</v>
      </c>
      <c r="E157" s="154">
        <f aca="true" t="shared" si="37" ref="E157:AG157">E144</f>
        <v>274951.0213732193</v>
      </c>
      <c r="F157" s="154">
        <f t="shared" si="37"/>
        <v>254921.88726809702</v>
      </c>
      <c r="G157" s="158">
        <f t="shared" si="37"/>
        <v>234353.33120369108</v>
      </c>
      <c r="H157" s="154">
        <f t="shared" si="37"/>
        <v>213216.70300338685</v>
      </c>
      <c r="I157" s="154">
        <f t="shared" si="37"/>
        <v>191481.97964585328</v>
      </c>
      <c r="J157" s="154">
        <f t="shared" si="37"/>
        <v>169117.69464287022</v>
      </c>
      <c r="K157" s="154">
        <f t="shared" si="37"/>
        <v>146090.86370838905</v>
      </c>
      <c r="L157" s="154">
        <f t="shared" si="37"/>
        <v>122366.90652023151</v>
      </c>
      <c r="M157" s="154">
        <f t="shared" si="37"/>
        <v>97909.56436507695</v>
      </c>
      <c r="N157" s="154">
        <f t="shared" si="37"/>
        <v>72680.8134460331</v>
      </c>
      <c r="O157" s="154">
        <f t="shared" si="37"/>
        <v>46640.77362012281</v>
      </c>
      <c r="P157" s="154">
        <f t="shared" si="37"/>
        <v>19747.612320387154</v>
      </c>
      <c r="Q157" s="154">
        <f t="shared" si="37"/>
        <v>-8042.556595998583</v>
      </c>
      <c r="R157" s="154">
        <f t="shared" si="37"/>
        <v>-36775.77934625035</v>
      </c>
      <c r="S157" s="154">
        <f t="shared" si="37"/>
        <v>-66500.3743546023</v>
      </c>
      <c r="T157" s="154">
        <f t="shared" si="37"/>
        <v>-97267.05032211659</v>
      </c>
      <c r="U157" s="154">
        <f t="shared" si="37"/>
        <v>-129129.03055323358</v>
      </c>
      <c r="V157" s="154">
        <f t="shared" si="37"/>
        <v>-162142.1838760001</v>
      </c>
      <c r="W157" s="154">
        <f t="shared" si="37"/>
        <v>-196365.16251124116</v>
      </c>
      <c r="X157" s="154">
        <f t="shared" si="37"/>
        <v>-231859.547265273</v>
      </c>
      <c r="Y157" s="154">
        <f t="shared" si="37"/>
        <v>-268690.00044115476</v>
      </c>
      <c r="Z157" s="154">
        <f t="shared" si="37"/>
        <v>-306924.426884983</v>
      </c>
      <c r="AA157" s="154">
        <f t="shared" si="37"/>
        <v>-346634.1436064223</v>
      </c>
      <c r="AB157" s="154">
        <f t="shared" si="37"/>
        <v>-387894.0584366089</v>
      </c>
      <c r="AC157" s="154">
        <f t="shared" si="37"/>
        <v>-430782.85821180296</v>
      </c>
      <c r="AD157" s="154">
        <f t="shared" si="37"/>
        <v>-475383.20699780394</v>
      </c>
      <c r="AE157" s="154">
        <f t="shared" si="37"/>
        <v>-521781.95489823865</v>
      </c>
      <c r="AF157" s="154">
        <f t="shared" si="37"/>
        <v>-570070.3580194665</v>
      </c>
      <c r="AG157" s="154">
        <f t="shared" si="37"/>
        <v>-620344.3101961147</v>
      </c>
    </row>
    <row r="158" spans="2:33" ht="12.75">
      <c r="B158" s="157" t="s">
        <v>157</v>
      </c>
      <c r="D158" s="154">
        <f>+uFedFixed+uStateFixed+uUtilityFixed+uOtherFixed</f>
        <v>0</v>
      </c>
      <c r="E158" s="154"/>
      <c r="F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>
      <c r="B159" s="159" t="s">
        <v>158</v>
      </c>
      <c r="D159" s="154">
        <f>uFedFixed</f>
        <v>0</v>
      </c>
      <c r="E159" s="154"/>
      <c r="F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>
      <c r="B160" s="159" t="s">
        <v>159</v>
      </c>
      <c r="D160" s="154">
        <f>uStateFixed</f>
        <v>0</v>
      </c>
      <c r="E160" s="154"/>
      <c r="F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  <row r="161" spans="2:33" ht="12.75">
      <c r="B161" s="159" t="s">
        <v>160</v>
      </c>
      <c r="D161" s="154">
        <f>uUtilityFixed</f>
        <v>0</v>
      </c>
      <c r="E161" s="154"/>
      <c r="F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</row>
    <row r="162" spans="2:33" ht="12.75">
      <c r="B162" s="159" t="s">
        <v>161</v>
      </c>
      <c r="D162" s="154">
        <f>uOtherFixed</f>
        <v>0</v>
      </c>
      <c r="E162" s="154"/>
      <c r="F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</row>
    <row r="163" spans="2:33" ht="12.75">
      <c r="B163" s="157" t="s">
        <v>162</v>
      </c>
      <c r="D163" s="154">
        <f>+uFedBuyDown+uStateBuyDown+uUtilityBuyDown+uOtherBuyDown</f>
        <v>0</v>
      </c>
      <c r="E163" s="154"/>
      <c r="F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</row>
    <row r="164" spans="2:33" ht="12.75">
      <c r="B164" s="159" t="s">
        <v>104</v>
      </c>
      <c r="D164" s="154">
        <f>uFedBuyDown</f>
        <v>0</v>
      </c>
      <c r="E164" s="154"/>
      <c r="F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</row>
    <row r="165" spans="2:33" ht="12.75">
      <c r="B165" s="159" t="s">
        <v>105</v>
      </c>
      <c r="D165" s="154">
        <f>uStateBuyDown</f>
        <v>0</v>
      </c>
      <c r="E165" s="154"/>
      <c r="F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</row>
    <row r="166" spans="2:33" ht="12.75">
      <c r="B166" s="159" t="s">
        <v>106</v>
      </c>
      <c r="D166" s="154">
        <f>uUtilityBuyDown</f>
        <v>0</v>
      </c>
      <c r="E166" s="154"/>
      <c r="F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</row>
    <row r="167" spans="2:33" ht="12.75">
      <c r="B167" s="159" t="s">
        <v>107</v>
      </c>
      <c r="D167" s="154">
        <f>uOtherBuyDown</f>
        <v>0</v>
      </c>
      <c r="E167" s="154"/>
      <c r="F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</row>
    <row r="168" spans="1:33" ht="12.75">
      <c r="A168" s="155"/>
      <c r="B168" s="157" t="s">
        <v>163</v>
      </c>
      <c r="C168" s="154"/>
      <c r="D168" s="154">
        <f aca="true" t="shared" si="38" ref="D168:AG168">D113+D118+D121+D124</f>
        <v>0</v>
      </c>
      <c r="E168" s="154">
        <f t="shared" si="38"/>
        <v>0</v>
      </c>
      <c r="F168" s="154">
        <f t="shared" si="38"/>
        <v>0</v>
      </c>
      <c r="G168" s="158">
        <f t="shared" si="38"/>
        <v>0</v>
      </c>
      <c r="H168" s="154">
        <f t="shared" si="38"/>
        <v>0</v>
      </c>
      <c r="I168" s="154">
        <f t="shared" si="38"/>
        <v>0</v>
      </c>
      <c r="J168" s="154">
        <f t="shared" si="38"/>
        <v>0</v>
      </c>
      <c r="K168" s="154">
        <f t="shared" si="38"/>
        <v>0</v>
      </c>
      <c r="L168" s="154">
        <f t="shared" si="38"/>
        <v>0</v>
      </c>
      <c r="M168" s="154">
        <f t="shared" si="38"/>
        <v>0</v>
      </c>
      <c r="N168" s="154">
        <f t="shared" si="38"/>
        <v>0</v>
      </c>
      <c r="O168" s="154">
        <f t="shared" si="38"/>
        <v>0</v>
      </c>
      <c r="P168" s="154">
        <f t="shared" si="38"/>
        <v>0</v>
      </c>
      <c r="Q168" s="154">
        <f t="shared" si="38"/>
        <v>0</v>
      </c>
      <c r="R168" s="154">
        <f t="shared" si="38"/>
        <v>0</v>
      </c>
      <c r="S168" s="154">
        <f t="shared" si="38"/>
        <v>0</v>
      </c>
      <c r="T168" s="154">
        <f t="shared" si="38"/>
        <v>0</v>
      </c>
      <c r="U168" s="154">
        <f t="shared" si="38"/>
        <v>0</v>
      </c>
      <c r="V168" s="154">
        <f t="shared" si="38"/>
        <v>0</v>
      </c>
      <c r="W168" s="154">
        <f t="shared" si="38"/>
        <v>0</v>
      </c>
      <c r="X168" s="154">
        <f t="shared" si="38"/>
        <v>0</v>
      </c>
      <c r="Y168" s="154">
        <f t="shared" si="38"/>
        <v>0</v>
      </c>
      <c r="Z168" s="154">
        <f t="shared" si="38"/>
        <v>0</v>
      </c>
      <c r="AA168" s="154">
        <f t="shared" si="38"/>
        <v>0</v>
      </c>
      <c r="AB168" s="154">
        <f t="shared" si="38"/>
        <v>0</v>
      </c>
      <c r="AC168" s="154">
        <f t="shared" si="38"/>
        <v>0</v>
      </c>
      <c r="AD168" s="154">
        <f t="shared" si="38"/>
        <v>0</v>
      </c>
      <c r="AE168" s="154">
        <f t="shared" si="38"/>
        <v>0</v>
      </c>
      <c r="AF168" s="154">
        <f t="shared" si="38"/>
        <v>0</v>
      </c>
      <c r="AG168" s="154">
        <f t="shared" si="38"/>
        <v>0</v>
      </c>
    </row>
    <row r="169" spans="1:33" ht="12.75">
      <c r="A169" s="155"/>
      <c r="B169" s="159" t="s">
        <v>164</v>
      </c>
      <c r="C169" s="154"/>
      <c r="D169" s="154">
        <f>D113</f>
        <v>0</v>
      </c>
      <c r="E169" s="154">
        <f aca="true" t="shared" si="39" ref="E169:AG169">E113</f>
        <v>0</v>
      </c>
      <c r="F169" s="154">
        <f t="shared" si="39"/>
        <v>0</v>
      </c>
      <c r="G169" s="158">
        <f t="shared" si="39"/>
        <v>0</v>
      </c>
      <c r="H169" s="154">
        <f t="shared" si="39"/>
        <v>0</v>
      </c>
      <c r="I169" s="154">
        <f t="shared" si="39"/>
        <v>0</v>
      </c>
      <c r="J169" s="154">
        <f t="shared" si="39"/>
        <v>0</v>
      </c>
      <c r="K169" s="154">
        <f t="shared" si="39"/>
        <v>0</v>
      </c>
      <c r="L169" s="154">
        <f t="shared" si="39"/>
        <v>0</v>
      </c>
      <c r="M169" s="154">
        <f t="shared" si="39"/>
        <v>0</v>
      </c>
      <c r="N169" s="154">
        <f t="shared" si="39"/>
        <v>0</v>
      </c>
      <c r="O169" s="154">
        <f t="shared" si="39"/>
        <v>0</v>
      </c>
      <c r="P169" s="154">
        <f t="shared" si="39"/>
        <v>0</v>
      </c>
      <c r="Q169" s="154">
        <f t="shared" si="39"/>
        <v>0</v>
      </c>
      <c r="R169" s="154">
        <f t="shared" si="39"/>
        <v>0</v>
      </c>
      <c r="S169" s="154">
        <f t="shared" si="39"/>
        <v>0</v>
      </c>
      <c r="T169" s="154">
        <f t="shared" si="39"/>
        <v>0</v>
      </c>
      <c r="U169" s="154">
        <f t="shared" si="39"/>
        <v>0</v>
      </c>
      <c r="V169" s="154">
        <f t="shared" si="39"/>
        <v>0</v>
      </c>
      <c r="W169" s="154">
        <f t="shared" si="39"/>
        <v>0</v>
      </c>
      <c r="X169" s="154">
        <f t="shared" si="39"/>
        <v>0</v>
      </c>
      <c r="Y169" s="154">
        <f t="shared" si="39"/>
        <v>0</v>
      </c>
      <c r="Z169" s="154">
        <f t="shared" si="39"/>
        <v>0</v>
      </c>
      <c r="AA169" s="154">
        <f t="shared" si="39"/>
        <v>0</v>
      </c>
      <c r="AB169" s="154">
        <f t="shared" si="39"/>
        <v>0</v>
      </c>
      <c r="AC169" s="154">
        <f t="shared" si="39"/>
        <v>0</v>
      </c>
      <c r="AD169" s="154">
        <f t="shared" si="39"/>
        <v>0</v>
      </c>
      <c r="AE169" s="154">
        <f t="shared" si="39"/>
        <v>0</v>
      </c>
      <c r="AF169" s="154">
        <f t="shared" si="39"/>
        <v>0</v>
      </c>
      <c r="AG169" s="154">
        <f t="shared" si="39"/>
        <v>0</v>
      </c>
    </row>
    <row r="170" spans="1:33" ht="12.75">
      <c r="A170" s="155"/>
      <c r="B170" s="159" t="s">
        <v>165</v>
      </c>
      <c r="C170" s="154"/>
      <c r="D170" s="154">
        <f>D118</f>
        <v>0</v>
      </c>
      <c r="E170" s="154">
        <f aca="true" t="shared" si="40" ref="E170:AG170">E118</f>
        <v>0</v>
      </c>
      <c r="F170" s="154">
        <f t="shared" si="40"/>
        <v>0</v>
      </c>
      <c r="G170" s="158">
        <f t="shared" si="40"/>
        <v>0</v>
      </c>
      <c r="H170" s="154">
        <f t="shared" si="40"/>
        <v>0</v>
      </c>
      <c r="I170" s="154">
        <f t="shared" si="40"/>
        <v>0</v>
      </c>
      <c r="J170" s="154">
        <f t="shared" si="40"/>
        <v>0</v>
      </c>
      <c r="K170" s="154">
        <f t="shared" si="40"/>
        <v>0</v>
      </c>
      <c r="L170" s="154">
        <f t="shared" si="40"/>
        <v>0</v>
      </c>
      <c r="M170" s="154">
        <f t="shared" si="40"/>
        <v>0</v>
      </c>
      <c r="N170" s="154">
        <f t="shared" si="40"/>
        <v>0</v>
      </c>
      <c r="O170" s="154">
        <f t="shared" si="40"/>
        <v>0</v>
      </c>
      <c r="P170" s="154">
        <f t="shared" si="40"/>
        <v>0</v>
      </c>
      <c r="Q170" s="154">
        <f t="shared" si="40"/>
        <v>0</v>
      </c>
      <c r="R170" s="154">
        <f t="shared" si="40"/>
        <v>0</v>
      </c>
      <c r="S170" s="154">
        <f t="shared" si="40"/>
        <v>0</v>
      </c>
      <c r="T170" s="154">
        <f t="shared" si="40"/>
        <v>0</v>
      </c>
      <c r="U170" s="154">
        <f t="shared" si="40"/>
        <v>0</v>
      </c>
      <c r="V170" s="154">
        <f t="shared" si="40"/>
        <v>0</v>
      </c>
      <c r="W170" s="154">
        <f t="shared" si="40"/>
        <v>0</v>
      </c>
      <c r="X170" s="154">
        <f t="shared" si="40"/>
        <v>0</v>
      </c>
      <c r="Y170" s="154">
        <f t="shared" si="40"/>
        <v>0</v>
      </c>
      <c r="Z170" s="154">
        <f t="shared" si="40"/>
        <v>0</v>
      </c>
      <c r="AA170" s="154">
        <f t="shared" si="40"/>
        <v>0</v>
      </c>
      <c r="AB170" s="154">
        <f t="shared" si="40"/>
        <v>0</v>
      </c>
      <c r="AC170" s="154">
        <f t="shared" si="40"/>
        <v>0</v>
      </c>
      <c r="AD170" s="154">
        <f t="shared" si="40"/>
        <v>0</v>
      </c>
      <c r="AE170" s="154">
        <f t="shared" si="40"/>
        <v>0</v>
      </c>
      <c r="AF170" s="154">
        <f t="shared" si="40"/>
        <v>0</v>
      </c>
      <c r="AG170" s="154">
        <f t="shared" si="40"/>
        <v>0</v>
      </c>
    </row>
    <row r="171" spans="1:33" ht="12.75">
      <c r="A171" s="155"/>
      <c r="B171" s="159" t="s">
        <v>166</v>
      </c>
      <c r="C171" s="154"/>
      <c r="D171" s="154">
        <f>D121</f>
        <v>0</v>
      </c>
      <c r="E171" s="154">
        <f aca="true" t="shared" si="41" ref="E171:AG171">E121</f>
        <v>0</v>
      </c>
      <c r="F171" s="154">
        <f t="shared" si="41"/>
        <v>0</v>
      </c>
      <c r="G171" s="158">
        <f t="shared" si="41"/>
        <v>0</v>
      </c>
      <c r="H171" s="154">
        <f t="shared" si="41"/>
        <v>0</v>
      </c>
      <c r="I171" s="154">
        <f t="shared" si="41"/>
        <v>0</v>
      </c>
      <c r="J171" s="154">
        <f t="shared" si="41"/>
        <v>0</v>
      </c>
      <c r="K171" s="154">
        <f t="shared" si="41"/>
        <v>0</v>
      </c>
      <c r="L171" s="154">
        <f t="shared" si="41"/>
        <v>0</v>
      </c>
      <c r="M171" s="154">
        <f t="shared" si="41"/>
        <v>0</v>
      </c>
      <c r="N171" s="154">
        <f t="shared" si="41"/>
        <v>0</v>
      </c>
      <c r="O171" s="154">
        <f t="shared" si="41"/>
        <v>0</v>
      </c>
      <c r="P171" s="154">
        <f t="shared" si="41"/>
        <v>0</v>
      </c>
      <c r="Q171" s="154">
        <f t="shared" si="41"/>
        <v>0</v>
      </c>
      <c r="R171" s="154">
        <f t="shared" si="41"/>
        <v>0</v>
      </c>
      <c r="S171" s="154">
        <f t="shared" si="41"/>
        <v>0</v>
      </c>
      <c r="T171" s="154">
        <f t="shared" si="41"/>
        <v>0</v>
      </c>
      <c r="U171" s="154">
        <f t="shared" si="41"/>
        <v>0</v>
      </c>
      <c r="V171" s="154">
        <f t="shared" si="41"/>
        <v>0</v>
      </c>
      <c r="W171" s="154">
        <f t="shared" si="41"/>
        <v>0</v>
      </c>
      <c r="X171" s="154">
        <f t="shared" si="41"/>
        <v>0</v>
      </c>
      <c r="Y171" s="154">
        <f t="shared" si="41"/>
        <v>0</v>
      </c>
      <c r="Z171" s="154">
        <f t="shared" si="41"/>
        <v>0</v>
      </c>
      <c r="AA171" s="154">
        <f t="shared" si="41"/>
        <v>0</v>
      </c>
      <c r="AB171" s="154">
        <f t="shared" si="41"/>
        <v>0</v>
      </c>
      <c r="AC171" s="154">
        <f t="shared" si="41"/>
        <v>0</v>
      </c>
      <c r="AD171" s="154">
        <f t="shared" si="41"/>
        <v>0</v>
      </c>
      <c r="AE171" s="154">
        <f t="shared" si="41"/>
        <v>0</v>
      </c>
      <c r="AF171" s="154">
        <f t="shared" si="41"/>
        <v>0</v>
      </c>
      <c r="AG171" s="154">
        <f t="shared" si="41"/>
        <v>0</v>
      </c>
    </row>
    <row r="172" spans="1:33" ht="12.75">
      <c r="A172" s="155"/>
      <c r="B172" s="159" t="s">
        <v>167</v>
      </c>
      <c r="C172" s="154"/>
      <c r="D172" s="154">
        <f>D124</f>
        <v>0</v>
      </c>
      <c r="E172" s="154">
        <f aca="true" t="shared" si="42" ref="E172:AG172">E124</f>
        <v>0</v>
      </c>
      <c r="F172" s="154">
        <f t="shared" si="42"/>
        <v>0</v>
      </c>
      <c r="G172" s="158">
        <f t="shared" si="42"/>
        <v>0</v>
      </c>
      <c r="H172" s="154">
        <f t="shared" si="42"/>
        <v>0</v>
      </c>
      <c r="I172" s="154">
        <f t="shared" si="42"/>
        <v>0</v>
      </c>
      <c r="J172" s="154">
        <f t="shared" si="42"/>
        <v>0</v>
      </c>
      <c r="K172" s="154">
        <f t="shared" si="42"/>
        <v>0</v>
      </c>
      <c r="L172" s="154">
        <f t="shared" si="42"/>
        <v>0</v>
      </c>
      <c r="M172" s="154">
        <f t="shared" si="42"/>
        <v>0</v>
      </c>
      <c r="N172" s="154">
        <f t="shared" si="42"/>
        <v>0</v>
      </c>
      <c r="O172" s="154">
        <f t="shared" si="42"/>
        <v>0</v>
      </c>
      <c r="P172" s="154">
        <f t="shared" si="42"/>
        <v>0</v>
      </c>
      <c r="Q172" s="154">
        <f t="shared" si="42"/>
        <v>0</v>
      </c>
      <c r="R172" s="154">
        <f t="shared" si="42"/>
        <v>0</v>
      </c>
      <c r="S172" s="154">
        <f t="shared" si="42"/>
        <v>0</v>
      </c>
      <c r="T172" s="154">
        <f t="shared" si="42"/>
        <v>0</v>
      </c>
      <c r="U172" s="154">
        <f t="shared" si="42"/>
        <v>0</v>
      </c>
      <c r="V172" s="154">
        <f t="shared" si="42"/>
        <v>0</v>
      </c>
      <c r="W172" s="154">
        <f t="shared" si="42"/>
        <v>0</v>
      </c>
      <c r="X172" s="154">
        <f t="shared" si="42"/>
        <v>0</v>
      </c>
      <c r="Y172" s="154">
        <f t="shared" si="42"/>
        <v>0</v>
      </c>
      <c r="Z172" s="154">
        <f t="shared" si="42"/>
        <v>0</v>
      </c>
      <c r="AA172" s="154">
        <f t="shared" si="42"/>
        <v>0</v>
      </c>
      <c r="AB172" s="154">
        <f t="shared" si="42"/>
        <v>0</v>
      </c>
      <c r="AC172" s="154">
        <f t="shared" si="42"/>
        <v>0</v>
      </c>
      <c r="AD172" s="154">
        <f t="shared" si="42"/>
        <v>0</v>
      </c>
      <c r="AE172" s="154">
        <f t="shared" si="42"/>
        <v>0</v>
      </c>
      <c r="AF172" s="154">
        <f t="shared" si="42"/>
        <v>0</v>
      </c>
      <c r="AG172" s="154">
        <f t="shared" si="42"/>
        <v>0</v>
      </c>
    </row>
    <row r="173" spans="2:33" ht="12.75">
      <c r="B173" s="156" t="s">
        <v>36</v>
      </c>
      <c r="C173" s="154"/>
      <c r="D173" s="154">
        <f>D109</f>
        <v>461229.99999999994</v>
      </c>
      <c r="E173" s="154">
        <f aca="true" t="shared" si="43" ref="E173:AG173">E109</f>
        <v>342628</v>
      </c>
      <c r="F173" s="154">
        <f t="shared" si="43"/>
        <v>205576.8</v>
      </c>
      <c r="G173" s="158">
        <f t="shared" si="43"/>
        <v>145089.78</v>
      </c>
      <c r="H173" s="154">
        <f t="shared" si="43"/>
        <v>145089.78</v>
      </c>
      <c r="I173" s="154">
        <f t="shared" si="43"/>
        <v>18185.64</v>
      </c>
      <c r="J173" s="154">
        <f t="shared" si="43"/>
        <v>0</v>
      </c>
      <c r="K173" s="154">
        <f t="shared" si="43"/>
        <v>0</v>
      </c>
      <c r="L173" s="154">
        <f t="shared" si="43"/>
        <v>0</v>
      </c>
      <c r="M173" s="154">
        <f t="shared" si="43"/>
        <v>0</v>
      </c>
      <c r="N173" s="154">
        <f t="shared" si="43"/>
        <v>0</v>
      </c>
      <c r="O173" s="154">
        <f t="shared" si="43"/>
        <v>0</v>
      </c>
      <c r="P173" s="154">
        <f t="shared" si="43"/>
        <v>0</v>
      </c>
      <c r="Q173" s="154">
        <f t="shared" si="43"/>
        <v>0</v>
      </c>
      <c r="R173" s="154">
        <f t="shared" si="43"/>
        <v>0</v>
      </c>
      <c r="S173" s="154">
        <f t="shared" si="43"/>
        <v>0</v>
      </c>
      <c r="T173" s="154">
        <f t="shared" si="43"/>
        <v>0</v>
      </c>
      <c r="U173" s="154">
        <f t="shared" si="43"/>
        <v>0</v>
      </c>
      <c r="V173" s="154">
        <f t="shared" si="43"/>
        <v>0</v>
      </c>
      <c r="W173" s="154">
        <f t="shared" si="43"/>
        <v>0</v>
      </c>
      <c r="X173" s="154">
        <f t="shared" si="43"/>
        <v>0</v>
      </c>
      <c r="Y173" s="154">
        <f t="shared" si="43"/>
        <v>0</v>
      </c>
      <c r="Z173" s="154">
        <f t="shared" si="43"/>
        <v>0</v>
      </c>
      <c r="AA173" s="154">
        <f t="shared" si="43"/>
        <v>0</v>
      </c>
      <c r="AB173" s="154">
        <f t="shared" si="43"/>
        <v>0</v>
      </c>
      <c r="AC173" s="154">
        <f t="shared" si="43"/>
        <v>0</v>
      </c>
      <c r="AD173" s="154">
        <f t="shared" si="43"/>
        <v>0</v>
      </c>
      <c r="AE173" s="154">
        <f t="shared" si="43"/>
        <v>0</v>
      </c>
      <c r="AF173" s="154">
        <f t="shared" si="43"/>
        <v>0</v>
      </c>
      <c r="AG173" s="154">
        <f t="shared" si="43"/>
        <v>0</v>
      </c>
    </row>
    <row r="174" spans="2:33" ht="12.75">
      <c r="B174" s="156" t="s">
        <v>25</v>
      </c>
      <c r="C174" s="154"/>
      <c r="D174" s="154">
        <f>D152</f>
        <v>39534</v>
      </c>
      <c r="E174" s="154">
        <f>E152</f>
        <v>37835.51008979067</v>
      </c>
      <c r="F174" s="154">
        <f aca="true" t="shared" si="44" ref="F174:AG174">F152</f>
        <v>36035.110784968776</v>
      </c>
      <c r="G174" s="158">
        <f t="shared" si="44"/>
        <v>34126.687521857566</v>
      </c>
      <c r="H174" s="154">
        <f t="shared" si="44"/>
        <v>32103.75886295969</v>
      </c>
      <c r="I174" s="154">
        <f t="shared" si="44"/>
        <v>29959.454484527938</v>
      </c>
      <c r="J174" s="154">
        <f t="shared" si="44"/>
        <v>27686.491843390286</v>
      </c>
      <c r="K174" s="154">
        <f t="shared" si="44"/>
        <v>25277.151443784365</v>
      </c>
      <c r="L174" s="154">
        <f t="shared" si="44"/>
        <v>22723.250620202092</v>
      </c>
      <c r="M174" s="154">
        <f t="shared" si="44"/>
        <v>20016.115747204894</v>
      </c>
      <c r="N174" s="154">
        <f t="shared" si="44"/>
        <v>17146.552781827864</v>
      </c>
      <c r="O174" s="154">
        <f t="shared" si="44"/>
        <v>14104.81603852819</v>
      </c>
      <c r="P174" s="154">
        <f t="shared" si="44"/>
        <v>10880.575090630562</v>
      </c>
      <c r="Q174" s="154">
        <f t="shared" si="44"/>
        <v>7462.879685859047</v>
      </c>
      <c r="R174" s="154">
        <f t="shared" si="44"/>
        <v>3840.1225568012705</v>
      </c>
      <c r="S174" s="154">
        <f t="shared" si="44"/>
        <v>0</v>
      </c>
      <c r="T174" s="154">
        <f t="shared" si="44"/>
        <v>0</v>
      </c>
      <c r="U174" s="154">
        <f t="shared" si="44"/>
        <v>0</v>
      </c>
      <c r="V174" s="154">
        <f t="shared" si="44"/>
        <v>0</v>
      </c>
      <c r="W174" s="154">
        <f t="shared" si="44"/>
        <v>0</v>
      </c>
      <c r="X174" s="154">
        <f t="shared" si="44"/>
        <v>0</v>
      </c>
      <c r="Y174" s="154">
        <f t="shared" si="44"/>
        <v>0</v>
      </c>
      <c r="Z174" s="154">
        <f t="shared" si="44"/>
        <v>0</v>
      </c>
      <c r="AA174" s="154">
        <f t="shared" si="44"/>
        <v>0</v>
      </c>
      <c r="AB174" s="154">
        <f t="shared" si="44"/>
        <v>0</v>
      </c>
      <c r="AC174" s="154">
        <f t="shared" si="44"/>
        <v>0</v>
      </c>
      <c r="AD174" s="154">
        <f t="shared" si="44"/>
        <v>0</v>
      </c>
      <c r="AE174" s="154">
        <f t="shared" si="44"/>
        <v>0</v>
      </c>
      <c r="AF174" s="154">
        <f t="shared" si="44"/>
        <v>0</v>
      </c>
      <c r="AG174" s="154">
        <f t="shared" si="44"/>
        <v>0</v>
      </c>
    </row>
    <row r="175" spans="2:33" ht="12.75">
      <c r="B175" s="157" t="s">
        <v>75</v>
      </c>
      <c r="D175" s="154">
        <f>+F24*uTotalCapitalCost*uSalesTax</f>
        <v>52800</v>
      </c>
      <c r="E175" s="154"/>
      <c r="F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</row>
    <row r="176" spans="2:33" ht="12.75">
      <c r="B176" s="156" t="s">
        <v>137</v>
      </c>
      <c r="C176" s="154"/>
      <c r="D176" s="154">
        <f>+D157+D158+D163+D168-D173-D174-D175</f>
        <v>-259095.92204725317</v>
      </c>
      <c r="E176" s="154">
        <f aca="true" t="shared" si="45" ref="E176:AG176">+E157+E168-E173-E174</f>
        <v>-105512.48871657134</v>
      </c>
      <c r="F176" s="154">
        <f t="shared" si="45"/>
        <v>13309.97648312826</v>
      </c>
      <c r="G176" s="158">
        <f t="shared" si="45"/>
        <v>55136.863681833514</v>
      </c>
      <c r="H176" s="154">
        <f t="shared" si="45"/>
        <v>36023.164140427165</v>
      </c>
      <c r="I176" s="154">
        <f t="shared" si="45"/>
        <v>143336.88516132534</v>
      </c>
      <c r="J176" s="154">
        <f t="shared" si="45"/>
        <v>141431.20279947994</v>
      </c>
      <c r="K176" s="154">
        <f t="shared" si="45"/>
        <v>120813.71226460469</v>
      </c>
      <c r="L176" s="154">
        <f t="shared" si="45"/>
        <v>99643.65590002942</v>
      </c>
      <c r="M176" s="154">
        <f t="shared" si="45"/>
        <v>77893.44861787205</v>
      </c>
      <c r="N176" s="154">
        <f t="shared" si="45"/>
        <v>55534.26066420524</v>
      </c>
      <c r="O176" s="154">
        <f t="shared" si="45"/>
        <v>32535.957581594623</v>
      </c>
      <c r="P176" s="154">
        <f t="shared" si="45"/>
        <v>8867.037229756592</v>
      </c>
      <c r="Q176" s="154">
        <f t="shared" si="45"/>
        <v>-15505.43628185763</v>
      </c>
      <c r="R176" s="154">
        <f t="shared" si="45"/>
        <v>-40615.90190305162</v>
      </c>
      <c r="S176" s="154">
        <f t="shared" si="45"/>
        <v>-66500.3743546023</v>
      </c>
      <c r="T176" s="154">
        <f t="shared" si="45"/>
        <v>-97267.05032211659</v>
      </c>
      <c r="U176" s="154">
        <f t="shared" si="45"/>
        <v>-129129.03055323358</v>
      </c>
      <c r="V176" s="154">
        <f t="shared" si="45"/>
        <v>-162142.1838760001</v>
      </c>
      <c r="W176" s="154">
        <f t="shared" si="45"/>
        <v>-196365.16251124116</v>
      </c>
      <c r="X176" s="154">
        <f t="shared" si="45"/>
        <v>-231859.547265273</v>
      </c>
      <c r="Y176" s="154">
        <f t="shared" si="45"/>
        <v>-268690.00044115476</v>
      </c>
      <c r="Z176" s="154">
        <f t="shared" si="45"/>
        <v>-306924.426884983</v>
      </c>
      <c r="AA176" s="154">
        <f t="shared" si="45"/>
        <v>-346634.1436064223</v>
      </c>
      <c r="AB176" s="154">
        <f t="shared" si="45"/>
        <v>-387894.0584366089</v>
      </c>
      <c r="AC176" s="154">
        <f t="shared" si="45"/>
        <v>-430782.85821180296</v>
      </c>
      <c r="AD176" s="154">
        <f t="shared" si="45"/>
        <v>-475383.20699780394</v>
      </c>
      <c r="AE176" s="154">
        <f t="shared" si="45"/>
        <v>-521781.95489823865</v>
      </c>
      <c r="AF176" s="154">
        <f t="shared" si="45"/>
        <v>-570070.3580194665</v>
      </c>
      <c r="AG176" s="154">
        <f t="shared" si="45"/>
        <v>-620344.3101961147</v>
      </c>
    </row>
    <row r="177" spans="2:33" ht="12.75">
      <c r="B177" s="156" t="s">
        <v>139</v>
      </c>
      <c r="C177" s="154"/>
      <c r="D177" s="154">
        <f>IF(uFedFixedTaxableState="x",uFedFixed,0)+IF(uStateFixedTaxableState="x",uStateFixed,0)+IF(uFixedUtilityTaxableState="x",uUtilityFixed,0)+IF(uOtherFixedTaxableState="x",uOtherFixed,0)+IF(uFedBuyDownTaxableState="x",uFedBuyDown,0)+IF(uStateBuyDownTaxableState="x",uStateBuyDown,0)+IF(uUtilityBuyDownTaxableState="x",uUtilityBuyDown,0)+IF(uOtherBuyDownTaxableState="x",uOtherBuyDown,0)+D157+IF(uFedPBITaxableState="x",D113,0)+IF(uStatePBITaxableState="x",D118,0)+IF(uUtilityPBITaxableState="x",D121,0)+IF(uOtherPBITaxableState="x",D124,0)-D173-D174-D175</f>
        <v>-259095.92204725317</v>
      </c>
      <c r="E177" s="154">
        <f aca="true" t="shared" si="46" ref="E177:AG177">E157+IF(uFedPBITaxableState="x",E113,0)+IF(uStatePBITaxableState="x",E118,0)+IF(uUtilityPBITaxableState="x",E121,0)+IF(uOtherPBITaxableState="x",E124,0)-E173-E174</f>
        <v>-105512.48871657134</v>
      </c>
      <c r="F177" s="154">
        <f t="shared" si="46"/>
        <v>13309.97648312826</v>
      </c>
      <c r="G177" s="158">
        <f t="shared" si="46"/>
        <v>55136.863681833514</v>
      </c>
      <c r="H177" s="154">
        <f t="shared" si="46"/>
        <v>36023.164140427165</v>
      </c>
      <c r="I177" s="154">
        <f t="shared" si="46"/>
        <v>143336.88516132534</v>
      </c>
      <c r="J177" s="154">
        <f t="shared" si="46"/>
        <v>141431.20279947994</v>
      </c>
      <c r="K177" s="154">
        <f t="shared" si="46"/>
        <v>120813.71226460469</v>
      </c>
      <c r="L177" s="154">
        <f t="shared" si="46"/>
        <v>99643.65590002942</v>
      </c>
      <c r="M177" s="154">
        <f t="shared" si="46"/>
        <v>77893.44861787205</v>
      </c>
      <c r="N177" s="154">
        <f t="shared" si="46"/>
        <v>55534.26066420524</v>
      </c>
      <c r="O177" s="154">
        <f t="shared" si="46"/>
        <v>32535.957581594623</v>
      </c>
      <c r="P177" s="154">
        <f t="shared" si="46"/>
        <v>8867.037229756592</v>
      </c>
      <c r="Q177" s="154">
        <f t="shared" si="46"/>
        <v>-15505.43628185763</v>
      </c>
      <c r="R177" s="154">
        <f t="shared" si="46"/>
        <v>-40615.90190305162</v>
      </c>
      <c r="S177" s="154">
        <f t="shared" si="46"/>
        <v>-66500.3743546023</v>
      </c>
      <c r="T177" s="154">
        <f t="shared" si="46"/>
        <v>-97267.05032211659</v>
      </c>
      <c r="U177" s="154">
        <f t="shared" si="46"/>
        <v>-129129.03055323358</v>
      </c>
      <c r="V177" s="154">
        <f t="shared" si="46"/>
        <v>-162142.1838760001</v>
      </c>
      <c r="W177" s="154">
        <f t="shared" si="46"/>
        <v>-196365.16251124116</v>
      </c>
      <c r="X177" s="154">
        <f t="shared" si="46"/>
        <v>-231859.547265273</v>
      </c>
      <c r="Y177" s="154">
        <f t="shared" si="46"/>
        <v>-268690.00044115476</v>
      </c>
      <c r="Z177" s="154">
        <f t="shared" si="46"/>
        <v>-306924.426884983</v>
      </c>
      <c r="AA177" s="154">
        <f t="shared" si="46"/>
        <v>-346634.1436064223</v>
      </c>
      <c r="AB177" s="154">
        <f t="shared" si="46"/>
        <v>-387894.0584366089</v>
      </c>
      <c r="AC177" s="154">
        <f t="shared" si="46"/>
        <v>-430782.85821180296</v>
      </c>
      <c r="AD177" s="154">
        <f t="shared" si="46"/>
        <v>-475383.20699780394</v>
      </c>
      <c r="AE177" s="154">
        <f t="shared" si="46"/>
        <v>-521781.95489823865</v>
      </c>
      <c r="AF177" s="154">
        <f t="shared" si="46"/>
        <v>-570070.3580194665</v>
      </c>
      <c r="AG177" s="154">
        <f t="shared" si="46"/>
        <v>-620344.3101961147</v>
      </c>
    </row>
    <row r="178" spans="2:33" ht="12.75">
      <c r="B178" s="156" t="s">
        <v>140</v>
      </c>
      <c r="C178" s="154"/>
      <c r="D178" s="154">
        <f aca="true" t="shared" si="47" ref="D178:AG178">+D177*uStateTax</f>
        <v>-18136.714543307724</v>
      </c>
      <c r="E178" s="154">
        <f t="shared" si="47"/>
        <v>-7385.874210159995</v>
      </c>
      <c r="F178" s="154">
        <f t="shared" si="47"/>
        <v>931.6983538189783</v>
      </c>
      <c r="G178" s="158">
        <f t="shared" si="47"/>
        <v>3859.5804577283466</v>
      </c>
      <c r="H178" s="154">
        <f t="shared" si="47"/>
        <v>2521.6214898299017</v>
      </c>
      <c r="I178" s="154">
        <f t="shared" si="47"/>
        <v>10033.581961292775</v>
      </c>
      <c r="J178" s="154">
        <f t="shared" si="47"/>
        <v>9900.184195963597</v>
      </c>
      <c r="K178" s="154">
        <f t="shared" si="47"/>
        <v>8456.959858522328</v>
      </c>
      <c r="L178" s="154">
        <f t="shared" si="47"/>
        <v>6975.05591300206</v>
      </c>
      <c r="M178" s="154">
        <f t="shared" si="47"/>
        <v>5452.541403251044</v>
      </c>
      <c r="N178" s="154">
        <f t="shared" si="47"/>
        <v>3887.3982464943674</v>
      </c>
      <c r="O178" s="154">
        <f t="shared" si="47"/>
        <v>2277.5170307116236</v>
      </c>
      <c r="P178" s="154">
        <f t="shared" si="47"/>
        <v>620.6926060829614</v>
      </c>
      <c r="Q178" s="154">
        <f t="shared" si="47"/>
        <v>-1085.3805397300341</v>
      </c>
      <c r="R178" s="154">
        <f t="shared" si="47"/>
        <v>-2843.1131332136138</v>
      </c>
      <c r="S178" s="154">
        <f t="shared" si="47"/>
        <v>-4655.026204822162</v>
      </c>
      <c r="T178" s="154">
        <f t="shared" si="47"/>
        <v>-6808.693522548162</v>
      </c>
      <c r="U178" s="154">
        <f t="shared" si="47"/>
        <v>-9039.032138726352</v>
      </c>
      <c r="V178" s="154">
        <f t="shared" si="47"/>
        <v>-11349.952871320009</v>
      </c>
      <c r="W178" s="154">
        <f t="shared" si="47"/>
        <v>-13745.561375786881</v>
      </c>
      <c r="X178" s="154">
        <f t="shared" si="47"/>
        <v>-16230.168308569111</v>
      </c>
      <c r="Y178" s="154">
        <f t="shared" si="47"/>
        <v>-18808.300030880833</v>
      </c>
      <c r="Z178" s="154">
        <f t="shared" si="47"/>
        <v>-21484.709881948813</v>
      </c>
      <c r="AA178" s="154">
        <f t="shared" si="47"/>
        <v>-24264.390052449562</v>
      </c>
      <c r="AB178" s="154">
        <f t="shared" si="47"/>
        <v>-27152.584090562625</v>
      </c>
      <c r="AC178" s="154">
        <f t="shared" si="47"/>
        <v>-30154.80007482621</v>
      </c>
      <c r="AD178" s="154">
        <f t="shared" si="47"/>
        <v>-33276.82448984628</v>
      </c>
      <c r="AE178" s="154">
        <f t="shared" si="47"/>
        <v>-36524.73684287671</v>
      </c>
      <c r="AF178" s="154">
        <f t="shared" si="47"/>
        <v>-39904.92506136266</v>
      </c>
      <c r="AG178" s="154">
        <f t="shared" si="47"/>
        <v>-43424.101713728036</v>
      </c>
    </row>
    <row r="179" spans="2:33" ht="12.75">
      <c r="B179" s="156" t="s">
        <v>141</v>
      </c>
      <c r="C179" s="154"/>
      <c r="D179" s="154">
        <f aca="true" t="shared" si="48" ref="D179:AG179">+D117</f>
        <v>0</v>
      </c>
      <c r="E179" s="154">
        <f t="shared" si="48"/>
        <v>0</v>
      </c>
      <c r="F179" s="154">
        <f t="shared" si="48"/>
        <v>0</v>
      </c>
      <c r="G179" s="158">
        <f t="shared" si="48"/>
        <v>0</v>
      </c>
      <c r="H179" s="154">
        <f t="shared" si="48"/>
        <v>0</v>
      </c>
      <c r="I179" s="154">
        <f t="shared" si="48"/>
        <v>0</v>
      </c>
      <c r="J179" s="154">
        <f t="shared" si="48"/>
        <v>0</v>
      </c>
      <c r="K179" s="154">
        <f t="shared" si="48"/>
        <v>0</v>
      </c>
      <c r="L179" s="154">
        <f t="shared" si="48"/>
        <v>0</v>
      </c>
      <c r="M179" s="154">
        <f t="shared" si="48"/>
        <v>0</v>
      </c>
      <c r="N179" s="154">
        <f t="shared" si="48"/>
        <v>0</v>
      </c>
      <c r="O179" s="154">
        <f t="shared" si="48"/>
        <v>0</v>
      </c>
      <c r="P179" s="154">
        <f t="shared" si="48"/>
        <v>0</v>
      </c>
      <c r="Q179" s="154">
        <f t="shared" si="48"/>
        <v>0</v>
      </c>
      <c r="R179" s="154">
        <f t="shared" si="48"/>
        <v>0</v>
      </c>
      <c r="S179" s="154">
        <f t="shared" si="48"/>
        <v>0</v>
      </c>
      <c r="T179" s="154">
        <f t="shared" si="48"/>
        <v>0</v>
      </c>
      <c r="U179" s="154">
        <f t="shared" si="48"/>
        <v>0</v>
      </c>
      <c r="V179" s="154">
        <f t="shared" si="48"/>
        <v>0</v>
      </c>
      <c r="W179" s="154">
        <f t="shared" si="48"/>
        <v>0</v>
      </c>
      <c r="X179" s="154">
        <f t="shared" si="48"/>
        <v>0</v>
      </c>
      <c r="Y179" s="154">
        <f t="shared" si="48"/>
        <v>0</v>
      </c>
      <c r="Z179" s="154">
        <f t="shared" si="48"/>
        <v>0</v>
      </c>
      <c r="AA179" s="154">
        <f t="shared" si="48"/>
        <v>0</v>
      </c>
      <c r="AB179" s="154">
        <f t="shared" si="48"/>
        <v>0</v>
      </c>
      <c r="AC179" s="154">
        <f t="shared" si="48"/>
        <v>0</v>
      </c>
      <c r="AD179" s="154">
        <f t="shared" si="48"/>
        <v>0</v>
      </c>
      <c r="AE179" s="154">
        <f t="shared" si="48"/>
        <v>0</v>
      </c>
      <c r="AF179" s="154">
        <f t="shared" si="48"/>
        <v>0</v>
      </c>
      <c r="AG179" s="154">
        <f t="shared" si="48"/>
        <v>0</v>
      </c>
    </row>
    <row r="180" spans="2:33" ht="12.75">
      <c r="B180" s="157" t="s">
        <v>142</v>
      </c>
      <c r="C180" s="154"/>
      <c r="D180" s="154">
        <f>+uStateITCAmount</f>
        <v>0</v>
      </c>
      <c r="E180" s="154"/>
      <c r="F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</row>
    <row r="181" spans="2:33" ht="12.75">
      <c r="B181" s="156" t="s">
        <v>143</v>
      </c>
      <c r="C181" s="154"/>
      <c r="D181" s="154">
        <f>+D179+D180-D178</f>
        <v>18136.714543307724</v>
      </c>
      <c r="E181" s="154">
        <f aca="true" t="shared" si="49" ref="E181:AG181">+E179-E178</f>
        <v>7385.874210159995</v>
      </c>
      <c r="F181" s="154">
        <f t="shared" si="49"/>
        <v>-931.6983538189783</v>
      </c>
      <c r="G181" s="158">
        <f t="shared" si="49"/>
        <v>-3859.5804577283466</v>
      </c>
      <c r="H181" s="154">
        <f t="shared" si="49"/>
        <v>-2521.6214898299017</v>
      </c>
      <c r="I181" s="154">
        <f t="shared" si="49"/>
        <v>-10033.581961292775</v>
      </c>
      <c r="J181" s="154">
        <f t="shared" si="49"/>
        <v>-9900.184195963597</v>
      </c>
      <c r="K181" s="154">
        <f t="shared" si="49"/>
        <v>-8456.959858522328</v>
      </c>
      <c r="L181" s="154">
        <f t="shared" si="49"/>
        <v>-6975.05591300206</v>
      </c>
      <c r="M181" s="154">
        <f t="shared" si="49"/>
        <v>-5452.541403251044</v>
      </c>
      <c r="N181" s="154">
        <f t="shared" si="49"/>
        <v>-3887.3982464943674</v>
      </c>
      <c r="O181" s="154">
        <f t="shared" si="49"/>
        <v>-2277.5170307116236</v>
      </c>
      <c r="P181" s="154">
        <f t="shared" si="49"/>
        <v>-620.6926060829614</v>
      </c>
      <c r="Q181" s="154">
        <f t="shared" si="49"/>
        <v>1085.3805397300341</v>
      </c>
      <c r="R181" s="154">
        <f t="shared" si="49"/>
        <v>2843.1131332136138</v>
      </c>
      <c r="S181" s="154">
        <f t="shared" si="49"/>
        <v>4655.026204822162</v>
      </c>
      <c r="T181" s="154">
        <f t="shared" si="49"/>
        <v>6808.693522548162</v>
      </c>
      <c r="U181" s="154">
        <f t="shared" si="49"/>
        <v>9039.032138726352</v>
      </c>
      <c r="V181" s="154">
        <f t="shared" si="49"/>
        <v>11349.952871320009</v>
      </c>
      <c r="W181" s="154">
        <f t="shared" si="49"/>
        <v>13745.561375786881</v>
      </c>
      <c r="X181" s="154">
        <f t="shared" si="49"/>
        <v>16230.168308569111</v>
      </c>
      <c r="Y181" s="154">
        <f t="shared" si="49"/>
        <v>18808.300030880833</v>
      </c>
      <c r="Z181" s="154">
        <f t="shared" si="49"/>
        <v>21484.709881948813</v>
      </c>
      <c r="AA181" s="154">
        <f t="shared" si="49"/>
        <v>24264.390052449562</v>
      </c>
      <c r="AB181" s="154">
        <f t="shared" si="49"/>
        <v>27152.584090562625</v>
      </c>
      <c r="AC181" s="154">
        <f t="shared" si="49"/>
        <v>30154.80007482621</v>
      </c>
      <c r="AD181" s="154">
        <f t="shared" si="49"/>
        <v>33276.82448984628</v>
      </c>
      <c r="AE181" s="154">
        <f t="shared" si="49"/>
        <v>36524.73684287671</v>
      </c>
      <c r="AF181" s="154">
        <f t="shared" si="49"/>
        <v>39904.92506136266</v>
      </c>
      <c r="AG181" s="154">
        <f t="shared" si="49"/>
        <v>43424.101713728036</v>
      </c>
    </row>
    <row r="182" spans="2:33" ht="12.75">
      <c r="B182" s="150" t="s">
        <v>97</v>
      </c>
      <c r="C182" s="154"/>
      <c r="D182" s="154"/>
      <c r="E182" s="154"/>
      <c r="F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</row>
    <row r="183" spans="2:33" ht="12.75">
      <c r="B183" s="150" t="s">
        <v>133</v>
      </c>
      <c r="C183" s="154"/>
      <c r="D183" s="154"/>
      <c r="E183" s="154"/>
      <c r="F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</row>
    <row r="184" spans="2:33" ht="12.75">
      <c r="B184" s="156" t="s">
        <v>138</v>
      </c>
      <c r="C184" s="154"/>
      <c r="D184" s="154">
        <f>D144</f>
        <v>294468.07795274677</v>
      </c>
      <c r="E184" s="154">
        <f aca="true" t="shared" si="50" ref="E184:AG184">E144</f>
        <v>274951.0213732193</v>
      </c>
      <c r="F184" s="154">
        <f t="shared" si="50"/>
        <v>254921.88726809702</v>
      </c>
      <c r="G184" s="158">
        <f t="shared" si="50"/>
        <v>234353.33120369108</v>
      </c>
      <c r="H184" s="154">
        <f t="shared" si="50"/>
        <v>213216.70300338685</v>
      </c>
      <c r="I184" s="154">
        <f t="shared" si="50"/>
        <v>191481.97964585328</v>
      </c>
      <c r="J184" s="154">
        <f t="shared" si="50"/>
        <v>169117.69464287022</v>
      </c>
      <c r="K184" s="154">
        <f t="shared" si="50"/>
        <v>146090.86370838905</v>
      </c>
      <c r="L184" s="154">
        <f t="shared" si="50"/>
        <v>122366.90652023151</v>
      </c>
      <c r="M184" s="154">
        <f t="shared" si="50"/>
        <v>97909.56436507695</v>
      </c>
      <c r="N184" s="154">
        <f t="shared" si="50"/>
        <v>72680.8134460331</v>
      </c>
      <c r="O184" s="154">
        <f t="shared" si="50"/>
        <v>46640.77362012281</v>
      </c>
      <c r="P184" s="154">
        <f t="shared" si="50"/>
        <v>19747.612320387154</v>
      </c>
      <c r="Q184" s="154">
        <f t="shared" si="50"/>
        <v>-8042.556595998583</v>
      </c>
      <c r="R184" s="154">
        <f t="shared" si="50"/>
        <v>-36775.77934625035</v>
      </c>
      <c r="S184" s="154">
        <f t="shared" si="50"/>
        <v>-66500.3743546023</v>
      </c>
      <c r="T184" s="154">
        <f t="shared" si="50"/>
        <v>-97267.05032211659</v>
      </c>
      <c r="U184" s="154">
        <f t="shared" si="50"/>
        <v>-129129.03055323358</v>
      </c>
      <c r="V184" s="154">
        <f t="shared" si="50"/>
        <v>-162142.1838760001</v>
      </c>
      <c r="W184" s="154">
        <f t="shared" si="50"/>
        <v>-196365.16251124116</v>
      </c>
      <c r="X184" s="154">
        <f t="shared" si="50"/>
        <v>-231859.547265273</v>
      </c>
      <c r="Y184" s="154">
        <f t="shared" si="50"/>
        <v>-268690.00044115476</v>
      </c>
      <c r="Z184" s="154">
        <f t="shared" si="50"/>
        <v>-306924.426884983</v>
      </c>
      <c r="AA184" s="154">
        <f t="shared" si="50"/>
        <v>-346634.1436064223</v>
      </c>
      <c r="AB184" s="154">
        <f t="shared" si="50"/>
        <v>-387894.0584366089</v>
      </c>
      <c r="AC184" s="154">
        <f t="shared" si="50"/>
        <v>-430782.85821180296</v>
      </c>
      <c r="AD184" s="154">
        <f t="shared" si="50"/>
        <v>-475383.20699780394</v>
      </c>
      <c r="AE184" s="154">
        <f t="shared" si="50"/>
        <v>-521781.95489823865</v>
      </c>
      <c r="AF184" s="154">
        <f t="shared" si="50"/>
        <v>-570070.3580194665</v>
      </c>
      <c r="AG184" s="154">
        <f t="shared" si="50"/>
        <v>-620344.3101961147</v>
      </c>
    </row>
    <row r="185" spans="2:33" ht="12.75">
      <c r="B185" s="157" t="s">
        <v>157</v>
      </c>
      <c r="D185" s="154">
        <f>+uFedFixed+uStateFixed+uUtilityFixed+uOtherFixed</f>
        <v>0</v>
      </c>
      <c r="E185" s="154"/>
      <c r="F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</row>
    <row r="186" spans="2:33" ht="12.75">
      <c r="B186" s="159" t="s">
        <v>158</v>
      </c>
      <c r="D186" s="154">
        <f>uFedFixed</f>
        <v>0</v>
      </c>
      <c r="E186" s="154"/>
      <c r="F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</row>
    <row r="187" spans="2:33" ht="12.75">
      <c r="B187" s="159" t="s">
        <v>159</v>
      </c>
      <c r="D187" s="154">
        <f>uStateFixed</f>
        <v>0</v>
      </c>
      <c r="E187" s="154"/>
      <c r="F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</row>
    <row r="188" spans="2:33" ht="12.75">
      <c r="B188" s="159" t="s">
        <v>160</v>
      </c>
      <c r="D188" s="154">
        <f>uUtilityFixed</f>
        <v>0</v>
      </c>
      <c r="E188" s="154"/>
      <c r="F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</row>
    <row r="189" spans="2:33" ht="12.75">
      <c r="B189" s="159" t="s">
        <v>161</v>
      </c>
      <c r="D189" s="154">
        <f>uOtherFixed</f>
        <v>0</v>
      </c>
      <c r="E189" s="154"/>
      <c r="F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</row>
    <row r="190" spans="2:33" ht="12.75">
      <c r="B190" s="157" t="s">
        <v>162</v>
      </c>
      <c r="D190" s="154">
        <f>+uFedBuyDown+uStateBuyDown+uUtilityBuyDown+uOtherBuyDown</f>
        <v>0</v>
      </c>
      <c r="E190" s="154"/>
      <c r="F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</row>
    <row r="191" spans="2:33" ht="12.75">
      <c r="B191" s="159" t="s">
        <v>104</v>
      </c>
      <c r="D191" s="154">
        <f>uFedBuyDown</f>
        <v>0</v>
      </c>
      <c r="E191" s="154"/>
      <c r="F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</row>
    <row r="192" spans="2:33" ht="12.75">
      <c r="B192" s="159" t="s">
        <v>105</v>
      </c>
      <c r="D192" s="154">
        <f>uStateBuyDown</f>
        <v>0</v>
      </c>
      <c r="E192" s="154"/>
      <c r="F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</row>
    <row r="193" spans="2:33" ht="12.75">
      <c r="B193" s="159" t="s">
        <v>106</v>
      </c>
      <c r="D193" s="154">
        <f>uUtilityBuyDown</f>
        <v>0</v>
      </c>
      <c r="E193" s="154"/>
      <c r="F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</row>
    <row r="194" spans="2:33" ht="12.75">
      <c r="B194" s="159" t="s">
        <v>107</v>
      </c>
      <c r="D194" s="154">
        <f>uOtherBuyDown</f>
        <v>0</v>
      </c>
      <c r="E194" s="154"/>
      <c r="F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</row>
    <row r="195" spans="2:33" ht="12.75">
      <c r="B195" s="157" t="s">
        <v>163</v>
      </c>
      <c r="C195" s="154"/>
      <c r="D195" s="154">
        <f aca="true" t="shared" si="51" ref="D195:AG195">D113+D118+D121+D124</f>
        <v>0</v>
      </c>
      <c r="E195" s="154">
        <f t="shared" si="51"/>
        <v>0</v>
      </c>
      <c r="F195" s="154">
        <f t="shared" si="51"/>
        <v>0</v>
      </c>
      <c r="G195" s="158">
        <f t="shared" si="51"/>
        <v>0</v>
      </c>
      <c r="H195" s="154">
        <f t="shared" si="51"/>
        <v>0</v>
      </c>
      <c r="I195" s="154">
        <f t="shared" si="51"/>
        <v>0</v>
      </c>
      <c r="J195" s="154">
        <f t="shared" si="51"/>
        <v>0</v>
      </c>
      <c r="K195" s="154">
        <f t="shared" si="51"/>
        <v>0</v>
      </c>
      <c r="L195" s="154">
        <f t="shared" si="51"/>
        <v>0</v>
      </c>
      <c r="M195" s="154">
        <f t="shared" si="51"/>
        <v>0</v>
      </c>
      <c r="N195" s="154">
        <f t="shared" si="51"/>
        <v>0</v>
      </c>
      <c r="O195" s="154">
        <f t="shared" si="51"/>
        <v>0</v>
      </c>
      <c r="P195" s="154">
        <f t="shared" si="51"/>
        <v>0</v>
      </c>
      <c r="Q195" s="154">
        <f t="shared" si="51"/>
        <v>0</v>
      </c>
      <c r="R195" s="154">
        <f t="shared" si="51"/>
        <v>0</v>
      </c>
      <c r="S195" s="154">
        <f t="shared" si="51"/>
        <v>0</v>
      </c>
      <c r="T195" s="154">
        <f t="shared" si="51"/>
        <v>0</v>
      </c>
      <c r="U195" s="154">
        <f t="shared" si="51"/>
        <v>0</v>
      </c>
      <c r="V195" s="154">
        <f t="shared" si="51"/>
        <v>0</v>
      </c>
      <c r="W195" s="154">
        <f t="shared" si="51"/>
        <v>0</v>
      </c>
      <c r="X195" s="154">
        <f t="shared" si="51"/>
        <v>0</v>
      </c>
      <c r="Y195" s="154">
        <f t="shared" si="51"/>
        <v>0</v>
      </c>
      <c r="Z195" s="154">
        <f t="shared" si="51"/>
        <v>0</v>
      </c>
      <c r="AA195" s="154">
        <f t="shared" si="51"/>
        <v>0</v>
      </c>
      <c r="AB195" s="154">
        <f t="shared" si="51"/>
        <v>0</v>
      </c>
      <c r="AC195" s="154">
        <f t="shared" si="51"/>
        <v>0</v>
      </c>
      <c r="AD195" s="154">
        <f t="shared" si="51"/>
        <v>0</v>
      </c>
      <c r="AE195" s="154">
        <f t="shared" si="51"/>
        <v>0</v>
      </c>
      <c r="AF195" s="154">
        <f t="shared" si="51"/>
        <v>0</v>
      </c>
      <c r="AG195" s="154">
        <f t="shared" si="51"/>
        <v>0</v>
      </c>
    </row>
    <row r="196" spans="2:33" ht="12.75">
      <c r="B196" s="159" t="s">
        <v>164</v>
      </c>
      <c r="C196" s="154"/>
      <c r="D196" s="154">
        <f>D113</f>
        <v>0</v>
      </c>
      <c r="E196" s="154">
        <f aca="true" t="shared" si="52" ref="E196:AG196">E113</f>
        <v>0</v>
      </c>
      <c r="F196" s="154">
        <f t="shared" si="52"/>
        <v>0</v>
      </c>
      <c r="G196" s="158">
        <f t="shared" si="52"/>
        <v>0</v>
      </c>
      <c r="H196" s="154">
        <f t="shared" si="52"/>
        <v>0</v>
      </c>
      <c r="I196" s="154">
        <f t="shared" si="52"/>
        <v>0</v>
      </c>
      <c r="J196" s="154">
        <f t="shared" si="52"/>
        <v>0</v>
      </c>
      <c r="K196" s="154">
        <f t="shared" si="52"/>
        <v>0</v>
      </c>
      <c r="L196" s="154">
        <f t="shared" si="52"/>
        <v>0</v>
      </c>
      <c r="M196" s="154">
        <f t="shared" si="52"/>
        <v>0</v>
      </c>
      <c r="N196" s="154">
        <f t="shared" si="52"/>
        <v>0</v>
      </c>
      <c r="O196" s="154">
        <f t="shared" si="52"/>
        <v>0</v>
      </c>
      <c r="P196" s="154">
        <f t="shared" si="52"/>
        <v>0</v>
      </c>
      <c r="Q196" s="154">
        <f t="shared" si="52"/>
        <v>0</v>
      </c>
      <c r="R196" s="154">
        <f t="shared" si="52"/>
        <v>0</v>
      </c>
      <c r="S196" s="154">
        <f t="shared" si="52"/>
        <v>0</v>
      </c>
      <c r="T196" s="154">
        <f t="shared" si="52"/>
        <v>0</v>
      </c>
      <c r="U196" s="154">
        <f t="shared" si="52"/>
        <v>0</v>
      </c>
      <c r="V196" s="154">
        <f t="shared" si="52"/>
        <v>0</v>
      </c>
      <c r="W196" s="154">
        <f t="shared" si="52"/>
        <v>0</v>
      </c>
      <c r="X196" s="154">
        <f t="shared" si="52"/>
        <v>0</v>
      </c>
      <c r="Y196" s="154">
        <f t="shared" si="52"/>
        <v>0</v>
      </c>
      <c r="Z196" s="154">
        <f t="shared" si="52"/>
        <v>0</v>
      </c>
      <c r="AA196" s="154">
        <f t="shared" si="52"/>
        <v>0</v>
      </c>
      <c r="AB196" s="154">
        <f t="shared" si="52"/>
        <v>0</v>
      </c>
      <c r="AC196" s="154">
        <f t="shared" si="52"/>
        <v>0</v>
      </c>
      <c r="AD196" s="154">
        <f t="shared" si="52"/>
        <v>0</v>
      </c>
      <c r="AE196" s="154">
        <f t="shared" si="52"/>
        <v>0</v>
      </c>
      <c r="AF196" s="154">
        <f t="shared" si="52"/>
        <v>0</v>
      </c>
      <c r="AG196" s="154">
        <f t="shared" si="52"/>
        <v>0</v>
      </c>
    </row>
    <row r="197" spans="2:33" ht="12.75">
      <c r="B197" s="159" t="s">
        <v>165</v>
      </c>
      <c r="C197" s="154"/>
      <c r="D197" s="154">
        <f>D118</f>
        <v>0</v>
      </c>
      <c r="E197" s="154">
        <f aca="true" t="shared" si="53" ref="E197:AG197">E118</f>
        <v>0</v>
      </c>
      <c r="F197" s="154">
        <f t="shared" si="53"/>
        <v>0</v>
      </c>
      <c r="G197" s="158">
        <f t="shared" si="53"/>
        <v>0</v>
      </c>
      <c r="H197" s="154">
        <f t="shared" si="53"/>
        <v>0</v>
      </c>
      <c r="I197" s="154">
        <f t="shared" si="53"/>
        <v>0</v>
      </c>
      <c r="J197" s="154">
        <f t="shared" si="53"/>
        <v>0</v>
      </c>
      <c r="K197" s="154">
        <f t="shared" si="53"/>
        <v>0</v>
      </c>
      <c r="L197" s="154">
        <f t="shared" si="53"/>
        <v>0</v>
      </c>
      <c r="M197" s="154">
        <f t="shared" si="53"/>
        <v>0</v>
      </c>
      <c r="N197" s="154">
        <f t="shared" si="53"/>
        <v>0</v>
      </c>
      <c r="O197" s="154">
        <f t="shared" si="53"/>
        <v>0</v>
      </c>
      <c r="P197" s="154">
        <f t="shared" si="53"/>
        <v>0</v>
      </c>
      <c r="Q197" s="154">
        <f t="shared" si="53"/>
        <v>0</v>
      </c>
      <c r="R197" s="154">
        <f t="shared" si="53"/>
        <v>0</v>
      </c>
      <c r="S197" s="154">
        <f t="shared" si="53"/>
        <v>0</v>
      </c>
      <c r="T197" s="154">
        <f t="shared" si="53"/>
        <v>0</v>
      </c>
      <c r="U197" s="154">
        <f t="shared" si="53"/>
        <v>0</v>
      </c>
      <c r="V197" s="154">
        <f t="shared" si="53"/>
        <v>0</v>
      </c>
      <c r="W197" s="154">
        <f t="shared" si="53"/>
        <v>0</v>
      </c>
      <c r="X197" s="154">
        <f t="shared" si="53"/>
        <v>0</v>
      </c>
      <c r="Y197" s="154">
        <f t="shared" si="53"/>
        <v>0</v>
      </c>
      <c r="Z197" s="154">
        <f t="shared" si="53"/>
        <v>0</v>
      </c>
      <c r="AA197" s="154">
        <f t="shared" si="53"/>
        <v>0</v>
      </c>
      <c r="AB197" s="154">
        <f t="shared" si="53"/>
        <v>0</v>
      </c>
      <c r="AC197" s="154">
        <f t="shared" si="53"/>
        <v>0</v>
      </c>
      <c r="AD197" s="154">
        <f t="shared" si="53"/>
        <v>0</v>
      </c>
      <c r="AE197" s="154">
        <f t="shared" si="53"/>
        <v>0</v>
      </c>
      <c r="AF197" s="154">
        <f t="shared" si="53"/>
        <v>0</v>
      </c>
      <c r="AG197" s="154">
        <f t="shared" si="53"/>
        <v>0</v>
      </c>
    </row>
    <row r="198" spans="2:33" ht="12.75">
      <c r="B198" s="159" t="s">
        <v>166</v>
      </c>
      <c r="C198" s="154"/>
      <c r="D198" s="154">
        <f>D121</f>
        <v>0</v>
      </c>
      <c r="E198" s="154">
        <f aca="true" t="shared" si="54" ref="E198:AG198">E121</f>
        <v>0</v>
      </c>
      <c r="F198" s="154">
        <f t="shared" si="54"/>
        <v>0</v>
      </c>
      <c r="G198" s="158">
        <f t="shared" si="54"/>
        <v>0</v>
      </c>
      <c r="H198" s="154">
        <f t="shared" si="54"/>
        <v>0</v>
      </c>
      <c r="I198" s="154">
        <f t="shared" si="54"/>
        <v>0</v>
      </c>
      <c r="J198" s="154">
        <f t="shared" si="54"/>
        <v>0</v>
      </c>
      <c r="K198" s="154">
        <f t="shared" si="54"/>
        <v>0</v>
      </c>
      <c r="L198" s="154">
        <f t="shared" si="54"/>
        <v>0</v>
      </c>
      <c r="M198" s="154">
        <f t="shared" si="54"/>
        <v>0</v>
      </c>
      <c r="N198" s="154">
        <f t="shared" si="54"/>
        <v>0</v>
      </c>
      <c r="O198" s="154">
        <f t="shared" si="54"/>
        <v>0</v>
      </c>
      <c r="P198" s="154">
        <f t="shared" si="54"/>
        <v>0</v>
      </c>
      <c r="Q198" s="154">
        <f t="shared" si="54"/>
        <v>0</v>
      </c>
      <c r="R198" s="154">
        <f t="shared" si="54"/>
        <v>0</v>
      </c>
      <c r="S198" s="154">
        <f t="shared" si="54"/>
        <v>0</v>
      </c>
      <c r="T198" s="154">
        <f t="shared" si="54"/>
        <v>0</v>
      </c>
      <c r="U198" s="154">
        <f t="shared" si="54"/>
        <v>0</v>
      </c>
      <c r="V198" s="154">
        <f t="shared" si="54"/>
        <v>0</v>
      </c>
      <c r="W198" s="154">
        <f t="shared" si="54"/>
        <v>0</v>
      </c>
      <c r="X198" s="154">
        <f t="shared" si="54"/>
        <v>0</v>
      </c>
      <c r="Y198" s="154">
        <f t="shared" si="54"/>
        <v>0</v>
      </c>
      <c r="Z198" s="154">
        <f t="shared" si="54"/>
        <v>0</v>
      </c>
      <c r="AA198" s="154">
        <f t="shared" si="54"/>
        <v>0</v>
      </c>
      <c r="AB198" s="154">
        <f t="shared" si="54"/>
        <v>0</v>
      </c>
      <c r="AC198" s="154">
        <f t="shared" si="54"/>
        <v>0</v>
      </c>
      <c r="AD198" s="154">
        <f t="shared" si="54"/>
        <v>0</v>
      </c>
      <c r="AE198" s="154">
        <f t="shared" si="54"/>
        <v>0</v>
      </c>
      <c r="AF198" s="154">
        <f t="shared" si="54"/>
        <v>0</v>
      </c>
      <c r="AG198" s="154">
        <f t="shared" si="54"/>
        <v>0</v>
      </c>
    </row>
    <row r="199" spans="2:33" ht="12.75">
      <c r="B199" s="159" t="s">
        <v>167</v>
      </c>
      <c r="C199" s="154"/>
      <c r="D199" s="154">
        <f>D124</f>
        <v>0</v>
      </c>
      <c r="E199" s="154">
        <f aca="true" t="shared" si="55" ref="E199:AG199">E124</f>
        <v>0</v>
      </c>
      <c r="F199" s="154">
        <f t="shared" si="55"/>
        <v>0</v>
      </c>
      <c r="G199" s="158">
        <f t="shared" si="55"/>
        <v>0</v>
      </c>
      <c r="H199" s="154">
        <f t="shared" si="55"/>
        <v>0</v>
      </c>
      <c r="I199" s="154">
        <f t="shared" si="55"/>
        <v>0</v>
      </c>
      <c r="J199" s="154">
        <f t="shared" si="55"/>
        <v>0</v>
      </c>
      <c r="K199" s="154">
        <f t="shared" si="55"/>
        <v>0</v>
      </c>
      <c r="L199" s="154">
        <f t="shared" si="55"/>
        <v>0</v>
      </c>
      <c r="M199" s="154">
        <f t="shared" si="55"/>
        <v>0</v>
      </c>
      <c r="N199" s="154">
        <f t="shared" si="55"/>
        <v>0</v>
      </c>
      <c r="O199" s="154">
        <f t="shared" si="55"/>
        <v>0</v>
      </c>
      <c r="P199" s="154">
        <f t="shared" si="55"/>
        <v>0</v>
      </c>
      <c r="Q199" s="154">
        <f t="shared" si="55"/>
        <v>0</v>
      </c>
      <c r="R199" s="154">
        <f t="shared" si="55"/>
        <v>0</v>
      </c>
      <c r="S199" s="154">
        <f t="shared" si="55"/>
        <v>0</v>
      </c>
      <c r="T199" s="154">
        <f t="shared" si="55"/>
        <v>0</v>
      </c>
      <c r="U199" s="154">
        <f t="shared" si="55"/>
        <v>0</v>
      </c>
      <c r="V199" s="154">
        <f t="shared" si="55"/>
        <v>0</v>
      </c>
      <c r="W199" s="154">
        <f t="shared" si="55"/>
        <v>0</v>
      </c>
      <c r="X199" s="154">
        <f t="shared" si="55"/>
        <v>0</v>
      </c>
      <c r="Y199" s="154">
        <f t="shared" si="55"/>
        <v>0</v>
      </c>
      <c r="Z199" s="154">
        <f t="shared" si="55"/>
        <v>0</v>
      </c>
      <c r="AA199" s="154">
        <f t="shared" si="55"/>
        <v>0</v>
      </c>
      <c r="AB199" s="154">
        <f t="shared" si="55"/>
        <v>0</v>
      </c>
      <c r="AC199" s="154">
        <f t="shared" si="55"/>
        <v>0</v>
      </c>
      <c r="AD199" s="154">
        <f t="shared" si="55"/>
        <v>0</v>
      </c>
      <c r="AE199" s="154">
        <f t="shared" si="55"/>
        <v>0</v>
      </c>
      <c r="AF199" s="154">
        <f t="shared" si="55"/>
        <v>0</v>
      </c>
      <c r="AG199" s="154">
        <f t="shared" si="55"/>
        <v>0</v>
      </c>
    </row>
    <row r="200" spans="2:33" ht="12.75">
      <c r="B200" s="156" t="s">
        <v>36</v>
      </c>
      <c r="C200" s="154"/>
      <c r="D200" s="154">
        <f>D108</f>
        <v>461229.99999999994</v>
      </c>
      <c r="E200" s="154">
        <f aca="true" t="shared" si="56" ref="E200:AG200">E108</f>
        <v>342628</v>
      </c>
      <c r="F200" s="154">
        <f t="shared" si="56"/>
        <v>205576.8</v>
      </c>
      <c r="G200" s="158">
        <f t="shared" si="56"/>
        <v>145089.78</v>
      </c>
      <c r="H200" s="154">
        <f t="shared" si="56"/>
        <v>145089.78</v>
      </c>
      <c r="I200" s="154">
        <f t="shared" si="56"/>
        <v>18185.64</v>
      </c>
      <c r="J200" s="154">
        <f t="shared" si="56"/>
        <v>0</v>
      </c>
      <c r="K200" s="154">
        <f t="shared" si="56"/>
        <v>0</v>
      </c>
      <c r="L200" s="154">
        <f t="shared" si="56"/>
        <v>0</v>
      </c>
      <c r="M200" s="154">
        <f t="shared" si="56"/>
        <v>0</v>
      </c>
      <c r="N200" s="154">
        <f t="shared" si="56"/>
        <v>0</v>
      </c>
      <c r="O200" s="154">
        <f t="shared" si="56"/>
        <v>0</v>
      </c>
      <c r="P200" s="154">
        <f t="shared" si="56"/>
        <v>0</v>
      </c>
      <c r="Q200" s="154">
        <f t="shared" si="56"/>
        <v>0</v>
      </c>
      <c r="R200" s="154">
        <f t="shared" si="56"/>
        <v>0</v>
      </c>
      <c r="S200" s="154">
        <f t="shared" si="56"/>
        <v>0</v>
      </c>
      <c r="T200" s="154">
        <f t="shared" si="56"/>
        <v>0</v>
      </c>
      <c r="U200" s="154">
        <f t="shared" si="56"/>
        <v>0</v>
      </c>
      <c r="V200" s="154">
        <f t="shared" si="56"/>
        <v>0</v>
      </c>
      <c r="W200" s="154">
        <f t="shared" si="56"/>
        <v>0</v>
      </c>
      <c r="X200" s="154">
        <f t="shared" si="56"/>
        <v>0</v>
      </c>
      <c r="Y200" s="154">
        <f t="shared" si="56"/>
        <v>0</v>
      </c>
      <c r="Z200" s="154">
        <f t="shared" si="56"/>
        <v>0</v>
      </c>
      <c r="AA200" s="154">
        <f t="shared" si="56"/>
        <v>0</v>
      </c>
      <c r="AB200" s="154">
        <f t="shared" si="56"/>
        <v>0</v>
      </c>
      <c r="AC200" s="154">
        <f t="shared" si="56"/>
        <v>0</v>
      </c>
      <c r="AD200" s="154">
        <f t="shared" si="56"/>
        <v>0</v>
      </c>
      <c r="AE200" s="154">
        <f t="shared" si="56"/>
        <v>0</v>
      </c>
      <c r="AF200" s="154">
        <f t="shared" si="56"/>
        <v>0</v>
      </c>
      <c r="AG200" s="154">
        <f t="shared" si="56"/>
        <v>0</v>
      </c>
    </row>
    <row r="201" spans="2:33" ht="12.75">
      <c r="B201" s="156" t="s">
        <v>25</v>
      </c>
      <c r="C201" s="154"/>
      <c r="D201" s="154">
        <f>D152</f>
        <v>39534</v>
      </c>
      <c r="E201" s="154">
        <f aca="true" t="shared" si="57" ref="E201:AG201">E152</f>
        <v>37835.51008979067</v>
      </c>
      <c r="F201" s="154">
        <f t="shared" si="57"/>
        <v>36035.110784968776</v>
      </c>
      <c r="G201" s="158">
        <f t="shared" si="57"/>
        <v>34126.687521857566</v>
      </c>
      <c r="H201" s="154">
        <f t="shared" si="57"/>
        <v>32103.75886295969</v>
      </c>
      <c r="I201" s="154">
        <f t="shared" si="57"/>
        <v>29959.454484527938</v>
      </c>
      <c r="J201" s="154">
        <f t="shared" si="57"/>
        <v>27686.491843390286</v>
      </c>
      <c r="K201" s="154">
        <f t="shared" si="57"/>
        <v>25277.151443784365</v>
      </c>
      <c r="L201" s="154">
        <f t="shared" si="57"/>
        <v>22723.250620202092</v>
      </c>
      <c r="M201" s="154">
        <f t="shared" si="57"/>
        <v>20016.115747204894</v>
      </c>
      <c r="N201" s="154">
        <f t="shared" si="57"/>
        <v>17146.552781827864</v>
      </c>
      <c r="O201" s="154">
        <f t="shared" si="57"/>
        <v>14104.81603852819</v>
      </c>
      <c r="P201" s="154">
        <f t="shared" si="57"/>
        <v>10880.575090630562</v>
      </c>
      <c r="Q201" s="154">
        <f t="shared" si="57"/>
        <v>7462.879685859047</v>
      </c>
      <c r="R201" s="154">
        <f t="shared" si="57"/>
        <v>3840.1225568012705</v>
      </c>
      <c r="S201" s="154">
        <f t="shared" si="57"/>
        <v>0</v>
      </c>
      <c r="T201" s="154">
        <f t="shared" si="57"/>
        <v>0</v>
      </c>
      <c r="U201" s="154">
        <f t="shared" si="57"/>
        <v>0</v>
      </c>
      <c r="V201" s="154">
        <f t="shared" si="57"/>
        <v>0</v>
      </c>
      <c r="W201" s="154">
        <f t="shared" si="57"/>
        <v>0</v>
      </c>
      <c r="X201" s="154">
        <f t="shared" si="57"/>
        <v>0</v>
      </c>
      <c r="Y201" s="154">
        <f t="shared" si="57"/>
        <v>0</v>
      </c>
      <c r="Z201" s="154">
        <f t="shared" si="57"/>
        <v>0</v>
      </c>
      <c r="AA201" s="154">
        <f t="shared" si="57"/>
        <v>0</v>
      </c>
      <c r="AB201" s="154">
        <f t="shared" si="57"/>
        <v>0</v>
      </c>
      <c r="AC201" s="154">
        <f t="shared" si="57"/>
        <v>0</v>
      </c>
      <c r="AD201" s="154">
        <f t="shared" si="57"/>
        <v>0</v>
      </c>
      <c r="AE201" s="154">
        <f t="shared" si="57"/>
        <v>0</v>
      </c>
      <c r="AF201" s="154">
        <f t="shared" si="57"/>
        <v>0</v>
      </c>
      <c r="AG201" s="154">
        <f t="shared" si="57"/>
        <v>0</v>
      </c>
    </row>
    <row r="202" spans="2:33" ht="12.75">
      <c r="B202" s="157" t="s">
        <v>75</v>
      </c>
      <c r="D202" s="154">
        <f>+F24*uTotalCapitalCost*uSalesTax</f>
        <v>52800</v>
      </c>
      <c r="E202" s="154"/>
      <c r="F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</row>
    <row r="203" spans="2:33" ht="12.75">
      <c r="B203" s="156" t="s">
        <v>144</v>
      </c>
      <c r="C203" s="154"/>
      <c r="D203" s="154">
        <f>D181</f>
        <v>18136.714543307724</v>
      </c>
      <c r="E203" s="154">
        <f aca="true" t="shared" si="58" ref="E203:AG203">E181</f>
        <v>7385.874210159995</v>
      </c>
      <c r="F203" s="154">
        <f t="shared" si="58"/>
        <v>-931.6983538189783</v>
      </c>
      <c r="G203" s="158">
        <f t="shared" si="58"/>
        <v>-3859.5804577283466</v>
      </c>
      <c r="H203" s="154">
        <f t="shared" si="58"/>
        <v>-2521.6214898299017</v>
      </c>
      <c r="I203" s="154">
        <f t="shared" si="58"/>
        <v>-10033.581961292775</v>
      </c>
      <c r="J203" s="154">
        <f t="shared" si="58"/>
        <v>-9900.184195963597</v>
      </c>
      <c r="K203" s="154">
        <f t="shared" si="58"/>
        <v>-8456.959858522328</v>
      </c>
      <c r="L203" s="154">
        <f t="shared" si="58"/>
        <v>-6975.05591300206</v>
      </c>
      <c r="M203" s="154">
        <f t="shared" si="58"/>
        <v>-5452.541403251044</v>
      </c>
      <c r="N203" s="154">
        <f t="shared" si="58"/>
        <v>-3887.3982464943674</v>
      </c>
      <c r="O203" s="154">
        <f t="shared" si="58"/>
        <v>-2277.5170307116236</v>
      </c>
      <c r="P203" s="154">
        <f t="shared" si="58"/>
        <v>-620.6926060829614</v>
      </c>
      <c r="Q203" s="154">
        <f t="shared" si="58"/>
        <v>1085.3805397300341</v>
      </c>
      <c r="R203" s="154">
        <f t="shared" si="58"/>
        <v>2843.1131332136138</v>
      </c>
      <c r="S203" s="154">
        <f t="shared" si="58"/>
        <v>4655.026204822162</v>
      </c>
      <c r="T203" s="154">
        <f t="shared" si="58"/>
        <v>6808.693522548162</v>
      </c>
      <c r="U203" s="154">
        <f t="shared" si="58"/>
        <v>9039.032138726352</v>
      </c>
      <c r="V203" s="154">
        <f t="shared" si="58"/>
        <v>11349.952871320009</v>
      </c>
      <c r="W203" s="154">
        <f t="shared" si="58"/>
        <v>13745.561375786881</v>
      </c>
      <c r="X203" s="154">
        <f t="shared" si="58"/>
        <v>16230.168308569111</v>
      </c>
      <c r="Y203" s="154">
        <f t="shared" si="58"/>
        <v>18808.300030880833</v>
      </c>
      <c r="Z203" s="154">
        <f t="shared" si="58"/>
        <v>21484.709881948813</v>
      </c>
      <c r="AA203" s="154">
        <f t="shared" si="58"/>
        <v>24264.390052449562</v>
      </c>
      <c r="AB203" s="154">
        <f t="shared" si="58"/>
        <v>27152.584090562625</v>
      </c>
      <c r="AC203" s="154">
        <f t="shared" si="58"/>
        <v>30154.80007482621</v>
      </c>
      <c r="AD203" s="154">
        <f t="shared" si="58"/>
        <v>33276.82448984628</v>
      </c>
      <c r="AE203" s="154">
        <f t="shared" si="58"/>
        <v>36524.73684287671</v>
      </c>
      <c r="AF203" s="154">
        <f t="shared" si="58"/>
        <v>39904.92506136266</v>
      </c>
      <c r="AG203" s="154">
        <f t="shared" si="58"/>
        <v>43424.101713728036</v>
      </c>
    </row>
    <row r="204" spans="2:33" ht="12.75">
      <c r="B204" s="156" t="s">
        <v>137</v>
      </c>
      <c r="C204" s="154"/>
      <c r="D204" s="154">
        <f>D184+D185+D195-D200-D201+D203-D202+D190</f>
        <v>-240959.20750394545</v>
      </c>
      <c r="E204" s="154">
        <f aca="true" t="shared" si="59" ref="E204:AG204">E184+E195-E200-E201+E203</f>
        <v>-98126.61450641135</v>
      </c>
      <c r="F204" s="154">
        <f t="shared" si="59"/>
        <v>12378.278129309281</v>
      </c>
      <c r="G204" s="158">
        <f t="shared" si="59"/>
        <v>51277.283224105166</v>
      </c>
      <c r="H204" s="154">
        <f t="shared" si="59"/>
        <v>33501.542650597265</v>
      </c>
      <c r="I204" s="154">
        <f t="shared" si="59"/>
        <v>133303.30320003256</v>
      </c>
      <c r="J204" s="154">
        <f t="shared" si="59"/>
        <v>131531.01860351634</v>
      </c>
      <c r="K204" s="154">
        <f t="shared" si="59"/>
        <v>112356.75240608236</v>
      </c>
      <c r="L204" s="154">
        <f t="shared" si="59"/>
        <v>92668.59998702737</v>
      </c>
      <c r="M204" s="154">
        <f t="shared" si="59"/>
        <v>72440.90721462101</v>
      </c>
      <c r="N204" s="154">
        <f t="shared" si="59"/>
        <v>51646.86241771087</v>
      </c>
      <c r="O204" s="154">
        <f t="shared" si="59"/>
        <v>30258.440550883</v>
      </c>
      <c r="P204" s="154">
        <f t="shared" si="59"/>
        <v>8246.34462367363</v>
      </c>
      <c r="Q204" s="154">
        <f t="shared" si="59"/>
        <v>-14420.055742127595</v>
      </c>
      <c r="R204" s="154">
        <f t="shared" si="59"/>
        <v>-37772.78876983801</v>
      </c>
      <c r="S204" s="154">
        <f t="shared" si="59"/>
        <v>-61845.34814978014</v>
      </c>
      <c r="T204" s="154">
        <f t="shared" si="59"/>
        <v>-90458.35679956843</v>
      </c>
      <c r="U204" s="154">
        <f t="shared" si="59"/>
        <v>-120089.99841450722</v>
      </c>
      <c r="V204" s="154">
        <f t="shared" si="59"/>
        <v>-150792.2310046801</v>
      </c>
      <c r="W204" s="154">
        <f t="shared" si="59"/>
        <v>-182619.6011354543</v>
      </c>
      <c r="X204" s="154">
        <f t="shared" si="59"/>
        <v>-215629.37895670388</v>
      </c>
      <c r="Y204" s="154">
        <f t="shared" si="59"/>
        <v>-249881.70041027392</v>
      </c>
      <c r="Z204" s="154">
        <f t="shared" si="59"/>
        <v>-285439.7170030342</v>
      </c>
      <c r="AA204" s="154">
        <f t="shared" si="59"/>
        <v>-322369.75355397275</v>
      </c>
      <c r="AB204" s="154">
        <f t="shared" si="59"/>
        <v>-360741.4743460462</v>
      </c>
      <c r="AC204" s="154">
        <f t="shared" si="59"/>
        <v>-400628.05813697673</v>
      </c>
      <c r="AD204" s="154">
        <f t="shared" si="59"/>
        <v>-442106.38250795763</v>
      </c>
      <c r="AE204" s="154">
        <f t="shared" si="59"/>
        <v>-485257.21805536194</v>
      </c>
      <c r="AF204" s="154">
        <f t="shared" si="59"/>
        <v>-530165.4329581038</v>
      </c>
      <c r="AG204" s="154">
        <f t="shared" si="59"/>
        <v>-576920.2084823867</v>
      </c>
    </row>
    <row r="205" spans="2:33" ht="12.75">
      <c r="B205" s="156" t="s">
        <v>139</v>
      </c>
      <c r="C205" s="154"/>
      <c r="D205" s="154">
        <f>IF(uFedFixedTaxableFed="x",uFedFixed,0)+IF(uStateFixedTaxalbeFed="x",uStateFixed,0)+IF(uFixedUtilityTaxableFed="x",uUtilityFixed,0)+IF(uOtherFixedTaxableFed="x",uOtherFixed,0)+IF(uFedBuyDownTaxableFed="x",uFedBuyDown,0)+IF(uStateBuyDownTaxableFed="x",uStateBuyDown,0)+IF(uUtilityBuyDownTaxableFed="x",uUtilityBuyDown,0)+IF(uOtherBuyDownTaxableFed="x",uOtherBuyDown,0)+D184+IF(uFedPBITaxalbeFed="x",D113,0)+IF(uStatePBITaxableFed="x",D118,0)+IF(uUtilityPBITaxableFed="x",D121,0)+IF(uOtherPBITaxableFed="x",D124,0)-D200-D201-D202+D203</f>
        <v>-240959.20750394545</v>
      </c>
      <c r="E205" s="154">
        <f aca="true" t="shared" si="60" ref="E205:AG205">+E184+IF(uFedPBITaxalbeFed="x",E113,0)+IF(uStatePBITaxableFed="x",E118,0)+IF(uUtilityPBITaxableFed="x",E121,0)+IF(uOtherPBITaxableFed="x",E124,0)-E200-E201+E203</f>
        <v>-98126.61450641135</v>
      </c>
      <c r="F205" s="154">
        <f t="shared" si="60"/>
        <v>12378.278129309281</v>
      </c>
      <c r="G205" s="158">
        <f t="shared" si="60"/>
        <v>51277.283224105166</v>
      </c>
      <c r="H205" s="154">
        <f t="shared" si="60"/>
        <v>33501.542650597265</v>
      </c>
      <c r="I205" s="154">
        <f t="shared" si="60"/>
        <v>133303.30320003256</v>
      </c>
      <c r="J205" s="154">
        <f t="shared" si="60"/>
        <v>131531.01860351634</v>
      </c>
      <c r="K205" s="154">
        <f t="shared" si="60"/>
        <v>112356.75240608236</v>
      </c>
      <c r="L205" s="154">
        <f t="shared" si="60"/>
        <v>92668.59998702737</v>
      </c>
      <c r="M205" s="154">
        <f t="shared" si="60"/>
        <v>72440.90721462101</v>
      </c>
      <c r="N205" s="154">
        <f t="shared" si="60"/>
        <v>51646.86241771087</v>
      </c>
      <c r="O205" s="154">
        <f t="shared" si="60"/>
        <v>30258.440550883</v>
      </c>
      <c r="P205" s="154">
        <f t="shared" si="60"/>
        <v>8246.34462367363</v>
      </c>
      <c r="Q205" s="154">
        <f t="shared" si="60"/>
        <v>-14420.055742127595</v>
      </c>
      <c r="R205" s="154">
        <f t="shared" si="60"/>
        <v>-37772.78876983801</v>
      </c>
      <c r="S205" s="154">
        <f t="shared" si="60"/>
        <v>-61845.34814978014</v>
      </c>
      <c r="T205" s="154">
        <f t="shared" si="60"/>
        <v>-90458.35679956843</v>
      </c>
      <c r="U205" s="154">
        <f t="shared" si="60"/>
        <v>-120089.99841450722</v>
      </c>
      <c r="V205" s="154">
        <f t="shared" si="60"/>
        <v>-150792.2310046801</v>
      </c>
      <c r="W205" s="154">
        <f t="shared" si="60"/>
        <v>-182619.6011354543</v>
      </c>
      <c r="X205" s="154">
        <f t="shared" si="60"/>
        <v>-215629.37895670388</v>
      </c>
      <c r="Y205" s="154">
        <f t="shared" si="60"/>
        <v>-249881.70041027392</v>
      </c>
      <c r="Z205" s="154">
        <f t="shared" si="60"/>
        <v>-285439.7170030342</v>
      </c>
      <c r="AA205" s="154">
        <f t="shared" si="60"/>
        <v>-322369.75355397275</v>
      </c>
      <c r="AB205" s="154">
        <f t="shared" si="60"/>
        <v>-360741.4743460462</v>
      </c>
      <c r="AC205" s="154">
        <f t="shared" si="60"/>
        <v>-400628.05813697673</v>
      </c>
      <c r="AD205" s="154">
        <f t="shared" si="60"/>
        <v>-442106.38250795763</v>
      </c>
      <c r="AE205" s="154">
        <f t="shared" si="60"/>
        <v>-485257.21805536194</v>
      </c>
      <c r="AF205" s="154">
        <f t="shared" si="60"/>
        <v>-530165.4329581038</v>
      </c>
      <c r="AG205" s="154">
        <f t="shared" si="60"/>
        <v>-576920.2084823867</v>
      </c>
    </row>
    <row r="206" spans="2:33" ht="12.75">
      <c r="B206" s="156" t="s">
        <v>140</v>
      </c>
      <c r="C206" s="154"/>
      <c r="D206" s="154">
        <f aca="true" t="shared" si="61" ref="D206:AG206">+D205*uFederalTax</f>
        <v>-67468.57810110474</v>
      </c>
      <c r="E206" s="154">
        <f t="shared" si="61"/>
        <v>-27475.452061795182</v>
      </c>
      <c r="F206" s="154">
        <f t="shared" si="61"/>
        <v>3465.917876206599</v>
      </c>
      <c r="G206" s="158">
        <f t="shared" si="61"/>
        <v>14357.639302749447</v>
      </c>
      <c r="H206" s="154">
        <f t="shared" si="61"/>
        <v>9380.431942167235</v>
      </c>
      <c r="I206" s="154">
        <f t="shared" si="61"/>
        <v>37324.92489600912</v>
      </c>
      <c r="J206" s="154">
        <f t="shared" si="61"/>
        <v>36828.68520898458</v>
      </c>
      <c r="K206" s="154">
        <f t="shared" si="61"/>
        <v>31459.890673703067</v>
      </c>
      <c r="L206" s="154">
        <f t="shared" si="61"/>
        <v>25947.207996367666</v>
      </c>
      <c r="M206" s="154">
        <f t="shared" si="61"/>
        <v>20283.454020093883</v>
      </c>
      <c r="N206" s="154">
        <f t="shared" si="61"/>
        <v>14461.121476959046</v>
      </c>
      <c r="O206" s="154">
        <f t="shared" si="61"/>
        <v>8472.36335424724</v>
      </c>
      <c r="P206" s="154">
        <f t="shared" si="61"/>
        <v>2308.976494628617</v>
      </c>
      <c r="Q206" s="154">
        <f t="shared" si="61"/>
        <v>-4037.615607795727</v>
      </c>
      <c r="R206" s="154">
        <f t="shared" si="61"/>
        <v>-10576.380855554644</v>
      </c>
      <c r="S206" s="154">
        <f t="shared" si="61"/>
        <v>-17316.69748193844</v>
      </c>
      <c r="T206" s="154">
        <f t="shared" si="61"/>
        <v>-25328.33990387916</v>
      </c>
      <c r="U206" s="154">
        <f t="shared" si="61"/>
        <v>-33625.19955606203</v>
      </c>
      <c r="V206" s="154">
        <f t="shared" si="61"/>
        <v>-42221.824681310434</v>
      </c>
      <c r="W206" s="154">
        <f t="shared" si="61"/>
        <v>-51133.48831792721</v>
      </c>
      <c r="X206" s="154">
        <f t="shared" si="61"/>
        <v>-60376.22610787709</v>
      </c>
      <c r="Y206" s="154">
        <f t="shared" si="61"/>
        <v>-69966.87611487671</v>
      </c>
      <c r="Z206" s="154">
        <f t="shared" si="61"/>
        <v>-79923.12076084958</v>
      </c>
      <c r="AA206" s="154">
        <f t="shared" si="61"/>
        <v>-90263.53099511238</v>
      </c>
      <c r="AB206" s="154">
        <f t="shared" si="61"/>
        <v>-101007.61281689296</v>
      </c>
      <c r="AC206" s="154">
        <f t="shared" si="61"/>
        <v>-112175.8562783535</v>
      </c>
      <c r="AD206" s="154">
        <f t="shared" si="61"/>
        <v>-123789.78710222815</v>
      </c>
      <c r="AE206" s="154">
        <f t="shared" si="61"/>
        <v>-135872.02105550136</v>
      </c>
      <c r="AF206" s="154">
        <f t="shared" si="61"/>
        <v>-148446.32122826908</v>
      </c>
      <c r="AG206" s="154">
        <f t="shared" si="61"/>
        <v>-161537.65837506828</v>
      </c>
    </row>
    <row r="207" spans="2:33" ht="12.75">
      <c r="B207" s="156" t="s">
        <v>141</v>
      </c>
      <c r="C207" s="154"/>
      <c r="D207" s="154">
        <f>D112</f>
        <v>0</v>
      </c>
      <c r="E207" s="154">
        <f aca="true" t="shared" si="62" ref="E207:AG207">E112</f>
        <v>0</v>
      </c>
      <c r="F207" s="154">
        <f t="shared" si="62"/>
        <v>0</v>
      </c>
      <c r="G207" s="158">
        <f t="shared" si="62"/>
        <v>0</v>
      </c>
      <c r="H207" s="154">
        <f t="shared" si="62"/>
        <v>0</v>
      </c>
      <c r="I207" s="154">
        <f t="shared" si="62"/>
        <v>0</v>
      </c>
      <c r="J207" s="154">
        <f t="shared" si="62"/>
        <v>0</v>
      </c>
      <c r="K207" s="154">
        <f t="shared" si="62"/>
        <v>0</v>
      </c>
      <c r="L207" s="154">
        <f t="shared" si="62"/>
        <v>0</v>
      </c>
      <c r="M207" s="154">
        <f t="shared" si="62"/>
        <v>0</v>
      </c>
      <c r="N207" s="154">
        <f t="shared" si="62"/>
        <v>0</v>
      </c>
      <c r="O207" s="154">
        <f t="shared" si="62"/>
        <v>0</v>
      </c>
      <c r="P207" s="154">
        <f t="shared" si="62"/>
        <v>0</v>
      </c>
      <c r="Q207" s="154">
        <f t="shared" si="62"/>
        <v>0</v>
      </c>
      <c r="R207" s="154">
        <f t="shared" si="62"/>
        <v>0</v>
      </c>
      <c r="S207" s="154">
        <f t="shared" si="62"/>
        <v>0</v>
      </c>
      <c r="T207" s="154">
        <f t="shared" si="62"/>
        <v>0</v>
      </c>
      <c r="U207" s="154">
        <f t="shared" si="62"/>
        <v>0</v>
      </c>
      <c r="V207" s="154">
        <f t="shared" si="62"/>
        <v>0</v>
      </c>
      <c r="W207" s="154">
        <f t="shared" si="62"/>
        <v>0</v>
      </c>
      <c r="X207" s="154">
        <f t="shared" si="62"/>
        <v>0</v>
      </c>
      <c r="Y207" s="154">
        <f t="shared" si="62"/>
        <v>0</v>
      </c>
      <c r="Z207" s="154">
        <f t="shared" si="62"/>
        <v>0</v>
      </c>
      <c r="AA207" s="154">
        <f t="shared" si="62"/>
        <v>0</v>
      </c>
      <c r="AB207" s="154">
        <f t="shared" si="62"/>
        <v>0</v>
      </c>
      <c r="AC207" s="154">
        <f t="shared" si="62"/>
        <v>0</v>
      </c>
      <c r="AD207" s="154">
        <f t="shared" si="62"/>
        <v>0</v>
      </c>
      <c r="AE207" s="154">
        <f t="shared" si="62"/>
        <v>0</v>
      </c>
      <c r="AF207" s="154">
        <f t="shared" si="62"/>
        <v>0</v>
      </c>
      <c r="AG207" s="154">
        <f t="shared" si="62"/>
        <v>0</v>
      </c>
    </row>
    <row r="208" spans="2:33" ht="12.75">
      <c r="B208" s="157" t="s">
        <v>142</v>
      </c>
      <c r="C208" s="154"/>
      <c r="D208" s="154">
        <f>uFedITCAmount</f>
        <v>0</v>
      </c>
      <c r="E208" s="154"/>
      <c r="F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/>
    </row>
    <row r="209" spans="2:33" ht="12.75">
      <c r="B209" s="157" t="s">
        <v>143</v>
      </c>
      <c r="C209" s="154"/>
      <c r="D209" s="154">
        <f>+D207+D208-D206</f>
        <v>67468.57810110474</v>
      </c>
      <c r="E209" s="154">
        <f aca="true" t="shared" si="63" ref="E209:AG209">+E207-E206</f>
        <v>27475.452061795182</v>
      </c>
      <c r="F209" s="154">
        <f t="shared" si="63"/>
        <v>-3465.917876206599</v>
      </c>
      <c r="G209" s="158">
        <f t="shared" si="63"/>
        <v>-14357.639302749447</v>
      </c>
      <c r="H209" s="154">
        <f t="shared" si="63"/>
        <v>-9380.431942167235</v>
      </c>
      <c r="I209" s="154">
        <f t="shared" si="63"/>
        <v>-37324.92489600912</v>
      </c>
      <c r="J209" s="154">
        <f t="shared" si="63"/>
        <v>-36828.68520898458</v>
      </c>
      <c r="K209" s="154">
        <f t="shared" si="63"/>
        <v>-31459.890673703067</v>
      </c>
      <c r="L209" s="154">
        <f t="shared" si="63"/>
        <v>-25947.207996367666</v>
      </c>
      <c r="M209" s="154">
        <f t="shared" si="63"/>
        <v>-20283.454020093883</v>
      </c>
      <c r="N209" s="154">
        <f t="shared" si="63"/>
        <v>-14461.121476959046</v>
      </c>
      <c r="O209" s="154">
        <f t="shared" si="63"/>
        <v>-8472.36335424724</v>
      </c>
      <c r="P209" s="154">
        <f t="shared" si="63"/>
        <v>-2308.976494628617</v>
      </c>
      <c r="Q209" s="154">
        <f t="shared" si="63"/>
        <v>4037.615607795727</v>
      </c>
      <c r="R209" s="154">
        <f t="shared" si="63"/>
        <v>10576.380855554644</v>
      </c>
      <c r="S209" s="154">
        <f t="shared" si="63"/>
        <v>17316.69748193844</v>
      </c>
      <c r="T209" s="154">
        <f t="shared" si="63"/>
        <v>25328.33990387916</v>
      </c>
      <c r="U209" s="154">
        <f t="shared" si="63"/>
        <v>33625.19955606203</v>
      </c>
      <c r="V209" s="154">
        <f t="shared" si="63"/>
        <v>42221.824681310434</v>
      </c>
      <c r="W209" s="154">
        <f t="shared" si="63"/>
        <v>51133.48831792721</v>
      </c>
      <c r="X209" s="154">
        <f t="shared" si="63"/>
        <v>60376.22610787709</v>
      </c>
      <c r="Y209" s="154">
        <f t="shared" si="63"/>
        <v>69966.87611487671</v>
      </c>
      <c r="Z209" s="154">
        <f t="shared" si="63"/>
        <v>79923.12076084958</v>
      </c>
      <c r="AA209" s="154">
        <f t="shared" si="63"/>
        <v>90263.53099511238</v>
      </c>
      <c r="AB209" s="154">
        <f t="shared" si="63"/>
        <v>101007.61281689296</v>
      </c>
      <c r="AC209" s="154">
        <f t="shared" si="63"/>
        <v>112175.8562783535</v>
      </c>
      <c r="AD209" s="154">
        <f t="shared" si="63"/>
        <v>123789.78710222815</v>
      </c>
      <c r="AE209" s="154">
        <f t="shared" si="63"/>
        <v>135872.02105550136</v>
      </c>
      <c r="AF209" s="154">
        <f t="shared" si="63"/>
        <v>148446.32122826908</v>
      </c>
      <c r="AG209" s="154">
        <f t="shared" si="63"/>
        <v>161537.65837506828</v>
      </c>
    </row>
    <row r="210" spans="2:33" ht="12.75">
      <c r="B210" s="150" t="s">
        <v>136</v>
      </c>
      <c r="C210" s="154"/>
      <c r="D210" s="154">
        <f>+D181+D209</f>
        <v>85605.29264441246</v>
      </c>
      <c r="E210" s="154">
        <f aca="true" t="shared" si="64" ref="E210:AG210">+E181+E209</f>
        <v>34861.32627195518</v>
      </c>
      <c r="F210" s="154">
        <f t="shared" si="64"/>
        <v>-4397.616230025577</v>
      </c>
      <c r="G210" s="158">
        <f t="shared" si="64"/>
        <v>-18217.219760477794</v>
      </c>
      <c r="H210" s="154">
        <f t="shared" si="64"/>
        <v>-11902.053431997138</v>
      </c>
      <c r="I210" s="154">
        <f t="shared" si="64"/>
        <v>-47358.506857301894</v>
      </c>
      <c r="J210" s="154">
        <f t="shared" si="64"/>
        <v>-46728.86940494817</v>
      </c>
      <c r="K210" s="154">
        <f t="shared" si="64"/>
        <v>-39916.85053222539</v>
      </c>
      <c r="L210" s="154">
        <f t="shared" si="64"/>
        <v>-32922.26390936973</v>
      </c>
      <c r="M210" s="154">
        <f t="shared" si="64"/>
        <v>-25735.995423344928</v>
      </c>
      <c r="N210" s="154">
        <f t="shared" si="64"/>
        <v>-18348.519723453413</v>
      </c>
      <c r="O210" s="154">
        <f t="shared" si="64"/>
        <v>-10749.880384958864</v>
      </c>
      <c r="P210" s="154">
        <f t="shared" si="64"/>
        <v>-2929.6691007115783</v>
      </c>
      <c r="Q210" s="154">
        <f t="shared" si="64"/>
        <v>5122.996147525761</v>
      </c>
      <c r="R210" s="154">
        <f t="shared" si="64"/>
        <v>13419.493988768258</v>
      </c>
      <c r="S210" s="154">
        <f t="shared" si="64"/>
        <v>21971.723686760604</v>
      </c>
      <c r="T210" s="154">
        <f t="shared" si="64"/>
        <v>32137.033426427322</v>
      </c>
      <c r="U210" s="154">
        <f t="shared" si="64"/>
        <v>42664.23169478838</v>
      </c>
      <c r="V210" s="154">
        <f t="shared" si="64"/>
        <v>53571.77755263045</v>
      </c>
      <c r="W210" s="154">
        <f t="shared" si="64"/>
        <v>64879.049693714085</v>
      </c>
      <c r="X210" s="154">
        <f t="shared" si="64"/>
        <v>76606.3944164462</v>
      </c>
      <c r="Y210" s="154">
        <f t="shared" si="64"/>
        <v>88775.17614575755</v>
      </c>
      <c r="Z210" s="154">
        <f t="shared" si="64"/>
        <v>101407.83064279839</v>
      </c>
      <c r="AA210" s="154">
        <f t="shared" si="64"/>
        <v>114527.92104756195</v>
      </c>
      <c r="AB210" s="154">
        <f t="shared" si="64"/>
        <v>128160.19690745558</v>
      </c>
      <c r="AC210" s="154">
        <f t="shared" si="64"/>
        <v>142330.65635317971</v>
      </c>
      <c r="AD210" s="154">
        <f t="shared" si="64"/>
        <v>157066.61159207442</v>
      </c>
      <c r="AE210" s="154">
        <f t="shared" si="64"/>
        <v>172396.75789837807</v>
      </c>
      <c r="AF210" s="154">
        <f t="shared" si="64"/>
        <v>188351.24628963173</v>
      </c>
      <c r="AG210" s="154">
        <f t="shared" si="64"/>
        <v>204961.76008879632</v>
      </c>
    </row>
    <row r="211" spans="2:33" ht="12.75">
      <c r="B211" s="150" t="s">
        <v>135</v>
      </c>
      <c r="C211" s="30">
        <f>-C148+C181+C209</f>
        <v>-658900</v>
      </c>
      <c r="D211" s="154">
        <f aca="true" t="shared" si="65" ref="D211:AG211">(D144+D181+D209-D154+D113+D118+D121+D124)</f>
        <v>312231.2054270038</v>
      </c>
      <c r="E211" s="154">
        <f t="shared" si="65"/>
        <v>241970.18247501898</v>
      </c>
      <c r="F211" s="154">
        <f t="shared" si="65"/>
        <v>182682.10586791596</v>
      </c>
      <c r="G211" s="158">
        <f t="shared" si="65"/>
        <v>148293.94627305778</v>
      </c>
      <c r="H211" s="154">
        <f t="shared" si="65"/>
        <v>133472.48440123422</v>
      </c>
      <c r="I211" s="154">
        <f t="shared" si="65"/>
        <v>76281.30761839589</v>
      </c>
      <c r="J211" s="154">
        <f t="shared" si="65"/>
        <v>54546.66006776654</v>
      </c>
      <c r="K211" s="154">
        <f t="shared" si="65"/>
        <v>38331.84800600815</v>
      </c>
      <c r="L211" s="154">
        <f t="shared" si="65"/>
        <v>21602.477440706294</v>
      </c>
      <c r="M211" s="154">
        <f t="shared" si="65"/>
        <v>4331.40377157653</v>
      </c>
      <c r="N211" s="154">
        <f t="shared" si="65"/>
        <v>-13509.871447575802</v>
      </c>
      <c r="O211" s="154">
        <f t="shared" si="65"/>
        <v>-31951.271934991542</v>
      </c>
      <c r="P211" s="154">
        <f t="shared" si="65"/>
        <v>-51024.221950479914</v>
      </c>
      <c r="Q211" s="154">
        <f t="shared" si="65"/>
        <v>-70761.72561862832</v>
      </c>
      <c r="R211" s="154">
        <f t="shared" si="65"/>
        <v>-91198.45052763759</v>
      </c>
      <c r="S211" s="154">
        <f t="shared" si="65"/>
        <v>-44528.6506678417</v>
      </c>
      <c r="T211" s="154">
        <f t="shared" si="65"/>
        <v>-65130.01689568927</v>
      </c>
      <c r="U211" s="154">
        <f t="shared" si="65"/>
        <v>-86464.7988584452</v>
      </c>
      <c r="V211" s="154">
        <f t="shared" si="65"/>
        <v>-108570.40632336967</v>
      </c>
      <c r="W211" s="154">
        <f t="shared" si="65"/>
        <v>-131486.1128175271</v>
      </c>
      <c r="X211" s="154">
        <f t="shared" si="65"/>
        <v>-155253.15284882678</v>
      </c>
      <c r="Y211" s="154">
        <f t="shared" si="65"/>
        <v>-179914.8242953972</v>
      </c>
      <c r="Z211" s="154">
        <f t="shared" si="65"/>
        <v>-205516.59624218463</v>
      </c>
      <c r="AA211" s="154">
        <f t="shared" si="65"/>
        <v>-232106.22255886038</v>
      </c>
      <c r="AB211" s="154">
        <f t="shared" si="65"/>
        <v>-259733.86152915325</v>
      </c>
      <c r="AC211" s="154">
        <f t="shared" si="65"/>
        <v>-288452.20185862324</v>
      </c>
      <c r="AD211" s="154">
        <f t="shared" si="65"/>
        <v>-318316.5954057295</v>
      </c>
      <c r="AE211" s="154">
        <f t="shared" si="65"/>
        <v>-349385.1969998606</v>
      </c>
      <c r="AF211" s="154">
        <f t="shared" si="65"/>
        <v>-381719.11172983475</v>
      </c>
      <c r="AG211" s="154">
        <f t="shared" si="65"/>
        <v>-415382.5501073184</v>
      </c>
    </row>
    <row r="212" ht="12.75">
      <c r="B212" s="150"/>
    </row>
    <row r="213" spans="2:33" ht="12.75">
      <c r="B213" s="150" t="s">
        <v>131</v>
      </c>
      <c r="D213" s="158">
        <f aca="true" t="shared" si="66" ref="D213:AG213">IF(D128&gt;uLoanTerm,"",IF(D154&lt;&gt;0,D144/D154,"N/A"))</f>
        <v>4.340487618786767</v>
      </c>
      <c r="E213" s="158">
        <f t="shared" si="66"/>
        <v>4.052804339065718</v>
      </c>
      <c r="F213" s="158">
        <f t="shared" si="66"/>
        <v>3.757572987665198</v>
      </c>
      <c r="G213" s="158">
        <f t="shared" si="66"/>
        <v>3.454390505018635</v>
      </c>
      <c r="H213" s="158">
        <f t="shared" si="66"/>
        <v>3.1428345847839068</v>
      </c>
      <c r="I213" s="158">
        <f t="shared" si="66"/>
        <v>2.8224626847565335</v>
      </c>
      <c r="J213" s="158">
        <f t="shared" si="66"/>
        <v>2.492810985892103</v>
      </c>
      <c r="K213" s="158">
        <f t="shared" si="66"/>
        <v>2.1533932966611156</v>
      </c>
      <c r="L213" s="158">
        <f t="shared" si="66"/>
        <v>1.803699899808947</v>
      </c>
      <c r="M213" s="158">
        <f t="shared" si="66"/>
        <v>1.4431963384350892</v>
      </c>
      <c r="N213" s="158">
        <f t="shared" si="66"/>
        <v>1.0713221381384535</v>
      </c>
      <c r="O213" s="158">
        <f t="shared" si="66"/>
        <v>0.6874894617992027</v>
      </c>
      <c r="P213" s="158">
        <f t="shared" si="66"/>
        <v>0.29108169338136547</v>
      </c>
      <c r="Q213" s="158">
        <f t="shared" si="66"/>
        <v>-0.11854805305560312</v>
      </c>
      <c r="R213" s="158">
        <f t="shared" si="66"/>
        <v>-0.542078503155268</v>
      </c>
      <c r="S213" s="158">
        <f t="shared" si="66"/>
      </c>
      <c r="T213" s="158">
        <f t="shared" si="66"/>
      </c>
      <c r="U213" s="158">
        <f t="shared" si="66"/>
      </c>
      <c r="V213" s="158">
        <f t="shared" si="66"/>
      </c>
      <c r="W213" s="158">
        <f t="shared" si="66"/>
      </c>
      <c r="X213" s="158">
        <f t="shared" si="66"/>
      </c>
      <c r="Y213" s="158">
        <f t="shared" si="66"/>
      </c>
      <c r="Z213" s="158">
        <f t="shared" si="66"/>
      </c>
      <c r="AA213" s="158">
        <f t="shared" si="66"/>
      </c>
      <c r="AB213" s="158">
        <f t="shared" si="66"/>
      </c>
      <c r="AC213" s="158">
        <f t="shared" si="66"/>
      </c>
      <c r="AD213" s="158">
        <f t="shared" si="66"/>
      </c>
      <c r="AE213" s="158">
        <f t="shared" si="66"/>
      </c>
      <c r="AF213" s="158">
        <f t="shared" si="66"/>
      </c>
      <c r="AG213" s="158">
        <f t="shared" si="66"/>
      </c>
    </row>
    <row r="214" ht="12.75">
      <c r="B214" s="13"/>
    </row>
    <row r="215" ht="12.75">
      <c r="B215" s="13"/>
    </row>
    <row r="216" spans="2:4" ht="12.75">
      <c r="B216" s="13"/>
      <c r="D216" s="154"/>
    </row>
    <row r="217" ht="12.75">
      <c r="B217" s="13"/>
    </row>
    <row r="218" spans="2:4" ht="12.75">
      <c r="B218" s="13"/>
      <c r="D218" s="154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</sheetData>
  <sheetProtection/>
  <protectedRanges>
    <protectedRange sqref="C16:C17 F15 C21:C23 C28:C30 C32:C33 C25 C37 C35" name="Inputs"/>
    <protectedRange sqref="F19 F21" name="Inputs_1"/>
    <protectedRange sqref="F28" name="Inputs_2"/>
    <protectedRange sqref="C48" name="Inputs_3"/>
    <protectedRange sqref="B65:B68 B78:B79" name="Inputs_1_1"/>
  </protectedRanges>
  <mergeCells count="8">
    <mergeCell ref="B62:B63"/>
    <mergeCell ref="C62:I63"/>
    <mergeCell ref="J62:K62"/>
    <mergeCell ref="L62:O62"/>
    <mergeCell ref="B7:F7"/>
    <mergeCell ref="B12:F12"/>
    <mergeCell ref="B46:F46"/>
    <mergeCell ref="B49:F49"/>
  </mergeCells>
  <conditionalFormatting sqref="D66">
    <cfRule type="expression" priority="1" dxfId="0" stopIfTrue="1">
      <formula>$B$66="Fixed"</formula>
    </cfRule>
  </conditionalFormatting>
  <conditionalFormatting sqref="D67">
    <cfRule type="expression" priority="2" dxfId="0" stopIfTrue="1">
      <formula>$B$67="Fixed"</formula>
    </cfRule>
  </conditionalFormatting>
  <conditionalFormatting sqref="D68">
    <cfRule type="expression" priority="3" dxfId="0" stopIfTrue="1">
      <formula>$B$68="Fixed"</formula>
    </cfRule>
  </conditionalFormatting>
  <conditionalFormatting sqref="D78">
    <cfRule type="expression" priority="4" dxfId="0" stopIfTrue="1">
      <formula>$B$78="Fixed"</formula>
    </cfRule>
  </conditionalFormatting>
  <conditionalFormatting sqref="D79">
    <cfRule type="expression" priority="5" dxfId="0" stopIfTrue="1">
      <formula>$B$79="Fixed"</formula>
    </cfRule>
  </conditionalFormatting>
  <conditionalFormatting sqref="D65">
    <cfRule type="expression" priority="6" dxfId="0" stopIfTrue="1">
      <formula>$B$65="Fixed"</formula>
    </cfRule>
  </conditionalFormatting>
  <dataValidations count="2">
    <dataValidation type="list" allowBlank="1" showInputMessage="1" showErrorMessage="1" sqref="B78:B79 B65:B68">
      <formula1>"Percent w/ Maximum, Fixed"</formula1>
    </dataValidation>
    <dataValidation type="list" allowBlank="1" showInputMessage="1" showErrorMessage="1" sqref="C26 C32:C33 D27:D29">
      <formula1>"None,MACRS (MidQuarter),MACRS (HalfYear)"</formula1>
    </dataValidation>
  </dataValidations>
  <hyperlinks>
    <hyperlink ref="E70" r:id="rId1" display="$/@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4"/>
  <sheetViews>
    <sheetView workbookViewId="0" topLeftCell="A4">
      <selection activeCell="C3" sqref="C3:E7"/>
    </sheetView>
  </sheetViews>
  <sheetFormatPr defaultColWidth="9.140625" defaultRowHeight="12.75"/>
  <cols>
    <col min="1" max="1" width="13.7109375" style="0" customWidth="1"/>
    <col min="2" max="2" width="18.00390625" style="0" customWidth="1"/>
  </cols>
  <sheetData>
    <row r="3" spans="1:2" ht="12.75">
      <c r="A3" s="158"/>
      <c r="B3" s="64"/>
    </row>
    <row r="4" spans="1:4" ht="12.75">
      <c r="A4" s="158"/>
      <c r="C4" s="158"/>
      <c r="D4" s="158"/>
    </row>
    <row r="5" spans="1:2" ht="12.75">
      <c r="A5" s="168" t="s">
        <v>186</v>
      </c>
      <c r="B5" t="s">
        <v>187</v>
      </c>
    </row>
    <row r="6" spans="1:2" ht="12.75">
      <c r="A6" s="167">
        <v>-1</v>
      </c>
      <c r="B6" s="166" t="e">
        <f aca="true" t="shared" si="0" ref="B6:B47">NPV(A6,uCashflow)+cashflow_0</f>
        <v>#DIV/0!</v>
      </c>
    </row>
    <row r="7" spans="1:2" ht="12.75">
      <c r="A7" s="167">
        <v>-0.95</v>
      </c>
      <c r="B7" s="166">
        <f t="shared" si="0"/>
        <v>-4.674896302477595E+44</v>
      </c>
    </row>
    <row r="8" spans="1:2" ht="12.75">
      <c r="A8" s="167">
        <v>-0.9</v>
      </c>
      <c r="B8" s="166">
        <f t="shared" si="0"/>
        <v>-4.573983270311218E+35</v>
      </c>
    </row>
    <row r="9" spans="1:2" ht="12.75">
      <c r="A9" s="167">
        <v>-0.85</v>
      </c>
      <c r="B9" s="166">
        <f t="shared" si="0"/>
        <v>-2.5123444148162592E+30</v>
      </c>
    </row>
    <row r="10" spans="1:2" ht="12.75">
      <c r="A10" s="167">
        <v>-0.8</v>
      </c>
      <c r="B10" s="166">
        <f t="shared" si="0"/>
        <v>-4.738671640339028E+26</v>
      </c>
    </row>
    <row r="11" spans="1:2" ht="12.75">
      <c r="A11" s="167">
        <v>-0.75</v>
      </c>
      <c r="B11" s="166">
        <f t="shared" si="0"/>
        <v>-6.215119877957982E+23</v>
      </c>
    </row>
    <row r="12" spans="1:2" ht="12.75">
      <c r="A12" s="167">
        <v>-0.7</v>
      </c>
      <c r="B12" s="166">
        <f t="shared" si="0"/>
        <v>-2.783680630602207E+21</v>
      </c>
    </row>
    <row r="13" spans="1:2" ht="12.75">
      <c r="A13" s="167">
        <v>-0.65</v>
      </c>
      <c r="B13" s="166">
        <f t="shared" si="0"/>
        <v>-2.9142474699354046E+19</v>
      </c>
    </row>
    <row r="14" spans="1:2" ht="12.75">
      <c r="A14" s="167">
        <v>-0.6</v>
      </c>
      <c r="B14" s="166">
        <f t="shared" si="0"/>
        <v>-5.688632380842958E+17</v>
      </c>
    </row>
    <row r="15" spans="1:2" ht="12.75">
      <c r="A15" s="167">
        <v>-0.55</v>
      </c>
      <c r="B15" s="166">
        <f t="shared" si="0"/>
        <v>-17900795720271544</v>
      </c>
    </row>
    <row r="16" spans="1:2" ht="12.75">
      <c r="A16" s="167">
        <v>-0.5</v>
      </c>
      <c r="B16" s="166">
        <f t="shared" si="0"/>
        <v>-822463427243181.8</v>
      </c>
    </row>
    <row r="17" spans="1:2" ht="12.75">
      <c r="A17" s="167">
        <v>-0.45</v>
      </c>
      <c r="B17" s="166">
        <f t="shared" si="0"/>
        <v>-51432254744066.34</v>
      </c>
    </row>
    <row r="18" spans="1:2" ht="12.75">
      <c r="A18" s="167">
        <v>-0.4</v>
      </c>
      <c r="B18" s="166">
        <f t="shared" si="0"/>
        <v>-4158192633080.9956</v>
      </c>
    </row>
    <row r="19" spans="1:2" ht="12.75">
      <c r="A19" s="167">
        <v>-0.35</v>
      </c>
      <c r="B19" s="166">
        <f t="shared" si="0"/>
        <v>-418225237367.3991</v>
      </c>
    </row>
    <row r="20" spans="1:2" ht="12.75">
      <c r="A20" s="167">
        <v>-0.3</v>
      </c>
      <c r="B20" s="166">
        <f t="shared" si="0"/>
        <v>-50821448972.455826</v>
      </c>
    </row>
    <row r="21" spans="1:2" ht="12.75">
      <c r="A21" s="167">
        <v>-0.25</v>
      </c>
      <c r="B21" s="166">
        <f t="shared" si="0"/>
        <v>-7295509457.746785</v>
      </c>
    </row>
    <row r="22" spans="1:2" ht="12.75">
      <c r="A22" s="167">
        <v>-0.2</v>
      </c>
      <c r="B22" s="166">
        <f t="shared" si="0"/>
        <v>-1215624868.8788648</v>
      </c>
    </row>
    <row r="23" spans="1:2" ht="12.75">
      <c r="A23" s="167">
        <v>-0.15</v>
      </c>
      <c r="B23" s="166">
        <f t="shared" si="0"/>
        <v>-231655038.763753</v>
      </c>
    </row>
    <row r="24" spans="1:2" ht="12.75">
      <c r="A24" s="167">
        <v>-0.1</v>
      </c>
      <c r="B24" s="166">
        <f t="shared" si="0"/>
        <v>-49707113.96309144</v>
      </c>
    </row>
    <row r="25" spans="1:2" ht="12.75">
      <c r="A25" s="167">
        <v>-0.05</v>
      </c>
      <c r="B25" s="166">
        <f t="shared" si="0"/>
        <v>-11738525.190089865</v>
      </c>
    </row>
    <row r="26" spans="1:2" ht="12.75">
      <c r="A26" s="167">
        <v>0</v>
      </c>
      <c r="B26" s="166">
        <f t="shared" si="0"/>
        <v>-2925562.2192692906</v>
      </c>
    </row>
    <row r="27" spans="1:2" ht="12.75">
      <c r="A27" s="167">
        <v>0.05</v>
      </c>
      <c r="B27" s="166">
        <f t="shared" si="0"/>
        <v>-706247.2840618115</v>
      </c>
    </row>
    <row r="28" spans="1:2" ht="12.75">
      <c r="A28" s="167">
        <v>0.1</v>
      </c>
      <c r="B28" s="166">
        <f t="shared" si="0"/>
        <v>-133635.46361784206</v>
      </c>
    </row>
    <row r="29" spans="1:2" ht="12.75">
      <c r="A29" s="167">
        <v>0.15</v>
      </c>
      <c r="B29" s="166">
        <f t="shared" si="0"/>
        <v>-7406.622658278793</v>
      </c>
    </row>
    <row r="30" spans="1:2" ht="12.75">
      <c r="A30" s="167">
        <v>0.2</v>
      </c>
      <c r="B30" s="166">
        <f t="shared" si="0"/>
        <v>-8263.98700986302</v>
      </c>
    </row>
    <row r="31" spans="1:2" ht="12.75">
      <c r="A31" s="167">
        <v>0.25</v>
      </c>
      <c r="B31" s="166">
        <f t="shared" si="0"/>
        <v>-44324.38471215917</v>
      </c>
    </row>
    <row r="32" spans="1:2" ht="12.75">
      <c r="A32" s="167">
        <v>0.3</v>
      </c>
      <c r="B32" s="166">
        <f t="shared" si="0"/>
        <v>-87622.43251507741</v>
      </c>
    </row>
    <row r="33" spans="1:2" ht="12.75">
      <c r="A33" s="167">
        <v>0.35</v>
      </c>
      <c r="B33" s="166">
        <f t="shared" si="0"/>
        <v>-129540.97038014152</v>
      </c>
    </row>
    <row r="34" spans="1:2" ht="12.75">
      <c r="A34" s="167">
        <v>0.4</v>
      </c>
      <c r="B34" s="166">
        <f t="shared" si="0"/>
        <v>-167664.6071860147</v>
      </c>
    </row>
    <row r="35" spans="1:2" ht="12.75">
      <c r="A35" s="167">
        <v>0.45</v>
      </c>
      <c r="B35" s="166">
        <f t="shared" si="0"/>
        <v>-201622.93997022416</v>
      </c>
    </row>
    <row r="36" spans="1:2" ht="12.75">
      <c r="A36" s="167">
        <v>0.5</v>
      </c>
      <c r="B36" s="166">
        <f t="shared" si="0"/>
        <v>-231700.47238389257</v>
      </c>
    </row>
    <row r="37" spans="1:2" ht="12.75">
      <c r="A37" s="167">
        <v>0.55</v>
      </c>
      <c r="B37" s="166">
        <f t="shared" si="0"/>
        <v>-258355.1055529904</v>
      </c>
    </row>
    <row r="38" spans="1:2" ht="12.75">
      <c r="A38" s="167">
        <v>0.6</v>
      </c>
      <c r="B38" s="166">
        <f t="shared" si="0"/>
        <v>-282051.4924912959</v>
      </c>
    </row>
    <row r="39" spans="1:2" ht="12.75">
      <c r="A39" s="167">
        <v>0.65</v>
      </c>
      <c r="B39" s="166">
        <f t="shared" si="0"/>
        <v>-303207.72036675276</v>
      </c>
    </row>
    <row r="40" spans="1:2" ht="12.75">
      <c r="A40" s="167">
        <v>0.7</v>
      </c>
      <c r="B40" s="166">
        <f t="shared" si="0"/>
        <v>-322183.31888739456</v>
      </c>
    </row>
    <row r="41" spans="1:2" ht="12.75">
      <c r="A41" s="167">
        <v>0.75</v>
      </c>
      <c r="B41" s="166">
        <f t="shared" si="0"/>
        <v>-339281.8616266838</v>
      </c>
    </row>
    <row r="42" spans="1:7" ht="12.75">
      <c r="A42" s="167">
        <v>0.8</v>
      </c>
      <c r="B42" s="166">
        <f t="shared" si="0"/>
        <v>-354758.03130506113</v>
      </c>
      <c r="D42" s="56"/>
      <c r="E42" s="56"/>
      <c r="F42" s="56"/>
      <c r="G42" s="56"/>
    </row>
    <row r="43" spans="1:7" ht="12.75">
      <c r="A43" s="167">
        <v>0.85</v>
      </c>
      <c r="B43" s="166">
        <f t="shared" si="0"/>
        <v>-368825.3463417687</v>
      </c>
      <c r="D43" s="56"/>
      <c r="E43" s="56"/>
      <c r="F43" s="56"/>
      <c r="G43" s="56"/>
    </row>
    <row r="44" spans="1:7" ht="12.75">
      <c r="A44" s="167">
        <v>0.9</v>
      </c>
      <c r="B44" s="166">
        <f t="shared" si="0"/>
        <v>-381663.21495647053</v>
      </c>
      <c r="D44" s="56"/>
      <c r="E44" s="56"/>
      <c r="F44" s="56"/>
      <c r="G44" s="56"/>
    </row>
    <row r="45" spans="1:7" ht="12.75">
      <c r="A45" s="167">
        <v>0.95</v>
      </c>
      <c r="B45" s="166">
        <f t="shared" si="0"/>
        <v>-393422.9498655244</v>
      </c>
      <c r="D45" s="56"/>
      <c r="E45" s="56"/>
      <c r="F45" s="56"/>
      <c r="G45" s="56"/>
    </row>
    <row r="46" spans="1:7" ht="12.75">
      <c r="A46" s="167">
        <v>1</v>
      </c>
      <c r="B46" s="166">
        <f t="shared" si="0"/>
        <v>-404232.743045843</v>
      </c>
      <c r="D46" s="58"/>
      <c r="E46" s="58"/>
      <c r="F46" s="58"/>
      <c r="G46" s="58"/>
    </row>
    <row r="47" spans="1:7" ht="12.75">
      <c r="A47" s="167">
        <f>uActualIRR</f>
        <v>0.1716886829852433</v>
      </c>
      <c r="B47" s="166">
        <f t="shared" si="0"/>
        <v>-4.423782229423523E-09</v>
      </c>
      <c r="D47" s="56"/>
      <c r="E47" s="56"/>
      <c r="F47" s="56"/>
      <c r="G47" s="56"/>
    </row>
    <row r="48" spans="1:7" ht="12.75">
      <c r="A48" s="158"/>
      <c r="D48" s="56"/>
      <c r="E48" s="56"/>
      <c r="F48" s="56"/>
      <c r="G48" s="56"/>
    </row>
    <row r="49" spans="1:7" ht="12.75">
      <c r="A49" s="158"/>
      <c r="C49" s="56"/>
      <c r="D49" s="56"/>
      <c r="E49" s="56"/>
      <c r="F49" s="56"/>
      <c r="G49" s="56"/>
    </row>
    <row r="50" spans="1:7" ht="12.75">
      <c r="A50" s="169"/>
      <c r="B50" s="59"/>
      <c r="C50" s="56"/>
      <c r="D50" s="56"/>
      <c r="E50" s="56"/>
      <c r="F50" s="56"/>
      <c r="G50" s="56"/>
    </row>
    <row r="51" spans="1:7" ht="12.75">
      <c r="A51" s="170"/>
      <c r="B51" s="3"/>
      <c r="C51" s="3"/>
      <c r="D51" s="3"/>
      <c r="E51" s="3"/>
      <c r="F51" s="3"/>
      <c r="G51" s="3"/>
    </row>
    <row r="52" spans="1:7" ht="12.75">
      <c r="A52" s="170"/>
      <c r="B52" s="3"/>
      <c r="C52" s="3"/>
      <c r="D52" s="3"/>
      <c r="E52" s="60"/>
      <c r="F52" s="3"/>
      <c r="G52" s="3"/>
    </row>
    <row r="53" spans="1:7" ht="12.75">
      <c r="A53" s="170"/>
      <c r="B53" s="3"/>
      <c r="C53" s="3"/>
      <c r="D53" s="3"/>
      <c r="E53" s="60"/>
      <c r="F53" s="3"/>
      <c r="G53" s="3"/>
    </row>
    <row r="54" spans="1:7" ht="12.75">
      <c r="A54" s="170"/>
      <c r="B54" s="3"/>
      <c r="C54" s="3"/>
      <c r="D54" s="3"/>
      <c r="E54" s="60"/>
      <c r="F54" s="3"/>
      <c r="G54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Preferred Customer</cp:lastModifiedBy>
  <cp:lastPrinted>2006-11-13T23:17:12Z</cp:lastPrinted>
  <dcterms:created xsi:type="dcterms:W3CDTF">2005-08-17T04:34:40Z</dcterms:created>
  <dcterms:modified xsi:type="dcterms:W3CDTF">2008-05-27T08:35:47Z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