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40" windowHeight="5505" activeTab="0"/>
  </bookViews>
  <sheets>
    <sheet name="Utility - IPP" sheetId="1" r:id="rId1"/>
    <sheet name="NPV Detail" sheetId="2" r:id="rId2"/>
  </sheets>
  <definedNames>
    <definedName name="cashflow_0">'Utility - IPP'!$C$212</definedName>
    <definedName name="solver_adj" localSheetId="0" hidden="1">'Utility - IPP'!$C$57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'Utility - IPP'!$E$57</definedName>
    <definedName name="solver_lhs2" localSheetId="0" hidden="1">'Utility - IPP'!$E$60</definedName>
    <definedName name="solver_lhs3" localSheetId="0" hidden="1">'Utility - IPP'!$E$59</definedName>
    <definedName name="solver_lhs4" localSheetId="0" hidden="1">'Utility - IPP'!$E$59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'Utility - IPP'!$C$10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hs1" localSheetId="0" hidden="1">uMinReqDSCR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uActualIRR">'Utility - IPP'!$E$58</definedName>
    <definedName name="uActualMinDSCR">'Utility - IPP'!$E$57</definedName>
    <definedName name="uAfterTaxCashflow">'Utility - IPP'!$C$212:$AG$212</definedName>
    <definedName name="uArraySize">'Utility - IPP'!$F$16</definedName>
    <definedName name="uCashflow">'Utility - IPP'!$D$212:$AG$212</definedName>
    <definedName name="uDegradation">'Utility - IPP'!$F$15</definedName>
    <definedName name="uDepreciableBase">'Utility - IPP'!$E$51</definedName>
    <definedName name="uDepreciationType">'Utility - IPP'!$C$30</definedName>
    <definedName name="uDSCR">'Utility - IPP'!$D$215:$AG$215</definedName>
    <definedName name="uEffectiveTaxRate">'Utility - IPP'!$C$50</definedName>
    <definedName name="uEPCPercent">'Utility - IPP'!$F$22</definedName>
    <definedName name="uFedBuyDown">'Utility - IPP'!$F$41</definedName>
    <definedName name="uFedBuyDownCap">'Utility - IPP'!$F$71</definedName>
    <definedName name="uFedBuyDownDeprBasisFed">'Utility - IPP'!$N$71</definedName>
    <definedName name="uFedBuyDownDeprBasisState">'Utility - IPP'!$O$71</definedName>
    <definedName name="uFedBuyDownITCBasisFed">'Utility - IPP'!$L$71</definedName>
    <definedName name="uFedBuyDownITCBasisState">'Utility - IPP'!$M$71</definedName>
    <definedName name="uFedBuyDownPerWatt">'Utility - IPP'!$D$71</definedName>
    <definedName name="uFedBuyDownTaxableFed">'Utility - IPP'!$J$71</definedName>
    <definedName name="uFedBuyDownTaxableState">'Utility - IPP'!$K$71</definedName>
    <definedName name="uFedCreditBasis">'Utility - IPP'!$C$51</definedName>
    <definedName name="uFedDepreciableBase">'Utility - IPP'!$E$51</definedName>
    <definedName name="uFederalTax">'Utility - IPP'!$C$19</definedName>
    <definedName name="uFedFixed">'Utility - IPP'!$F$37</definedName>
    <definedName name="uFedFixedDeprBasisFed">'Utility - IPP'!$N$66</definedName>
    <definedName name="uFedFixedDeprBasisState">'Utility - IPP'!$O$66</definedName>
    <definedName name="uFedFixedITCBasisFed">'Utility - IPP'!$L$66</definedName>
    <definedName name="uFedFixedITCBasisState">'Utility - IPP'!$M$66</definedName>
    <definedName name="uFedFixedMax">'Utility - IPP'!$F$66</definedName>
    <definedName name="uFedFixedPercent">'Utility - IPP'!$D$66</definedName>
    <definedName name="uFedFixedTaxableFed">'Utility - IPP'!$J$66</definedName>
    <definedName name="uFedFixedTaxableState">'Utility - IPP'!$K$66</definedName>
    <definedName name="uFedITC">'Utility - IPP'!$D$76</definedName>
    <definedName name="uFedITCAmount">'Utility - IPP'!$D$112</definedName>
    <definedName name="uFedITCCap">'Utility - IPP'!$F$79</definedName>
    <definedName name="uFedITCDeprBasisFed">'Utility - IPP'!$N$79</definedName>
    <definedName name="uFedITCDeprBasisState">'Utility - IPP'!$O$79</definedName>
    <definedName name="uFedITCITCBasisState">'Utility - IPP'!$M$79</definedName>
    <definedName name="uFedITCMax">'Utility - IPP'!$F$79</definedName>
    <definedName name="uFedITCPercent">'Utility - IPP'!$D$79</definedName>
    <definedName name="uFedITCTaxableFed">'Utility - IPP'!$J$79</definedName>
    <definedName name="uFedITCTaxableState">'Utility - IPP'!$K$79</definedName>
    <definedName name="uFedPBI">'Utility - IPP'!$D$85</definedName>
    <definedName name="uFedPBIEsc">'Utility - IPP'!$H$85</definedName>
    <definedName name="uFedPBITaxableState">'Utility - IPP'!$K$85</definedName>
    <definedName name="uFedPBITaxalbeFed">'Utility - IPP'!$J$85</definedName>
    <definedName name="uFedPBITerm">'Utility - IPP'!$F$85</definedName>
    <definedName name="uFedPTC">'Utility - IPP'!$D$82</definedName>
    <definedName name="uFedPTCEsc">'Utility - IPP'!$H$82</definedName>
    <definedName name="uFedPTCTaxableFed">'Utility - IPP'!$J$82</definedName>
    <definedName name="uFedPTCTaxableState">'Utility - IPP'!$K$82</definedName>
    <definedName name="uFedPTCTerm">'Utility - IPP'!$F$82</definedName>
    <definedName name="uFirstCost">'Utility - IPP'!$C$94</definedName>
    <definedName name="uFirstYearAnnualOutput">'Utility - IPP'!$C$48</definedName>
    <definedName name="uFixedOandM">'Utility - IPP'!$F$28</definedName>
    <definedName name="uFixedOandMEsc">'Utility - IPP'!$F$29</definedName>
    <definedName name="uFixedTypeFed">'Utility - IPP'!$B$66</definedName>
    <definedName name="uFixedTypeOther">'Utility - IPP'!$B$69</definedName>
    <definedName name="uFixedTypeState">'Utility - IPP'!$B$67</definedName>
    <definedName name="uFixedTypeUtility">'Utility - IPP'!$B$68</definedName>
    <definedName name="uFixedUtilityTaxableFed">'Utility - IPP'!$J$68</definedName>
    <definedName name="uFixedUtilityTaxableState">'Utility - IPP'!$K$68</definedName>
    <definedName name="uFuelCost">'Utility - IPP'!$F$32</definedName>
    <definedName name="uFuelCostEsc">'Utility - IPP'!$F$33</definedName>
    <definedName name="uHeatRate">'Utility - IPP'!$F$17</definedName>
    <definedName name="uInflationRate">'Utility - IPP'!$C$16</definedName>
    <definedName name="uInsurance">'Utility - IPP'!$C$23</definedName>
    <definedName name="uIRR">'Utility - IPP'!$E$58</definedName>
    <definedName name="uITCTypeFed">'Utility - IPP'!$B$79</definedName>
    <definedName name="uITCTypeState">'Utility - IPP'!$B$80</definedName>
    <definedName name="uLoanAmount">'Utility - IPP'!$C$25</definedName>
    <definedName name="uLoanDebtPercent">'Utility - IPP'!$C$26</definedName>
    <definedName name="uLoanRate">'Utility - IPP'!$C$28</definedName>
    <definedName name="uLoanTerm">'Utility - IPP'!$C$27</definedName>
    <definedName name="uLumpOandM">'Utility - IPP'!$F$34</definedName>
    <definedName name="uLumpOandMEsc">'Utility - IPP'!$F$35</definedName>
    <definedName name="uMinCashFlowValue">'Utility - IPP'!$E$59</definedName>
    <definedName name="uMinReqDSCR">'Utility - IPP'!$C$36</definedName>
    <definedName name="uMinReqIRR">'Utility - IPP'!$C$35</definedName>
    <definedName name="uNominalDiscountRate">'Utility - IPP'!$C$53</definedName>
    <definedName name="uNominalLCOE">'Utility - IPP'!$C$10</definedName>
    <definedName name="uNPVofTargetIRR">'Utility - IPP'!$E$60</definedName>
    <definedName name="uNPVofTargetIRRPlusDelta">'Utility - IPP'!$E$61</definedName>
    <definedName name="uOandM">'Utility - IPP'!$F$28</definedName>
    <definedName name="uOtherBuyDown">'Utility - IPP'!$F$44</definedName>
    <definedName name="uOtherBuyDownCap">'Utility - IPP'!$F$74</definedName>
    <definedName name="uOtherBuyDownDeprBasisFed">'Utility - IPP'!$N$74</definedName>
    <definedName name="uOtherBuyDownDeprBasisState">'Utility - IPP'!$O$74</definedName>
    <definedName name="uOtherBuyDownITCBasisFed">'Utility - IPP'!$L$74</definedName>
    <definedName name="uOtherBuyDownITCBasisState">'Utility - IPP'!$M$74</definedName>
    <definedName name="uOtherBuyDownPerWatt">'Utility - IPP'!$D$74</definedName>
    <definedName name="uOtherBuyDownTaxableFed">'Utility - IPP'!$J$74</definedName>
    <definedName name="uOtherBuyDownTaxableState">'Utility - IPP'!$K$74</definedName>
    <definedName name="uOtherFixed">'Utility - IPP'!$F$40</definedName>
    <definedName name="uOtherFixedDeprBasisFed">'Utility - IPP'!$N$69</definedName>
    <definedName name="uOtherFixedDeprBasisState">'Utility - IPP'!$O$69</definedName>
    <definedName name="uOtherFixedITCBasisFed">'Utility - IPP'!$L$69</definedName>
    <definedName name="uOtherFixedITCBasisState">'Utility - IPP'!$M$69</definedName>
    <definedName name="uOtherFixedMax">'Utility - IPP'!$F$69</definedName>
    <definedName name="uOtherFixedPercent">'Utility - IPP'!$D$69</definedName>
    <definedName name="uOtherFixedTaxableFed">'Utility - IPP'!$J$69</definedName>
    <definedName name="uOtherFixedTaxableState">'Utility - IPP'!$K$69</definedName>
    <definedName name="uOtherPBI">'Utility - IPP'!$D$88</definedName>
    <definedName name="uOtherPBIEsc">'Utility - IPP'!$H$88</definedName>
    <definedName name="uOtherPBITaxableFed">'Utility - IPP'!$J$88</definedName>
    <definedName name="uOtherPBITaxableState">'Utility - IPP'!$K$88</definedName>
    <definedName name="uOtherPBITerm">'Utility - IPP'!$F$88</definedName>
    <definedName name="uOutput">'Utility - IPP'!$D$92:$AG$92</definedName>
    <definedName name="uPLOPercent">'Utility - IPP'!$F$23</definedName>
    <definedName name="uPositiveCashflow">'Utility - IPP'!$C$37</definedName>
    <definedName name="uPPA">'Utility - IPP'!$C$57</definedName>
    <definedName name="uPPAEscalation">'Utility - IPP'!$C$33</definedName>
    <definedName name="uPropertyTax">'Utility - IPP'!$C$21</definedName>
    <definedName name="uRealDiscountRate">'Utility - IPP'!$C$17</definedName>
    <definedName name="uRequiredRevenue">'Utility - IPP'!$D$134:$AG$134</definedName>
    <definedName name="uSalesPercentofDirect">'Utility - IPP'!$F$24</definedName>
    <definedName name="uSalesTax">'Utility - IPP'!$C$22</definedName>
    <definedName name="uStateBuyDown">'Utility - IPP'!$F$42</definedName>
    <definedName name="uStateBuyDownCap">'Utility - IPP'!$F$72</definedName>
    <definedName name="uStateBuyDownDeprBasisFed">'Utility - IPP'!$N$72</definedName>
    <definedName name="uStateBuyDownDeprBasisState">'Utility - IPP'!$O$72</definedName>
    <definedName name="uStateBuyDownITCBasisFed">'Utility - IPP'!$L$72</definedName>
    <definedName name="uStateBuyDownITCBasisState">'Utility - IPP'!$M$72</definedName>
    <definedName name="uStateBuyDownPerWatt">'Utility - IPP'!$D$72</definedName>
    <definedName name="uStateBuyDownTaxableFed">'Utility - IPP'!$J$72</definedName>
    <definedName name="uStateBuyDownTaxableState">'Utility - IPP'!$K$72</definedName>
    <definedName name="uStateCreditBasis">'Utility - IPP'!$C$52</definedName>
    <definedName name="uStateDepreciableBase">'Utility - IPP'!$E$52</definedName>
    <definedName name="uStateDepreciationType">'Utility - IPP'!$C$31</definedName>
    <definedName name="uStateFixed">'Utility - IPP'!$F$38</definedName>
    <definedName name="uStateFixedDeprBasisFed">'Utility - IPP'!$N$67</definedName>
    <definedName name="uStateFixedDeprBasisState">'Utility - IPP'!$O$67</definedName>
    <definedName name="uStateFixedITCBasisFed">'Utility - IPP'!$L$67</definedName>
    <definedName name="uStateFixedITCBasisState">'Utility - IPP'!$M$67</definedName>
    <definedName name="uStateFixedMax">'Utility - IPP'!$F$67</definedName>
    <definedName name="uStateFixedPercent">'Utility - IPP'!$D$67</definedName>
    <definedName name="uStateFixedTaxableState">'Utility - IPP'!$K$67</definedName>
    <definedName name="uStateFixedTaxalbeFed">'Utility - IPP'!$J$67</definedName>
    <definedName name="uStateITC">'Utility - IPP'!$D$77</definedName>
    <definedName name="uStateITCAmount">'Utility - IPP'!$D$117</definedName>
    <definedName name="uStateITCCap">'Utility - IPP'!$F$80</definedName>
    <definedName name="uStateITCDeprBasisFed">'Utility - IPP'!$N$80</definedName>
    <definedName name="uStateITCDeprBasisState">'Utility - IPP'!$O$80</definedName>
    <definedName name="uStateITCITCBasisFed">'Utility - IPP'!$L$80</definedName>
    <definedName name="uStateITCMax">'Utility - IPP'!$F$80</definedName>
    <definedName name="uStateITCPercent">'Utility - IPP'!$D$80</definedName>
    <definedName name="uStateITCTaxableFed">'Utility - IPP'!$J$80</definedName>
    <definedName name="uStateITCTaxableState">'Utility - IPP'!$K$80</definedName>
    <definedName name="uStatePBI">'Utility - IPP'!$D$86</definedName>
    <definedName name="uStatePBIEsc">'Utility - IPP'!$H$86</definedName>
    <definedName name="uStatePBITaxableFed">'Utility - IPP'!$J$86</definedName>
    <definedName name="uStatePBITaxableState">'Utility - IPP'!$K$86</definedName>
    <definedName name="uStatePBITerm">'Utility - IPP'!$F$86</definedName>
    <definedName name="uStatePTC">'Utility - IPP'!$D$83</definedName>
    <definedName name="uStatePTCEsc">'Utility - IPP'!$H$83</definedName>
    <definedName name="uStatePTCTaxableFed">'Utility - IPP'!$J$83</definedName>
    <definedName name="uStatePTCTaxableState">'Utility - IPP'!$K$83</definedName>
    <definedName name="uStatePTCTerm">'Utility - IPP'!$F$83</definedName>
    <definedName name="uStateTax">'Utility - IPP'!$C$20</definedName>
    <definedName name="uTotalAdjustedInstalledCosts">'Utility - IPP'!$F$45</definedName>
    <definedName name="uTotalCapitalCost">'Utility - IPP'!$F$21</definedName>
    <definedName name="uTotalIndirectCost">'Utility - IPP'!$F$25</definedName>
    <definedName name="uTotalInstalledCosts">'Utility - IPP'!$F$26</definedName>
    <definedName name="uUtilityBuyDown">'Utility - IPP'!$F$43</definedName>
    <definedName name="uUtilityBuyDownCap">'Utility - IPP'!$F$73</definedName>
    <definedName name="uUtilityBuyDownDeprBasisFed">'Utility - IPP'!$N$73</definedName>
    <definedName name="uUtilityBuyDownDeprBasisState">'Utility - IPP'!$O$73</definedName>
    <definedName name="uUtilityBuyDownITCBasisFed">'Utility - IPP'!$L$73</definedName>
    <definedName name="uUtilityBuyDownITCBasisState">'Utility - IPP'!$M$73</definedName>
    <definedName name="uUtilityBuyDownPerWatt">'Utility - IPP'!$D$73</definedName>
    <definedName name="uUtilityBuyDownTaxableFed">'Utility - IPP'!$J$73</definedName>
    <definedName name="uUtilityBuyDownTaxableState">'Utility - IPP'!$K$73</definedName>
    <definedName name="uUtilityFixed">'Utility - IPP'!$F$39</definedName>
    <definedName name="uUtilityFixedDeprBasisFed">'Utility - IPP'!$N$68</definedName>
    <definedName name="uUtilityFixedDeprBasisState">'Utility - IPP'!$O$68</definedName>
    <definedName name="uUtilityFixedITCBasisFed">'Utility - IPP'!$L$68</definedName>
    <definedName name="uUtilityFixedITCBasisState">'Utility - IPP'!$M$68</definedName>
    <definedName name="uUtilityFixedMax">'Utility - IPP'!$F$68</definedName>
    <definedName name="uUtilityFixedPercent">'Utility - IPP'!$D$68</definedName>
    <definedName name="uUtilityPBI">'Utility - IPP'!$D$87</definedName>
    <definedName name="uUtilityPBIEsc">'Utility - IPP'!$H$87</definedName>
    <definedName name="uUtilityPBITaxableFed">'Utility - IPP'!$J$87</definedName>
    <definedName name="uUtilityPBITaxableState">'Utility - IPP'!$K$87</definedName>
    <definedName name="uUtilityPBITerm">'Utility - IPP'!$F$87</definedName>
    <definedName name="uVariableOandM">'Utility - IPP'!$F$30</definedName>
    <definedName name="uVariableOandMEsc">'Utility - IPP'!$F$31</definedName>
  </definedNames>
  <calcPr fullCalcOnLoad="1"/>
</workbook>
</file>

<file path=xl/sharedStrings.xml><?xml version="1.0" encoding="utf-8"?>
<sst xmlns="http://schemas.openxmlformats.org/spreadsheetml/2006/main" count="419" uniqueCount="224">
  <si>
    <t>Year</t>
  </si>
  <si>
    <t>Inflation Rate</t>
  </si>
  <si>
    <t>Real Discount Rate</t>
  </si>
  <si>
    <t>Property Tax</t>
  </si>
  <si>
    <t>Insurance</t>
  </si>
  <si>
    <t>Operating Costs</t>
  </si>
  <si>
    <t>Federal Tax</t>
  </si>
  <si>
    <t>State Tax</t>
  </si>
  <si>
    <t>Effective Tax Rate</t>
  </si>
  <si>
    <t>Analysis Period</t>
  </si>
  <si>
    <t>Finance Costs</t>
  </si>
  <si>
    <t>Principal Payment</t>
  </si>
  <si>
    <t>Tax Deductions</t>
  </si>
  <si>
    <t>First Cost</t>
  </si>
  <si>
    <t>Intermediate Values</t>
  </si>
  <si>
    <t>General</t>
  </si>
  <si>
    <t>Taxes and Insurance</t>
  </si>
  <si>
    <t>Loan</t>
  </si>
  <si>
    <t>Amount</t>
  </si>
  <si>
    <t>Term</t>
  </si>
  <si>
    <t>Rate</t>
  </si>
  <si>
    <t>Performance</t>
  </si>
  <si>
    <t>Values from SAM Inputs</t>
  </si>
  <si>
    <t>Values from SAM Outputs</t>
  </si>
  <si>
    <t>Beginning Balance</t>
  </si>
  <si>
    <t>Interest Payment</t>
  </si>
  <si>
    <t>Output (kWh)</t>
  </si>
  <si>
    <t>TOTAL</t>
  </si>
  <si>
    <t>Nominal Discount Rate</t>
  </si>
  <si>
    <t>Results</t>
  </si>
  <si>
    <t>First Year Annual Output (kWh)</t>
  </si>
  <si>
    <t>Equation</t>
  </si>
  <si>
    <t>Loan (Debt) Percent</t>
  </si>
  <si>
    <t>Includes effect of system derate factor.</t>
  </si>
  <si>
    <t>Financials</t>
  </si>
  <si>
    <t>Array</t>
  </si>
  <si>
    <t>Costs</t>
  </si>
  <si>
    <t>Depreciation</t>
  </si>
  <si>
    <t>4.2.17</t>
  </si>
  <si>
    <t>MACRS (MidQuarter)</t>
  </si>
  <si>
    <t>4.1.2</t>
  </si>
  <si>
    <t>First Year PPA (cents/kWh)</t>
  </si>
  <si>
    <t>Real LCOE (cents/kWh)</t>
  </si>
  <si>
    <t>Actual IRR</t>
  </si>
  <si>
    <t>Nominal LCOE (cents/kWh)</t>
  </si>
  <si>
    <t>Actual Min DSCR</t>
  </si>
  <si>
    <t>System Degradation (%/yr)</t>
  </si>
  <si>
    <t>Constraining Assumptions</t>
  </si>
  <si>
    <t>PPA Escalation</t>
  </si>
  <si>
    <t>Minimum Required IRR</t>
  </si>
  <si>
    <t>Minimum Required DSCR</t>
  </si>
  <si>
    <t>Positive Cashflow</t>
  </si>
  <si>
    <t>Results Page</t>
  </si>
  <si>
    <t>Open Solver (Tools, Solver) to see PPA calculation</t>
  </si>
  <si>
    <t>Actual</t>
  </si>
  <si>
    <t>Required</t>
  </si>
  <si>
    <t>PPA</t>
  </si>
  <si>
    <t>Min DSCR</t>
  </si>
  <si>
    <t>IRR</t>
  </si>
  <si>
    <t>Edit only values in cells with white backgrounds.</t>
  </si>
  <si>
    <t>Incentives</t>
  </si>
  <si>
    <t>Taxable</t>
  </si>
  <si>
    <t>Federal</t>
  </si>
  <si>
    <t>State</t>
  </si>
  <si>
    <t>Fixed, Federal</t>
  </si>
  <si>
    <t>$</t>
  </si>
  <si>
    <t>Fixed, State</t>
  </si>
  <si>
    <t>Fixed, Other</t>
  </si>
  <si>
    <t>$/W</t>
  </si>
  <si>
    <t>ITC, Federal</t>
  </si>
  <si>
    <t>%</t>
  </si>
  <si>
    <t>ITC, State</t>
  </si>
  <si>
    <t>Escal.</t>
  </si>
  <si>
    <t>PTC, Federal</t>
  </si>
  <si>
    <t>$/kwh</t>
  </si>
  <si>
    <t>years</t>
  </si>
  <si>
    <t>PTC, State</t>
  </si>
  <si>
    <t>PBI, Federal</t>
  </si>
  <si>
    <t>PBI, State</t>
  </si>
  <si>
    <t>PBI, Other</t>
  </si>
  <si>
    <t>Sales Tax</t>
  </si>
  <si>
    <t>Federal Incentives</t>
  </si>
  <si>
    <t>State Incentives</t>
  </si>
  <si>
    <t>Other Incentives</t>
  </si>
  <si>
    <t>ITC</t>
  </si>
  <si>
    <t>PTC</t>
  </si>
  <si>
    <t>PBI</t>
  </si>
  <si>
    <t>Credit Basis - State</t>
  </si>
  <si>
    <t>x</t>
  </si>
  <si>
    <t>Federal Fixed</t>
  </si>
  <si>
    <t>State Fixed</t>
  </si>
  <si>
    <t>Other Fixed</t>
  </si>
  <si>
    <t>Costs - Fixed Incentive/Buy-Downs</t>
  </si>
  <si>
    <t>Array Size (kW)</t>
  </si>
  <si>
    <t>Total Adjusted Installed Costs</t>
  </si>
  <si>
    <t>n/a</t>
  </si>
  <si>
    <t>no</t>
  </si>
  <si>
    <t>Fixed, Utility</t>
  </si>
  <si>
    <t>PBI, Utility</t>
  </si>
  <si>
    <t>Fed ITC Basis</t>
  </si>
  <si>
    <t>State ITC Basis</t>
  </si>
  <si>
    <t>Fed Depr Basis</t>
  </si>
  <si>
    <t>State Depr Basis</t>
  </si>
  <si>
    <t>`</t>
  </si>
  <si>
    <t>Utility Incentives</t>
  </si>
  <si>
    <t>Utility Fixed</t>
  </si>
  <si>
    <t>CBI, Utility</t>
  </si>
  <si>
    <t>CBI, Federal</t>
  </si>
  <si>
    <t>CBI, State</t>
  </si>
  <si>
    <t>CBI, Other</t>
  </si>
  <si>
    <t>Federal CBI</t>
  </si>
  <si>
    <t>State CBI</t>
  </si>
  <si>
    <t>Utility CBI</t>
  </si>
  <si>
    <t>Other CBI</t>
  </si>
  <si>
    <t>Federal Type</t>
  </si>
  <si>
    <t>State Type</t>
  </si>
  <si>
    <t>assume no</t>
  </si>
  <si>
    <t>Reduced Basis if non-taxed (Fixed &amp;CBI) or Reduce Basis (ITC)?</t>
  </si>
  <si>
    <t>Credit Basis - Fed</t>
  </si>
  <si>
    <t>Federal Depreciation Schedule</t>
  </si>
  <si>
    <t>State Depreciation Schedule</t>
  </si>
  <si>
    <t>Federal Depreciation</t>
  </si>
  <si>
    <t>State Depreciation</t>
  </si>
  <si>
    <t>Depr. Basis - Fed</t>
  </si>
  <si>
    <t>Depr. Basis - State</t>
  </si>
  <si>
    <t>Maximum</t>
  </si>
  <si>
    <t>Percent w/ Maximum</t>
  </si>
  <si>
    <t>Total Indirect Cost</t>
  </si>
  <si>
    <t>Total Installed Cost</t>
  </si>
  <si>
    <t>% of Direct Costs Sales Tax Applies</t>
  </si>
  <si>
    <t>Fixed O&amp;M ($/kW-yr)</t>
  </si>
  <si>
    <t>Fixed O&amp;M</t>
  </si>
  <si>
    <t>Variable O&amp;M</t>
  </si>
  <si>
    <t>Fixed O&amp;M Real Escalation</t>
  </si>
  <si>
    <t>Variable O&amp;M Real Escalation</t>
  </si>
  <si>
    <t>PRO-FORMA CASH FLOW:</t>
  </si>
  <si>
    <t>Electricity Sales Price ($/kWh)</t>
  </si>
  <si>
    <t>Pre-tax Debt Coverage Ratio</t>
  </si>
  <si>
    <t>Electric Output (kWh)</t>
  </si>
  <si>
    <t>Tax Effect on Equity (Federal)</t>
  </si>
  <si>
    <t>Tax Effect on Equity (State)</t>
  </si>
  <si>
    <t>After Tax Net Equity Cash Flow</t>
  </si>
  <si>
    <t>State and Federal Tax Savings (Liability)</t>
  </si>
  <si>
    <t>Total Income</t>
  </si>
  <si>
    <t>Operating Income</t>
  </si>
  <si>
    <t>Total Taxable Income</t>
  </si>
  <si>
    <t>Income Taxes</t>
  </si>
  <si>
    <t>Production Tax Credit</t>
  </si>
  <si>
    <t>Investment Tax Credit</t>
  </si>
  <si>
    <t>Tax Savings (Liability)</t>
  </si>
  <si>
    <t>State Tax Savings (Liability)</t>
  </si>
  <si>
    <t>Revenues</t>
  </si>
  <si>
    <t>Operating Revenues</t>
  </si>
  <si>
    <t>Fixed O &amp; M Expense</t>
  </si>
  <si>
    <t>Property Taxes</t>
  </si>
  <si>
    <t>Total Operating Expenses</t>
  </si>
  <si>
    <t>Debt Funds</t>
  </si>
  <si>
    <t>Equity Funds</t>
  </si>
  <si>
    <t>Total Capital Investment</t>
  </si>
  <si>
    <t>Cash Available Before Debt</t>
  </si>
  <si>
    <t>Debt Interest Payment</t>
  </si>
  <si>
    <t>Debt Repayment</t>
  </si>
  <si>
    <t>Total Debt Payment</t>
  </si>
  <si>
    <t>Investment Based Incentives (IBI)</t>
  </si>
  <si>
    <t>Federal IBI</t>
  </si>
  <si>
    <t>State IBI</t>
  </si>
  <si>
    <t>Utility IBI</t>
  </si>
  <si>
    <t>Other IBI</t>
  </si>
  <si>
    <t>Capacity Based Incentives (CBI)</t>
  </si>
  <si>
    <t>Performance Based Incentives (PBI)</t>
  </si>
  <si>
    <t>Federal PBI</t>
  </si>
  <si>
    <t>State PBI</t>
  </si>
  <si>
    <t>Utility PBI</t>
  </si>
  <si>
    <t>Other PBI</t>
  </si>
  <si>
    <t>Operating Expenses</t>
  </si>
  <si>
    <t>Financing</t>
  </si>
  <si>
    <t>Engineer, Procure, Construct</t>
  </si>
  <si>
    <t>Project, Land, Other</t>
  </si>
  <si>
    <t>Total Capital (Direct) Cost</t>
  </si>
  <si>
    <t>Heat Rate (MMBtus/MWh)</t>
  </si>
  <si>
    <t>Capital (Direct) Cost</t>
  </si>
  <si>
    <t>Contingency</t>
  </si>
  <si>
    <t>Variable O&amp;M ($/MWh)</t>
  </si>
  <si>
    <t>Fuel Cost ($/MMBtu)</t>
  </si>
  <si>
    <t>Fuel Cost Escalation</t>
  </si>
  <si>
    <t>Variable O &amp; M Expense</t>
  </si>
  <si>
    <t>Fuel O &amp; M Expense</t>
  </si>
  <si>
    <t>rate</t>
  </si>
  <si>
    <t>NPV</t>
  </si>
  <si>
    <t>min cash flow</t>
  </si>
  <si>
    <t xml:space="preserve">              NPV of Target IRR</t>
  </si>
  <si>
    <t xml:space="preserve">             NPV of Target + delta</t>
  </si>
  <si>
    <t>Power Purchase Agreement</t>
  </si>
  <si>
    <t>Module</t>
  </si>
  <si>
    <t>Inverter</t>
  </si>
  <si>
    <t>Storage</t>
  </si>
  <si>
    <t>BOS</t>
  </si>
  <si>
    <t>Installation</t>
  </si>
  <si>
    <t>Project, Land, Misc</t>
  </si>
  <si>
    <t>Sales tax</t>
  </si>
  <si>
    <t>Fixed</t>
  </si>
  <si>
    <t>Variable</t>
  </si>
  <si>
    <t>Fuel</t>
  </si>
  <si>
    <t>After Tax Net Equity Cost Flow</t>
  </si>
  <si>
    <t>O and M</t>
  </si>
  <si>
    <t>Fixed (Annual) O&amp;M ($/yr)</t>
  </si>
  <si>
    <t>Fixed (Annual) O&amp;M Real Esc.</t>
  </si>
  <si>
    <t>Fixed (Annual)</t>
  </si>
  <si>
    <t>Fixed (Annual) O &amp; M Expense</t>
  </si>
  <si>
    <t>Insurance and Property tax</t>
  </si>
  <si>
    <t>Total Direct</t>
  </si>
  <si>
    <t>Total Indirect</t>
  </si>
  <si>
    <t>Present Value (nominal)</t>
  </si>
  <si>
    <t>Capital Costs</t>
  </si>
  <si>
    <t>PV Cost Stacked Bar Breakdown</t>
  </si>
  <si>
    <t>Stacked bar items highlighted</t>
  </si>
  <si>
    <t>CSP Cost Stacked Bar Breakdown</t>
  </si>
  <si>
    <t>Generic Cost Stacked Bar Breakdown</t>
  </si>
  <si>
    <t>Site Improvements</t>
  </si>
  <si>
    <t>Solar Field</t>
  </si>
  <si>
    <t>HTF System</t>
  </si>
  <si>
    <t>Fossil Backup</t>
  </si>
  <si>
    <t>Power Plant</t>
  </si>
  <si>
    <t>Direct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</si>
</sst>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$&quot;#,##0.00"/>
    <numFmt numFmtId="166" formatCode="&quot;$&quot;#,##0.000"/>
    <numFmt numFmtId="167" formatCode="#,##0.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0000"/>
    <numFmt numFmtId="176" formatCode="#,##0.000000"/>
    <numFmt numFmtId="177" formatCode="#,##0.00000"/>
    <numFmt numFmtId="178" formatCode="#,##0.0000"/>
    <numFmt numFmtId="179" formatCode="#,##0.0"/>
    <numFmt numFmtId="180" formatCode="0.0000000000"/>
    <numFmt numFmtId="181" formatCode="0.000000000"/>
    <numFmt numFmtId="182" formatCode="0.0%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[$-409]dddd\,\ mmmm\ dd\,\ yyyy"/>
    <numFmt numFmtId="186" formatCode="0.0\ \-&quot;years&quot;"/>
    <numFmt numFmtId="187" formatCode="0.0\ &quot;years&quot;"/>
    <numFmt numFmtId="188" formatCode="0.000%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name val="Times"/>
      <family val="1"/>
    </font>
    <font>
      <b/>
      <sz val="10"/>
      <name val="Times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1" borderId="10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1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20" borderId="13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10" fontId="0" fillId="20" borderId="0" xfId="0" applyNumberFormat="1" applyFont="1" applyFill="1" applyBorder="1" applyAlignment="1">
      <alignment horizontal="center"/>
    </xf>
    <xf numFmtId="165" fontId="0" fillId="20" borderId="0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10" fontId="0" fillId="20" borderId="13" xfId="0" applyNumberFormat="1" applyFont="1" applyFill="1" applyBorder="1" applyAlignment="1">
      <alignment horizontal="center"/>
    </xf>
    <xf numFmtId="0" fontId="0" fillId="2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20" borderId="14" xfId="0" applyFill="1" applyBorder="1" applyAlignment="1">
      <alignment/>
    </xf>
    <xf numFmtId="0" fontId="0" fillId="0" borderId="0" xfId="0" applyAlignment="1" quotePrefix="1">
      <alignment horizontal="center"/>
    </xf>
    <xf numFmtId="0" fontId="2" fillId="24" borderId="1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20" borderId="0" xfId="0" applyFont="1" applyFill="1" applyBorder="1" applyAlignment="1">
      <alignment horizontal="right"/>
    </xf>
    <xf numFmtId="0" fontId="0" fillId="20" borderId="10" xfId="0" applyFont="1" applyFill="1" applyBorder="1" applyAlignment="1">
      <alignment horizontal="right"/>
    </xf>
    <xf numFmtId="0" fontId="0" fillId="20" borderId="12" xfId="0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0" borderId="0" xfId="0" applyFont="1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/>
    </xf>
    <xf numFmtId="2" fontId="0" fillId="20" borderId="0" xfId="0" applyNumberFormat="1" applyFill="1" applyBorder="1" applyAlignment="1">
      <alignment horizontal="center"/>
    </xf>
    <xf numFmtId="10" fontId="0" fillId="20" borderId="11" xfId="0" applyNumberFormat="1" applyFont="1" applyFill="1" applyBorder="1" applyAlignment="1">
      <alignment horizontal="center"/>
    </xf>
    <xf numFmtId="2" fontId="0" fillId="20" borderId="11" xfId="0" applyNumberForma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1" borderId="0" xfId="0" applyFont="1" applyFill="1" applyBorder="1" applyAlignment="1">
      <alignment/>
    </xf>
    <xf numFmtId="0" fontId="3" fillId="21" borderId="11" xfId="0" applyFont="1" applyFill="1" applyBorder="1" applyAlignment="1">
      <alignment/>
    </xf>
    <xf numFmtId="0" fontId="0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4" fontId="0" fillId="20" borderId="0" xfId="0" applyNumberFormat="1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20" borderId="0" xfId="0" applyFont="1" applyFill="1" applyBorder="1" applyAlignment="1">
      <alignment horizontal="left"/>
    </xf>
    <xf numFmtId="1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20" borderId="10" xfId="0" applyFill="1" applyBorder="1" applyAlignment="1">
      <alignment horizontal="right"/>
    </xf>
    <xf numFmtId="0" fontId="0" fillId="20" borderId="0" xfId="0" applyFill="1" applyAlignment="1">
      <alignment/>
    </xf>
    <xf numFmtId="0" fontId="6" fillId="0" borderId="0" xfId="0" applyFont="1" applyFill="1" applyBorder="1" applyAlignment="1">
      <alignment horizontal="left"/>
    </xf>
    <xf numFmtId="0" fontId="1" fillId="20" borderId="15" xfId="0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4" fontId="0" fillId="20" borderId="17" xfId="0" applyNumberFormat="1" applyFill="1" applyBorder="1" applyAlignment="1">
      <alignment/>
    </xf>
    <xf numFmtId="4" fontId="0" fillId="20" borderId="18" xfId="0" applyNumberFormat="1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9" xfId="0" applyFill="1" applyBorder="1" applyAlignment="1">
      <alignment horizontal="right"/>
    </xf>
    <xf numFmtId="4" fontId="0" fillId="20" borderId="17" xfId="0" applyNumberFormat="1" applyFont="1" applyFill="1" applyBorder="1" applyAlignment="1">
      <alignment/>
    </xf>
    <xf numFmtId="4" fontId="0" fillId="20" borderId="18" xfId="0" applyNumberFormat="1" applyFont="1" applyFill="1" applyBorder="1" applyAlignment="1">
      <alignment/>
    </xf>
    <xf numFmtId="0" fontId="0" fillId="20" borderId="19" xfId="0" applyFont="1" applyFill="1" applyBorder="1" applyAlignment="1">
      <alignment horizontal="right"/>
    </xf>
    <xf numFmtId="0" fontId="2" fillId="25" borderId="19" xfId="0" applyFont="1" applyFill="1" applyBorder="1" applyAlignment="1">
      <alignment horizontal="left"/>
    </xf>
    <xf numFmtId="0" fontId="2" fillId="25" borderId="17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3" fillId="25" borderId="17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0" fillId="20" borderId="17" xfId="0" applyFill="1" applyBorder="1" applyAlignment="1">
      <alignment horizontal="center"/>
    </xf>
    <xf numFmtId="10" fontId="0" fillId="20" borderId="17" xfId="0" applyNumberFormat="1" applyFill="1" applyBorder="1" applyAlignment="1">
      <alignment horizontal="center"/>
    </xf>
    <xf numFmtId="0" fontId="2" fillId="26" borderId="15" xfId="0" applyFont="1" applyFill="1" applyBorder="1" applyAlignment="1">
      <alignment horizontal="center"/>
    </xf>
    <xf numFmtId="0" fontId="2" fillId="26" borderId="16" xfId="0" applyFont="1" applyFill="1" applyBorder="1" applyAlignment="1">
      <alignment horizontal="center"/>
    </xf>
    <xf numFmtId="0" fontId="2" fillId="26" borderId="20" xfId="0" applyFont="1" applyFill="1" applyBorder="1" applyAlignment="1">
      <alignment horizontal="left"/>
    </xf>
    <xf numFmtId="0" fontId="0" fillId="20" borderId="21" xfId="0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22" xfId="0" applyFill="1" applyBorder="1" applyAlignment="1">
      <alignment horizontal="center"/>
    </xf>
    <xf numFmtId="0" fontId="1" fillId="20" borderId="23" xfId="0" applyFont="1" applyFill="1" applyBorder="1" applyAlignment="1">
      <alignment horizontal="center"/>
    </xf>
    <xf numFmtId="2" fontId="1" fillId="20" borderId="17" xfId="0" applyNumberFormat="1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2" fontId="0" fillId="20" borderId="17" xfId="0" applyNumberFormat="1" applyFill="1" applyBorder="1" applyAlignment="1">
      <alignment horizontal="center"/>
    </xf>
    <xf numFmtId="2" fontId="0" fillId="20" borderId="18" xfId="0" applyNumberFormat="1" applyFill="1" applyBorder="1" applyAlignment="1">
      <alignment horizontal="center"/>
    </xf>
    <xf numFmtId="0" fontId="0" fillId="20" borderId="12" xfId="0" applyFill="1" applyBorder="1" applyAlignment="1">
      <alignment/>
    </xf>
    <xf numFmtId="0" fontId="0" fillId="20" borderId="18" xfId="0" applyFill="1" applyBorder="1" applyAlignment="1">
      <alignment horizontal="center"/>
    </xf>
    <xf numFmtId="4" fontId="0" fillId="20" borderId="17" xfId="0" applyNumberFormat="1" applyFont="1" applyFill="1" applyBorder="1" applyAlignment="1">
      <alignment horizontal="center"/>
    </xf>
    <xf numFmtId="4" fontId="0" fillId="20" borderId="17" xfId="0" applyNumberFormat="1" applyFill="1" applyBorder="1" applyAlignment="1">
      <alignment horizontal="center"/>
    </xf>
    <xf numFmtId="4" fontId="0" fillId="20" borderId="18" xfId="0" applyNumberFormat="1" applyFill="1" applyBorder="1" applyAlignment="1">
      <alignment horizontal="center"/>
    </xf>
    <xf numFmtId="10" fontId="0" fillId="20" borderId="18" xfId="0" applyNumberFormat="1" applyFill="1" applyBorder="1" applyAlignment="1">
      <alignment horizontal="center"/>
    </xf>
    <xf numFmtId="0" fontId="0" fillId="20" borderId="25" xfId="0" applyFill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4" fontId="0" fillId="20" borderId="18" xfId="0" applyNumberFormat="1" applyFont="1" applyFill="1" applyBorder="1" applyAlignment="1">
      <alignment horizontal="center"/>
    </xf>
    <xf numFmtId="165" fontId="0" fillId="20" borderId="13" xfId="0" applyNumberFormat="1" applyFont="1" applyFill="1" applyBorder="1" applyAlignment="1">
      <alignment horizontal="center"/>
    </xf>
    <xf numFmtId="165" fontId="0" fillId="20" borderId="10" xfId="0" applyNumberFormat="1" applyFont="1" applyFill="1" applyBorder="1" applyAlignment="1">
      <alignment horizontal="center"/>
    </xf>
    <xf numFmtId="165" fontId="0" fillId="2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0" fontId="0" fillId="20" borderId="0" xfId="44" applyNumberFormat="1" applyFont="1" applyFill="1" applyBorder="1" applyAlignment="1">
      <alignment/>
    </xf>
    <xf numFmtId="165" fontId="0" fillId="20" borderId="12" xfId="0" applyNumberFormat="1" applyFont="1" applyFill="1" applyBorder="1" applyAlignment="1">
      <alignment horizontal="center"/>
    </xf>
    <xf numFmtId="165" fontId="0" fillId="20" borderId="13" xfId="0" applyNumberFormat="1" applyFont="1" applyFill="1" applyBorder="1" applyAlignment="1">
      <alignment horizontal="left"/>
    </xf>
    <xf numFmtId="0" fontId="0" fillId="20" borderId="13" xfId="44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 horizontal="center"/>
    </xf>
    <xf numFmtId="0" fontId="0" fillId="20" borderId="0" xfId="0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26" xfId="0" applyFill="1" applyBorder="1" applyAlignment="1">
      <alignment/>
    </xf>
    <xf numFmtId="0" fontId="6" fillId="20" borderId="26" xfId="0" applyFont="1" applyFill="1" applyBorder="1" applyAlignment="1">
      <alignment horizontal="center"/>
    </xf>
    <xf numFmtId="165" fontId="0" fillId="20" borderId="27" xfId="0" applyNumberFormat="1" applyFont="1" applyFill="1" applyBorder="1" applyAlignment="1">
      <alignment horizontal="left"/>
    </xf>
    <xf numFmtId="0" fontId="6" fillId="20" borderId="27" xfId="0" applyFont="1" applyFill="1" applyBorder="1" applyAlignment="1">
      <alignment horizontal="center"/>
    </xf>
    <xf numFmtId="0" fontId="6" fillId="20" borderId="28" xfId="0" applyFont="1" applyFill="1" applyBorder="1" applyAlignment="1">
      <alignment horizontal="center"/>
    </xf>
    <xf numFmtId="0" fontId="0" fillId="20" borderId="29" xfId="0" applyFill="1" applyBorder="1" applyAlignment="1">
      <alignment/>
    </xf>
    <xf numFmtId="165" fontId="0" fillId="20" borderId="28" xfId="0" applyNumberFormat="1" applyFont="1" applyFill="1" applyBorder="1" applyAlignment="1">
      <alignment horizontal="left"/>
    </xf>
    <xf numFmtId="0" fontId="0" fillId="20" borderId="30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165" fontId="6" fillId="20" borderId="28" xfId="0" applyNumberFormat="1" applyFont="1" applyFill="1" applyBorder="1" applyAlignment="1">
      <alignment horizontal="center"/>
    </xf>
    <xf numFmtId="0" fontId="0" fillId="20" borderId="13" xfId="0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 horizontal="center"/>
    </xf>
    <xf numFmtId="165" fontId="0" fillId="20" borderId="33" xfId="0" applyNumberFormat="1" applyFont="1" applyFill="1" applyBorder="1" applyAlignment="1">
      <alignment horizontal="center"/>
    </xf>
    <xf numFmtId="0" fontId="6" fillId="20" borderId="34" xfId="0" applyFont="1" applyFill="1" applyBorder="1" applyAlignment="1">
      <alignment horizontal="center"/>
    </xf>
    <xf numFmtId="0" fontId="0" fillId="20" borderId="27" xfId="0" applyFont="1" applyFill="1" applyBorder="1" applyAlignment="1">
      <alignment horizontal="center"/>
    </xf>
    <xf numFmtId="0" fontId="0" fillId="20" borderId="28" xfId="0" applyFont="1" applyFill="1" applyBorder="1" applyAlignment="1">
      <alignment horizontal="center"/>
    </xf>
    <xf numFmtId="0" fontId="0" fillId="20" borderId="35" xfId="0" applyFont="1" applyFill="1" applyBorder="1" applyAlignment="1">
      <alignment horizontal="center"/>
    </xf>
    <xf numFmtId="0" fontId="0" fillId="20" borderId="3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20" borderId="29" xfId="0" applyFont="1" applyFill="1" applyBorder="1" applyAlignment="1">
      <alignment horizontal="center"/>
    </xf>
    <xf numFmtId="165" fontId="0" fillId="20" borderId="27" xfId="0" applyNumberFormat="1" applyFont="1" applyFill="1" applyBorder="1" applyAlignment="1">
      <alignment horizontal="center"/>
    </xf>
    <xf numFmtId="0" fontId="0" fillId="20" borderId="0" xfId="0" applyFill="1" applyAlignment="1">
      <alignment horizontal="right"/>
    </xf>
    <xf numFmtId="10" fontId="0" fillId="20" borderId="0" xfId="0" applyNumberFormat="1" applyFont="1" applyFill="1" applyBorder="1" applyAlignment="1">
      <alignment horizontal="right"/>
    </xf>
    <xf numFmtId="0" fontId="0" fillId="20" borderId="0" xfId="0" applyNumberFormat="1" applyFont="1" applyFill="1" applyBorder="1" applyAlignment="1">
      <alignment horizontal="right"/>
    </xf>
    <xf numFmtId="10" fontId="0" fillId="20" borderId="13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11" fontId="0" fillId="0" borderId="0" xfId="0" applyNumberFormat="1" applyFont="1" applyFill="1" applyBorder="1" applyAlignment="1">
      <alignment horizontal="center"/>
    </xf>
    <xf numFmtId="9" fontId="0" fillId="0" borderId="11" xfId="59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2" fontId="0" fillId="0" borderId="0" xfId="0" applyNumberFormat="1" applyAlignment="1">
      <alignment/>
    </xf>
    <xf numFmtId="0" fontId="8" fillId="0" borderId="0" xfId="0" applyFont="1" applyFill="1" applyBorder="1" applyAlignment="1">
      <alignment horizontal="left" indent="2"/>
    </xf>
    <xf numFmtId="15" fontId="1" fillId="0" borderId="0" xfId="0" applyNumberFormat="1" applyFont="1" applyAlignment="1" quotePrefix="1">
      <alignment horizontal="left"/>
    </xf>
    <xf numFmtId="10" fontId="0" fillId="0" borderId="11" xfId="59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20" borderId="0" xfId="0" applyFill="1" applyBorder="1" applyAlignment="1">
      <alignment/>
    </xf>
    <xf numFmtId="8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1" fillId="20" borderId="37" xfId="0" applyFont="1" applyFill="1" applyBorder="1" applyAlignment="1">
      <alignment horizontal="center"/>
    </xf>
    <xf numFmtId="10" fontId="0" fillId="20" borderId="38" xfId="0" applyNumberFormat="1" applyFill="1" applyBorder="1" applyAlignment="1">
      <alignment horizontal="center"/>
    </xf>
    <xf numFmtId="10" fontId="0" fillId="20" borderId="39" xfId="0" applyNumberFormat="1" applyFill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8" fontId="0" fillId="20" borderId="17" xfId="0" applyNumberFormat="1" applyFill="1" applyBorder="1" applyAlignment="1">
      <alignment horizontal="center"/>
    </xf>
    <xf numFmtId="0" fontId="1" fillId="20" borderId="17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8" fontId="1" fillId="0" borderId="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1" xfId="0" applyFont="1" applyFill="1" applyBorder="1" applyAlignment="1">
      <alignment/>
    </xf>
    <xf numFmtId="165" fontId="0" fillId="27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65" fontId="0" fillId="27" borderId="14" xfId="0" applyNumberFormat="1" applyFont="1" applyFill="1" applyBorder="1" applyAlignment="1">
      <alignment/>
    </xf>
    <xf numFmtId="0" fontId="1" fillId="20" borderId="21" xfId="0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1" fillId="20" borderId="4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165" fontId="0" fillId="20" borderId="21" xfId="0" applyNumberFormat="1" applyFont="1" applyFill="1" applyBorder="1" applyAlignment="1">
      <alignment horizontal="center" textRotation="255"/>
    </xf>
    <xf numFmtId="165" fontId="0" fillId="20" borderId="12" xfId="0" applyNumberFormat="1" applyFont="1" applyFill="1" applyBorder="1" applyAlignment="1">
      <alignment horizontal="center" textRotation="255"/>
    </xf>
    <xf numFmtId="165" fontId="0" fillId="20" borderId="22" xfId="0" applyNumberFormat="1" applyFont="1" applyFill="1" applyBorder="1" applyAlignment="1">
      <alignment horizontal="center" vertical="center"/>
    </xf>
    <xf numFmtId="165" fontId="0" fillId="20" borderId="13" xfId="0" applyNumberFormat="1" applyFont="1" applyFill="1" applyBorder="1" applyAlignment="1">
      <alignment horizontal="center" vertical="center"/>
    </xf>
    <xf numFmtId="0" fontId="0" fillId="20" borderId="41" xfId="0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After Tax Net Equity Cash 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'Utility - IPP'!$C$212:$AG$212</c:f>
              <c:numCache>
                <c:ptCount val="31"/>
                <c:pt idx="0">
                  <c:v>-658900</c:v>
                </c:pt>
                <c:pt idx="1">
                  <c:v>602029.0123622011</c:v>
                </c:pt>
                <c:pt idx="2">
                  <c:v>528870.0113408644</c:v>
                </c:pt>
                <c:pt idx="3">
                  <c:v>466712.9364451029</c:v>
                </c:pt>
                <c:pt idx="4">
                  <c:v>429484.4685444728</c:v>
                </c:pt>
                <c:pt idx="5">
                  <c:v>411851.1014499351</c:v>
                </c:pt>
                <c:pt idx="6">
                  <c:v>351876.13849660987</c:v>
                </c:pt>
                <c:pt idx="7">
                  <c:v>327385.54263719835</c:v>
                </c:pt>
                <c:pt idx="8">
                  <c:v>308442.34174974554</c:v>
                </c:pt>
                <c:pt idx="9">
                  <c:v>289011.8662470062</c:v>
                </c:pt>
                <c:pt idx="10">
                  <c:v>269066.6986898135</c:v>
                </c:pt>
                <c:pt idx="11">
                  <c:v>248578.07052147886</c:v>
                </c:pt>
                <c:pt idx="12">
                  <c:v>227515.79061437256</c:v>
                </c:pt>
                <c:pt idx="13">
                  <c:v>205848.1699733906</c:v>
                </c:pt>
                <c:pt idx="14">
                  <c:v>183541.94238600347</c:v>
                </c:pt>
                <c:pt idx="15">
                  <c:v>160562.18079694785</c:v>
                </c:pt>
                <c:pt idx="16">
                  <c:v>204714.3743434979</c:v>
                </c:pt>
                <c:pt idx="17">
                  <c:v>181620.5778655369</c:v>
                </c:pt>
                <c:pt idx="18">
                  <c:v>157818.28995516876</c:v>
                </c:pt>
                <c:pt idx="19">
                  <c:v>133269.85160210807</c:v>
                </c:pt>
                <c:pt idx="20">
                  <c:v>107935.74252869592</c:v>
                </c:pt>
                <c:pt idx="21">
                  <c:v>81774.48394393397</c:v>
                </c:pt>
                <c:pt idx="22">
                  <c:v>54742.53612943593</c:v>
                </c:pt>
                <c:pt idx="23">
                  <c:v>26794.190578400197</c:v>
                </c:pt>
                <c:pt idx="24">
                  <c:v>-2118.54360648136</c:v>
                </c:pt>
                <c:pt idx="25">
                  <c:v>-32046.05936629812</c:v>
                </c:pt>
                <c:pt idx="26">
                  <c:v>-63041.27771739663</c:v>
                </c:pt>
                <c:pt idx="27">
                  <c:v>-95159.78050591514</c:v>
                </c:pt>
                <c:pt idx="28">
                  <c:v>-128459.95024904436</c:v>
                </c:pt>
                <c:pt idx="29">
                  <c:v>-163003.1174465267</c:v>
                </c:pt>
                <c:pt idx="30">
                  <c:v>-198853.7157668434</c:v>
                </c:pt>
              </c:numCache>
            </c:numRef>
          </c:val>
        </c:ser>
        <c:axId val="39062450"/>
        <c:axId val="16017731"/>
      </c:barChart>
      <c:catAx>
        <c:axId val="3906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17731"/>
        <c:crosses val="autoZero"/>
        <c:auto val="1"/>
        <c:lblOffset val="100"/>
        <c:noMultiLvlLbl val="0"/>
      </c:catAx>
      <c:valAx>
        <c:axId val="16017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62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NPV of After Tax Net Equity Cash Flow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'NPV Detail'!$A$4:$A$44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'NPV Detail'!$B$4:$B$44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'NPV Detail'!$A$4:$A$44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'NPV Detail'!$B$4:$B$44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9941852"/>
        <c:axId val="22367805"/>
      </c:scatterChart>
      <c:valAx>
        <c:axId val="9941852"/>
        <c:scaling>
          <c:orientation val="minMax"/>
          <c:max val="1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22367805"/>
        <c:crosses val="autoZero"/>
        <c:crossBetween val="midCat"/>
        <c:dispUnits/>
        <c:majorUnit val="0.5"/>
        <c:minorUnit val="0.1"/>
      </c:valAx>
      <c:valAx>
        <c:axId val="22367805"/>
        <c:scaling>
          <c:orientation val="minMax"/>
          <c:max val="1000000"/>
          <c:min val="-1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1852"/>
        <c:crosses val="autoZero"/>
        <c:crossBetween val="midCat"/>
        <c:dispUnits/>
        <c:majorUnit val="5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'NPV Detail'!$A$4:$A$44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'NPV Detail'!$B$4:$B$44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'NPV Detail'!$A$4:$A$44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'NPV Detail'!$B$4:$B$44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67092518"/>
        <c:axId val="66961751"/>
      </c:scatterChart>
      <c:valAx>
        <c:axId val="67092518"/>
        <c:scaling>
          <c:orientation val="minMax"/>
          <c:max val="1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66961751"/>
        <c:crosses val="autoZero"/>
        <c:crossBetween val="midCat"/>
        <c:dispUnits/>
        <c:majorUnit val="0.5"/>
        <c:minorUnit val="0.1"/>
      </c:valAx>
      <c:valAx>
        <c:axId val="66961751"/>
        <c:scaling>
          <c:orientation val="minMax"/>
          <c:max val="1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92518"/>
        <c:crosses val="autoZero"/>
        <c:crossBetween val="midCat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7</xdr:col>
      <xdr:colOff>219075</xdr:colOff>
      <xdr:row>3</xdr:row>
      <xdr:rowOff>66675</xdr:rowOff>
    </xdr:to>
    <xdr:pic>
      <xdr:nvPicPr>
        <xdr:cNvPr id="1" name="btnRunS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52400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990600</xdr:colOff>
      <xdr:row>0</xdr:row>
      <xdr:rowOff>28575</xdr:rowOff>
    </xdr:from>
    <xdr:to>
      <xdr:col>10</xdr:col>
      <xdr:colOff>609600</xdr:colOff>
      <xdr:row>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382125" y="28575"/>
          <a:ext cx="32194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- Button requires Solver add-in (Tools, Add-Ins). 
- Open Solver to see calculation (Tools, Solver).
- Note that small discrepancies between these results and those in Solar Advisor are due to differences in the search algorithm used by the Excel Solver and Solar Advisor.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19050</xdr:rowOff>
    </xdr:from>
    <xdr:to>
      <xdr:col>13</xdr:col>
      <xdr:colOff>47625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5143500" y="6010275"/>
        <a:ext cx="67246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12</xdr:col>
      <xdr:colOff>581025</xdr:colOff>
      <xdr:row>18</xdr:row>
      <xdr:rowOff>152400</xdr:rowOff>
    </xdr:to>
    <xdr:graphicFrame>
      <xdr:nvGraphicFramePr>
        <xdr:cNvPr id="2" name="Chart 2"/>
        <xdr:cNvGraphicFramePr/>
      </xdr:nvGraphicFramePr>
      <xdr:xfrm>
        <a:off x="5172075" y="0"/>
        <a:ext cx="66198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114300</xdr:colOff>
      <xdr:row>18</xdr:row>
      <xdr:rowOff>38100</xdr:rowOff>
    </xdr:from>
    <xdr:to>
      <xdr:col>12</xdr:col>
      <xdr:colOff>533400</xdr:colOff>
      <xdr:row>37</xdr:row>
      <xdr:rowOff>95250</xdr:rowOff>
    </xdr:to>
    <xdr:graphicFrame>
      <xdr:nvGraphicFramePr>
        <xdr:cNvPr id="3" name="Chart 3"/>
        <xdr:cNvGraphicFramePr/>
      </xdr:nvGraphicFramePr>
      <xdr:xfrm>
        <a:off x="5229225" y="2952750"/>
        <a:ext cx="651510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$/@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J234"/>
  <sheetViews>
    <sheetView tabSelected="1" zoomScale="75" zoomScaleNormal="75" workbookViewId="0" topLeftCell="D7">
      <selection activeCell="O26" sqref="O26"/>
    </sheetView>
  </sheetViews>
  <sheetFormatPr defaultColWidth="9.140625" defaultRowHeight="12.75"/>
  <cols>
    <col min="1" max="1" width="11.00390625" style="0" customWidth="1"/>
    <col min="2" max="2" width="32.00390625" style="0" customWidth="1"/>
    <col min="3" max="3" width="16.140625" style="0" customWidth="1"/>
    <col min="4" max="4" width="18.7109375" style="0" customWidth="1"/>
    <col min="5" max="7" width="16.00390625" style="0" customWidth="1"/>
    <col min="8" max="8" width="22.00390625" style="0" customWidth="1"/>
    <col min="9" max="10" width="16.00390625" style="0" customWidth="1"/>
    <col min="11" max="11" width="27.00390625" style="0" customWidth="1"/>
    <col min="12" max="35" width="16.00390625" style="0" customWidth="1"/>
  </cols>
  <sheetData>
    <row r="1" spans="1:6" ht="12.75">
      <c r="A1" s="3"/>
      <c r="C1" s="3"/>
      <c r="F1" s="3"/>
    </row>
    <row r="2" spans="1:6" ht="12.75">
      <c r="A2" s="3"/>
      <c r="B2" s="5"/>
      <c r="C2" s="3"/>
      <c r="F2" s="3"/>
    </row>
    <row r="3" spans="1:6" ht="12.75">
      <c r="A3" s="3"/>
      <c r="B3" s="32"/>
      <c r="C3" s="3"/>
      <c r="F3" s="3"/>
    </row>
    <row r="4" spans="1:6" ht="12.75">
      <c r="A4" s="3"/>
      <c r="B4" s="32" t="s">
        <v>59</v>
      </c>
      <c r="C4" s="3"/>
      <c r="F4" s="3"/>
    </row>
    <row r="5" spans="1:6" ht="12.75">
      <c r="A5" s="3"/>
      <c r="B5" s="156">
        <v>39101</v>
      </c>
      <c r="C5" s="3"/>
      <c r="F5" s="3"/>
    </row>
    <row r="6" spans="1:6" ht="13.5" thickBot="1">
      <c r="A6" s="7"/>
      <c r="B6" s="8"/>
      <c r="C6" s="37"/>
      <c r="D6" s="8"/>
      <c r="E6" s="8"/>
      <c r="F6" s="37"/>
    </row>
    <row r="7" spans="1:6" ht="12.75">
      <c r="A7" s="3"/>
      <c r="B7" s="191" t="s">
        <v>29</v>
      </c>
      <c r="C7" s="192"/>
      <c r="D7" s="192"/>
      <c r="E7" s="192"/>
      <c r="F7" s="193"/>
    </row>
    <row r="8" spans="1:15" ht="12.75">
      <c r="A8" s="4" t="s">
        <v>31</v>
      </c>
      <c r="B8" s="16"/>
      <c r="C8" s="38"/>
      <c r="D8" s="13"/>
      <c r="E8" s="33" t="s">
        <v>41</v>
      </c>
      <c r="F8" s="39">
        <f>uPPA</f>
        <v>12.087973763596963</v>
      </c>
      <c r="O8" s="171"/>
    </row>
    <row r="9" spans="1:15" ht="12.75">
      <c r="A9" s="3">
        <v>3.1</v>
      </c>
      <c r="B9" s="34" t="s">
        <v>42</v>
      </c>
      <c r="C9" s="40">
        <f>NPV(uNominalDiscountRate,uRequiredRevenue)*100/NPV(uRealDiscountRate,uOutput)</f>
        <v>9.383001046955977</v>
      </c>
      <c r="D9" s="13"/>
      <c r="E9" s="33" t="s">
        <v>43</v>
      </c>
      <c r="F9" s="41">
        <f>uActualIRR</f>
        <v>0.8041154674423769</v>
      </c>
      <c r="O9" s="171"/>
    </row>
    <row r="10" spans="1:14" ht="15.75">
      <c r="A10" s="3">
        <v>3.2</v>
      </c>
      <c r="B10" s="34" t="s">
        <v>44</v>
      </c>
      <c r="C10" s="40">
        <f>NPV(uNominalDiscountRate,uRequiredRevenue)*100/NPV(uNominalDiscountRate,uOutput)</f>
        <v>12.08797376359696</v>
      </c>
      <c r="D10" s="13"/>
      <c r="E10" s="33" t="s">
        <v>45</v>
      </c>
      <c r="F10" s="42">
        <f>uActualMinDSCR</f>
        <v>5.000000010668862</v>
      </c>
      <c r="H10" s="170" t="s">
        <v>214</v>
      </c>
      <c r="K10" s="170" t="s">
        <v>216</v>
      </c>
      <c r="M10" s="180"/>
      <c r="N10" s="170" t="s">
        <v>217</v>
      </c>
    </row>
    <row r="11" spans="2:14" ht="13.5" thickBot="1">
      <c r="B11" s="91"/>
      <c r="C11" s="62"/>
      <c r="D11" s="62"/>
      <c r="E11" s="62"/>
      <c r="F11" s="29"/>
      <c r="H11" t="s">
        <v>215</v>
      </c>
      <c r="K11" t="s">
        <v>215</v>
      </c>
      <c r="M11" s="174"/>
      <c r="N11" t="s">
        <v>215</v>
      </c>
    </row>
    <row r="12" spans="1:6" ht="13.5" thickBot="1">
      <c r="A12" s="3"/>
      <c r="B12" s="191" t="s">
        <v>22</v>
      </c>
      <c r="C12" s="192"/>
      <c r="D12" s="192"/>
      <c r="E12" s="192"/>
      <c r="F12" s="193"/>
    </row>
    <row r="13" spans="1:16" ht="12.75">
      <c r="A13" s="3"/>
      <c r="B13" s="15" t="s">
        <v>34</v>
      </c>
      <c r="C13" s="43"/>
      <c r="D13" s="13"/>
      <c r="E13" s="10" t="s">
        <v>35</v>
      </c>
      <c r="F13" s="44"/>
      <c r="H13" s="181"/>
      <c r="I13" s="182" t="s">
        <v>213</v>
      </c>
      <c r="K13" s="181"/>
      <c r="L13" s="182" t="s">
        <v>213</v>
      </c>
      <c r="N13" s="181"/>
      <c r="O13" s="182" t="s">
        <v>213</v>
      </c>
      <c r="P13" s="173"/>
    </row>
    <row r="14" spans="1:16" ht="12.75">
      <c r="A14" s="3"/>
      <c r="B14" s="6" t="s">
        <v>15</v>
      </c>
      <c r="C14" s="45"/>
      <c r="D14" s="13"/>
      <c r="E14" s="11" t="s">
        <v>21</v>
      </c>
      <c r="F14" s="46"/>
      <c r="H14" s="177"/>
      <c r="I14" s="183"/>
      <c r="K14" s="177"/>
      <c r="L14" s="183"/>
      <c r="N14" s="177"/>
      <c r="O14" s="183"/>
      <c r="P14" s="173"/>
    </row>
    <row r="15" spans="1:16" ht="12.75">
      <c r="A15" s="3"/>
      <c r="B15" s="34" t="s">
        <v>9</v>
      </c>
      <c r="C15" s="27">
        <v>30</v>
      </c>
      <c r="D15" s="47"/>
      <c r="E15" s="33" t="s">
        <v>46</v>
      </c>
      <c r="F15" s="24">
        <v>0.01</v>
      </c>
      <c r="H15" s="177"/>
      <c r="I15" s="183"/>
      <c r="K15" s="177" t="s">
        <v>218</v>
      </c>
      <c r="L15" s="184">
        <v>100000</v>
      </c>
      <c r="N15" s="177"/>
      <c r="O15" s="183"/>
      <c r="P15" s="173"/>
    </row>
    <row r="16" spans="1:16" ht="12.75">
      <c r="A16" s="3"/>
      <c r="B16" s="34" t="s">
        <v>1</v>
      </c>
      <c r="C16" s="19">
        <v>0.025</v>
      </c>
      <c r="D16" s="48"/>
      <c r="E16" s="138" t="s">
        <v>93</v>
      </c>
      <c r="F16" s="111">
        <v>1000</v>
      </c>
      <c r="H16" s="177" t="s">
        <v>193</v>
      </c>
      <c r="I16" s="184">
        <v>100000</v>
      </c>
      <c r="K16" s="185" t="s">
        <v>219</v>
      </c>
      <c r="L16" s="184">
        <v>600000</v>
      </c>
      <c r="N16" s="177"/>
      <c r="O16" s="183"/>
      <c r="P16" s="173"/>
    </row>
    <row r="17" spans="1:16" ht="12.75">
      <c r="A17" s="3"/>
      <c r="B17" s="34" t="s">
        <v>2</v>
      </c>
      <c r="C17" s="19">
        <v>0.055</v>
      </c>
      <c r="D17" s="48"/>
      <c r="E17" s="138" t="s">
        <v>179</v>
      </c>
      <c r="F17" s="111">
        <v>10</v>
      </c>
      <c r="H17" s="177" t="s">
        <v>194</v>
      </c>
      <c r="I17" s="184">
        <v>150000</v>
      </c>
      <c r="K17" s="177" t="s">
        <v>220</v>
      </c>
      <c r="L17" s="184">
        <v>50000</v>
      </c>
      <c r="N17" s="177"/>
      <c r="O17" s="183"/>
      <c r="P17" s="173"/>
    </row>
    <row r="18" spans="1:16" ht="12.75">
      <c r="A18" s="3"/>
      <c r="B18" s="6" t="s">
        <v>16</v>
      </c>
      <c r="C18" s="45"/>
      <c r="D18" s="13"/>
      <c r="E18" s="10" t="s">
        <v>36</v>
      </c>
      <c r="F18" s="44"/>
      <c r="H18" s="177" t="s">
        <v>195</v>
      </c>
      <c r="I18" s="184">
        <v>0</v>
      </c>
      <c r="K18" s="177" t="s">
        <v>195</v>
      </c>
      <c r="L18" s="184">
        <v>50000</v>
      </c>
      <c r="N18" s="177"/>
      <c r="O18" s="183"/>
      <c r="P18" s="173"/>
    </row>
    <row r="19" spans="1:16" ht="12.75">
      <c r="A19" s="3"/>
      <c r="B19" s="34" t="s">
        <v>6</v>
      </c>
      <c r="C19" s="19">
        <v>0.28</v>
      </c>
      <c r="D19" s="62"/>
      <c r="E19" s="33" t="s">
        <v>180</v>
      </c>
      <c r="F19" s="23">
        <v>1000000</v>
      </c>
      <c r="H19" s="177" t="s">
        <v>196</v>
      </c>
      <c r="I19" s="184">
        <v>500000</v>
      </c>
      <c r="K19" s="177" t="s">
        <v>221</v>
      </c>
      <c r="L19" s="184">
        <v>0</v>
      </c>
      <c r="N19" s="177"/>
      <c r="O19" s="183"/>
      <c r="P19" s="173"/>
    </row>
    <row r="20" spans="1:16" ht="12.75">
      <c r="A20" s="3"/>
      <c r="B20" s="34" t="s">
        <v>7</v>
      </c>
      <c r="C20" s="19">
        <v>0.07</v>
      </c>
      <c r="D20" s="62"/>
      <c r="E20" s="33" t="s">
        <v>181</v>
      </c>
      <c r="F20" s="24">
        <v>0.1</v>
      </c>
      <c r="H20" s="177" t="s">
        <v>197</v>
      </c>
      <c r="I20" s="184">
        <v>250000</v>
      </c>
      <c r="K20" s="177" t="s">
        <v>222</v>
      </c>
      <c r="L20" s="184">
        <v>200000</v>
      </c>
      <c r="N20" s="177" t="s">
        <v>223</v>
      </c>
      <c r="O20" s="184">
        <v>1000000</v>
      </c>
      <c r="P20" s="173"/>
    </row>
    <row r="21" spans="1:16" ht="12.75">
      <c r="A21" s="3"/>
      <c r="B21" s="34" t="s">
        <v>3</v>
      </c>
      <c r="C21" s="19">
        <v>0.03</v>
      </c>
      <c r="D21" s="62"/>
      <c r="E21" s="33" t="s">
        <v>178</v>
      </c>
      <c r="F21" s="23">
        <f>F19*(1+F20)</f>
        <v>1100000</v>
      </c>
      <c r="H21" s="177" t="s">
        <v>181</v>
      </c>
      <c r="I21" s="184">
        <f>$F20*SUM(I16:I20)</f>
        <v>100000</v>
      </c>
      <c r="K21" s="177" t="s">
        <v>181</v>
      </c>
      <c r="L21" s="184">
        <f>$F20*SUM(L15:L20)</f>
        <v>100000</v>
      </c>
      <c r="N21" s="177" t="s">
        <v>181</v>
      </c>
      <c r="O21" s="184">
        <v>100000</v>
      </c>
      <c r="P21" s="173"/>
    </row>
    <row r="22" spans="1:16" ht="12.75">
      <c r="A22" s="3"/>
      <c r="B22" s="34" t="s">
        <v>80</v>
      </c>
      <c r="C22" s="19">
        <v>0.06</v>
      </c>
      <c r="D22" s="62"/>
      <c r="E22" s="33" t="s">
        <v>176</v>
      </c>
      <c r="F22" s="24">
        <v>0.05</v>
      </c>
      <c r="H22" s="177" t="s">
        <v>210</v>
      </c>
      <c r="I22" s="186">
        <f>SUM(I16:I21)</f>
        <v>1100000</v>
      </c>
      <c r="K22" s="177" t="s">
        <v>210</v>
      </c>
      <c r="L22" s="186">
        <f>SUM(L15:L21)</f>
        <v>1100000</v>
      </c>
      <c r="N22" s="177" t="s">
        <v>210</v>
      </c>
      <c r="O22" s="186">
        <f>O20+O21</f>
        <v>1100000</v>
      </c>
      <c r="P22" s="173"/>
    </row>
    <row r="23" spans="1:16" ht="12.75">
      <c r="A23" s="3"/>
      <c r="B23" s="34" t="s">
        <v>4</v>
      </c>
      <c r="C23" s="19">
        <v>0.02</v>
      </c>
      <c r="D23" s="48"/>
      <c r="E23" s="33" t="s">
        <v>177</v>
      </c>
      <c r="F23" s="24">
        <v>0.1</v>
      </c>
      <c r="H23" s="178"/>
      <c r="I23" s="186"/>
      <c r="K23" s="178"/>
      <c r="L23" s="186"/>
      <c r="N23" s="178"/>
      <c r="O23" s="186"/>
      <c r="P23" s="173"/>
    </row>
    <row r="24" spans="1:16" ht="12.75">
      <c r="A24" s="3"/>
      <c r="B24" s="6" t="s">
        <v>17</v>
      </c>
      <c r="C24" s="45"/>
      <c r="D24" s="48"/>
      <c r="E24" s="33" t="s">
        <v>129</v>
      </c>
      <c r="F24" s="24">
        <v>0.8</v>
      </c>
      <c r="H24" s="177" t="s">
        <v>176</v>
      </c>
      <c r="I24" s="187">
        <v>55000</v>
      </c>
      <c r="K24" s="177" t="s">
        <v>176</v>
      </c>
      <c r="L24" s="187">
        <v>55000</v>
      </c>
      <c r="N24" s="177" t="s">
        <v>176</v>
      </c>
      <c r="O24" s="187">
        <v>55000</v>
      </c>
      <c r="P24" s="173"/>
    </row>
    <row r="25" spans="1:15" ht="12.75">
      <c r="A25" s="3" t="s">
        <v>40</v>
      </c>
      <c r="B25" s="34" t="s">
        <v>18</v>
      </c>
      <c r="C25" s="49">
        <f>uLoanDebtPercent*uTotalAdjustedInstalledCosts</f>
        <v>658900</v>
      </c>
      <c r="D25" s="47"/>
      <c r="E25" s="33" t="s">
        <v>127</v>
      </c>
      <c r="F25" s="23">
        <f>+uEPCPercent*uTotalCapitalCost+uPLOPercent*uTotalCapitalCost+uSalesPercentofDirect*uTotalCapitalCost*uSalesTax</f>
        <v>217800</v>
      </c>
      <c r="H25" s="177" t="s">
        <v>198</v>
      </c>
      <c r="I25" s="187">
        <v>110000</v>
      </c>
      <c r="K25" s="177" t="s">
        <v>198</v>
      </c>
      <c r="L25" s="187">
        <v>110000</v>
      </c>
      <c r="N25" s="177" t="s">
        <v>198</v>
      </c>
      <c r="O25" s="187">
        <v>110000</v>
      </c>
    </row>
    <row r="26" spans="1:15" ht="12.75">
      <c r="A26" s="3"/>
      <c r="B26" s="34" t="s">
        <v>32</v>
      </c>
      <c r="C26" s="19">
        <v>0.5</v>
      </c>
      <c r="D26" s="47"/>
      <c r="E26" s="33" t="s">
        <v>128</v>
      </c>
      <c r="F26" s="23">
        <f>uTotalCapitalCost+uTotalIndirectCost</f>
        <v>1317800</v>
      </c>
      <c r="H26" s="177" t="s">
        <v>199</v>
      </c>
      <c r="I26" s="187">
        <f>I22*uSalesPercentofDirect*uSalesTax</f>
        <v>52800</v>
      </c>
      <c r="K26" s="177" t="s">
        <v>199</v>
      </c>
      <c r="L26" s="187">
        <f>L22*uSalesPercentofDirect*uSalesTax</f>
        <v>52800</v>
      </c>
      <c r="N26" s="177" t="s">
        <v>199</v>
      </c>
      <c r="O26" s="187">
        <f>O22*uSalesPercentofDirect*uSalesTax</f>
        <v>52800</v>
      </c>
    </row>
    <row r="27" spans="1:16" ht="12.75">
      <c r="A27" s="3"/>
      <c r="B27" s="34" t="s">
        <v>19</v>
      </c>
      <c r="C27" s="9">
        <v>15</v>
      </c>
      <c r="D27" s="47"/>
      <c r="E27" s="33"/>
      <c r="F27" s="14"/>
      <c r="H27" s="177" t="s">
        <v>211</v>
      </c>
      <c r="I27" s="184">
        <f>SUM(I24:I26)</f>
        <v>217800</v>
      </c>
      <c r="K27" s="177" t="s">
        <v>211</v>
      </c>
      <c r="L27" s="184">
        <f>SUM(L24:L26)</f>
        <v>217800</v>
      </c>
      <c r="N27" s="177" t="s">
        <v>211</v>
      </c>
      <c r="O27" s="184">
        <f>SUM(O24:O26)</f>
        <v>217800</v>
      </c>
      <c r="P27" s="173"/>
    </row>
    <row r="28" spans="1:16" ht="12.75">
      <c r="A28" s="3"/>
      <c r="B28" s="34" t="s">
        <v>20</v>
      </c>
      <c r="C28" s="19">
        <v>0.06</v>
      </c>
      <c r="D28" s="48"/>
      <c r="E28" s="33" t="s">
        <v>130</v>
      </c>
      <c r="F28" s="23">
        <v>150</v>
      </c>
      <c r="H28" s="178"/>
      <c r="I28" s="186"/>
      <c r="K28" s="178"/>
      <c r="L28" s="186"/>
      <c r="N28" s="178"/>
      <c r="O28" s="186"/>
      <c r="P28" s="173"/>
    </row>
    <row r="29" spans="1:16" ht="12.75">
      <c r="A29" s="3"/>
      <c r="B29" s="6" t="s">
        <v>37</v>
      </c>
      <c r="C29" s="45"/>
      <c r="D29" s="13"/>
      <c r="E29" s="33" t="s">
        <v>133</v>
      </c>
      <c r="F29" s="144">
        <v>0.01</v>
      </c>
      <c r="H29" s="178" t="s">
        <v>128</v>
      </c>
      <c r="I29" s="186">
        <f>I22+I27</f>
        <v>1317800</v>
      </c>
      <c r="K29" s="178" t="s">
        <v>128</v>
      </c>
      <c r="L29" s="186">
        <f>L22+L27</f>
        <v>1317800</v>
      </c>
      <c r="N29" s="178" t="s">
        <v>128</v>
      </c>
      <c r="O29" s="186">
        <f>O22+O27</f>
        <v>1317800</v>
      </c>
      <c r="P29" s="173"/>
    </row>
    <row r="30" spans="1:15" ht="12.75">
      <c r="A30" s="3"/>
      <c r="B30" s="61" t="s">
        <v>114</v>
      </c>
      <c r="C30" s="51" t="s">
        <v>39</v>
      </c>
      <c r="D30" s="48"/>
      <c r="E30" s="33" t="s">
        <v>182</v>
      </c>
      <c r="F30" s="23">
        <v>0.1</v>
      </c>
      <c r="H30" s="178"/>
      <c r="I30" s="186"/>
      <c r="K30" s="178"/>
      <c r="L30" s="186"/>
      <c r="N30" s="178"/>
      <c r="O30" s="186"/>
    </row>
    <row r="31" spans="1:16" ht="25.5">
      <c r="A31" s="3"/>
      <c r="B31" s="61" t="s">
        <v>115</v>
      </c>
      <c r="C31" s="51" t="s">
        <v>39</v>
      </c>
      <c r="D31" s="13"/>
      <c r="E31" s="33" t="s">
        <v>134</v>
      </c>
      <c r="F31" s="157">
        <v>0.02</v>
      </c>
      <c r="H31" s="177"/>
      <c r="I31" s="188" t="s">
        <v>212</v>
      </c>
      <c r="K31" s="177"/>
      <c r="L31" s="188" t="s">
        <v>212</v>
      </c>
      <c r="N31" s="177"/>
      <c r="O31" s="188" t="s">
        <v>212</v>
      </c>
      <c r="P31" s="173"/>
    </row>
    <row r="32" spans="1:16" ht="12.75">
      <c r="A32" s="3"/>
      <c r="B32" s="6" t="s">
        <v>192</v>
      </c>
      <c r="C32" s="45"/>
      <c r="D32" s="62"/>
      <c r="E32" s="33" t="s">
        <v>183</v>
      </c>
      <c r="F32" s="23">
        <v>1.3</v>
      </c>
      <c r="H32" s="178"/>
      <c r="I32" s="186"/>
      <c r="K32" s="178"/>
      <c r="L32" s="186"/>
      <c r="N32" s="178"/>
      <c r="O32" s="186"/>
      <c r="P32" s="173"/>
    </row>
    <row r="33" spans="1:16" ht="12.75">
      <c r="A33" s="3"/>
      <c r="B33" s="34" t="s">
        <v>48</v>
      </c>
      <c r="C33" s="19">
        <v>0</v>
      </c>
      <c r="D33" s="48"/>
      <c r="E33" s="33" t="s">
        <v>184</v>
      </c>
      <c r="F33" s="157">
        <v>0.03</v>
      </c>
      <c r="H33" s="177" t="s">
        <v>200</v>
      </c>
      <c r="I33" s="187">
        <f>NPV(uNominalDiscountRate,$D138:$AG138)</f>
        <v>2366084.821800146</v>
      </c>
      <c r="K33" s="177" t="s">
        <v>200</v>
      </c>
      <c r="L33" s="187">
        <f>NPV(uNominalDiscountRate,$D138:$AG138)</f>
        <v>2366084.821800146</v>
      </c>
      <c r="N33" s="177" t="s">
        <v>200</v>
      </c>
      <c r="O33" s="187">
        <f>NPV(uNominalDiscountRate,$D138:$AG138)</f>
        <v>2366084.821800146</v>
      </c>
      <c r="P33" s="173"/>
    </row>
    <row r="34" spans="1:16" ht="12.75">
      <c r="A34" s="3"/>
      <c r="B34" s="6" t="s">
        <v>47</v>
      </c>
      <c r="C34" s="45"/>
      <c r="D34" s="48"/>
      <c r="E34" s="33" t="s">
        <v>205</v>
      </c>
      <c r="F34" s="23">
        <v>1000</v>
      </c>
      <c r="H34" s="177" t="s">
        <v>201</v>
      </c>
      <c r="I34" s="187">
        <f>NPV(uNominalDiscountRate,$D139:$AG139)</f>
        <v>13750.245135419056</v>
      </c>
      <c r="K34" s="177" t="s">
        <v>201</v>
      </c>
      <c r="L34" s="187">
        <f>NPV(uNominalDiscountRate,$D139:$AG139)</f>
        <v>13750.245135419056</v>
      </c>
      <c r="N34" s="177" t="s">
        <v>201</v>
      </c>
      <c r="O34" s="187">
        <f>NPV(uNominalDiscountRate,$D139:$AG139)</f>
        <v>13750.245135419056</v>
      </c>
      <c r="P34" s="173"/>
    </row>
    <row r="35" spans="1:16" ht="12.75">
      <c r="A35" s="3"/>
      <c r="B35" s="34" t="s">
        <v>49</v>
      </c>
      <c r="C35" s="19">
        <v>0.15</v>
      </c>
      <c r="D35" s="48"/>
      <c r="E35" s="33" t="s">
        <v>206</v>
      </c>
      <c r="F35" s="157">
        <v>0.04</v>
      </c>
      <c r="H35" s="177" t="s">
        <v>202</v>
      </c>
      <c r="I35" s="187">
        <f>NPV(uNominalDiscountRate,$D140:$AG140)</f>
        <v>2259281.2516243146</v>
      </c>
      <c r="K35" s="177" t="s">
        <v>202</v>
      </c>
      <c r="L35" s="187">
        <f>NPV(uNominalDiscountRate,$D140:$AG140)</f>
        <v>2259281.2516243146</v>
      </c>
      <c r="N35" s="177" t="s">
        <v>202</v>
      </c>
      <c r="O35" s="187">
        <f>NPV(uNominalDiscountRate,$D140:$AG140)</f>
        <v>2259281.2516243146</v>
      </c>
      <c r="P35" s="173"/>
    </row>
    <row r="36" spans="1:16" ht="12.75">
      <c r="A36" s="3"/>
      <c r="B36" s="34" t="s">
        <v>50</v>
      </c>
      <c r="C36" s="52">
        <v>5</v>
      </c>
      <c r="D36" s="13"/>
      <c r="E36" s="10" t="s">
        <v>92</v>
      </c>
      <c r="F36" s="22"/>
      <c r="H36" s="177" t="s">
        <v>207</v>
      </c>
      <c r="I36" s="187">
        <f>NPV(uNominalDiscountRate,$D137:$AG137)</f>
        <v>22430.476698360973</v>
      </c>
      <c r="K36" s="177" t="s">
        <v>207</v>
      </c>
      <c r="L36" s="187">
        <f>NPV(uNominalDiscountRate,$D137:$AG137)</f>
        <v>22430.476698360973</v>
      </c>
      <c r="N36" s="177" t="s">
        <v>207</v>
      </c>
      <c r="O36" s="187">
        <f>NPV(uNominalDiscountRate,$D137:$AG137)</f>
        <v>22430.476698360973</v>
      </c>
      <c r="P36" s="173"/>
    </row>
    <row r="37" spans="1:16" ht="12.75">
      <c r="A37" s="3"/>
      <c r="B37" s="34" t="s">
        <v>51</v>
      </c>
      <c r="C37" s="52" t="s">
        <v>96</v>
      </c>
      <c r="D37" s="13"/>
      <c r="E37" s="110" t="s">
        <v>89</v>
      </c>
      <c r="F37" s="23">
        <f>+IF(uFixedTypeFed="Percent w/ Maximum",IF(uFedFixedPercent/100*uTotalInstalledCosts&lt;uFedFixedMax,uFedFixedPercent/100*uTotalInstalledCosts,uFedFixedMax),uFedFixedMax)</f>
        <v>0</v>
      </c>
      <c r="H37" s="177" t="s">
        <v>204</v>
      </c>
      <c r="I37" s="184">
        <f>SUM(I33:I36)</f>
        <v>4661546.795258241</v>
      </c>
      <c r="K37" s="177" t="s">
        <v>204</v>
      </c>
      <c r="L37" s="184">
        <f>SUM(L33:L36)</f>
        <v>4661546.795258241</v>
      </c>
      <c r="N37" s="177" t="s">
        <v>204</v>
      </c>
      <c r="O37" s="184">
        <f>SUM(O33:O36)</f>
        <v>4661546.795258241</v>
      </c>
      <c r="P37" s="173"/>
    </row>
    <row r="38" spans="1:16" ht="12.75">
      <c r="A38" s="3"/>
      <c r="B38" s="34"/>
      <c r="C38" s="112"/>
      <c r="D38" s="13"/>
      <c r="E38" s="110" t="s">
        <v>90</v>
      </c>
      <c r="F38" s="23">
        <f>+IF(uFixedTypeState="Percent w/ Maximum",IF(uStateFixedPercent/100*uTotalInstalledCosts&lt;uStateFixedMax,uStateFixedPercent/100*uTotalInstalledCosts,uStateFixedMax),uStateFixedMax)</f>
        <v>0</v>
      </c>
      <c r="H38" s="178"/>
      <c r="I38" s="186"/>
      <c r="K38" s="178"/>
      <c r="L38" s="186"/>
      <c r="N38" s="178"/>
      <c r="O38" s="186"/>
      <c r="P38" s="173"/>
    </row>
    <row r="39" spans="1:16" ht="12.75">
      <c r="A39" s="3"/>
      <c r="B39" s="34"/>
      <c r="C39" s="112"/>
      <c r="D39" s="13"/>
      <c r="E39" s="110" t="s">
        <v>105</v>
      </c>
      <c r="F39" s="23">
        <f>+IF(uFixedTypeUtility="Percent w/ Maximum",IF(uUtilityFixedPercent/100*uTotalInstalledCosts&lt;uUtilityFixedMax,uUtilityFixedPercent/100*uTotalInstalledCosts,uUtilityFixedMax),uUtilityFixedMax)</f>
        <v>0</v>
      </c>
      <c r="H39" s="177" t="s">
        <v>154</v>
      </c>
      <c r="I39" s="187">
        <f>NPV(uNominalDiscountRate,$D142:$AG142)</f>
        <v>560563.0064342838</v>
      </c>
      <c r="K39" s="177" t="s">
        <v>154</v>
      </c>
      <c r="L39" s="187">
        <f>NPV(uNominalDiscountRate,$D142:$AG142)</f>
        <v>560563.0064342838</v>
      </c>
      <c r="N39" s="177" t="s">
        <v>154</v>
      </c>
      <c r="O39" s="187">
        <f>NPV(uNominalDiscountRate,$D142:$AG142)</f>
        <v>560563.0064342838</v>
      </c>
      <c r="P39" s="173"/>
    </row>
    <row r="40" spans="1:16" ht="12.75">
      <c r="A40" s="3"/>
      <c r="B40" s="34"/>
      <c r="C40" s="112"/>
      <c r="D40" s="13"/>
      <c r="E40" s="110" t="s">
        <v>91</v>
      </c>
      <c r="F40" s="23">
        <f>+IF(uFixedTypeOther="Percent w/ Maximum",IF(uOtherFixedPercent/100*uTotalInstalledCosts&lt;uOtherFixedMax,uOtherFixedPercent/100*uTotalInstalledCosts,uOtherFixedMax),uOtherFixedMax)</f>
        <v>0</v>
      </c>
      <c r="H40" s="177" t="s">
        <v>4</v>
      </c>
      <c r="I40" s="187">
        <f>NPV(uNominalDiscountRate,$D141:$AG141)</f>
        <v>373708.6709561892</v>
      </c>
      <c r="K40" s="177" t="s">
        <v>4</v>
      </c>
      <c r="L40" s="187">
        <f>NPV(uNominalDiscountRate,$D141:$AG141)</f>
        <v>373708.6709561892</v>
      </c>
      <c r="N40" s="177" t="s">
        <v>4</v>
      </c>
      <c r="O40" s="187">
        <f>NPV(uNominalDiscountRate,$D141:$AG141)</f>
        <v>373708.6709561892</v>
      </c>
      <c r="P40" s="173"/>
    </row>
    <row r="41" spans="1:16" ht="13.5" thickBot="1">
      <c r="A41" s="3"/>
      <c r="B41" s="34"/>
      <c r="C41" s="112"/>
      <c r="D41" s="13"/>
      <c r="E41" s="110" t="s">
        <v>110</v>
      </c>
      <c r="F41" s="23">
        <f>IF(uArraySize*1000*uFedBuyDownPerWatt&lt;uFedBuyDownCap,uArraySize*1000*uFedBuyDownPerWatt,uFedBuyDownCap)</f>
        <v>0</v>
      </c>
      <c r="H41" s="189" t="s">
        <v>209</v>
      </c>
      <c r="I41" s="190">
        <f>SUM(I39:I40)</f>
        <v>934271.677390473</v>
      </c>
      <c r="K41" s="189" t="s">
        <v>209</v>
      </c>
      <c r="L41" s="190">
        <f>SUM(L39:L40)</f>
        <v>934271.677390473</v>
      </c>
      <c r="N41" s="189" t="s">
        <v>209</v>
      </c>
      <c r="O41" s="190">
        <f>SUM(O39:O40)</f>
        <v>934271.677390473</v>
      </c>
      <c r="P41" s="175"/>
    </row>
    <row r="42" spans="1:16" ht="12.75">
      <c r="A42" s="3"/>
      <c r="B42" s="34"/>
      <c r="C42" s="112"/>
      <c r="D42" s="13"/>
      <c r="E42" s="110" t="s">
        <v>111</v>
      </c>
      <c r="F42" s="23">
        <f>IF(uArraySize*1000*uStateBuyDownPerWatt&lt;uStateBuyDownCap,uArraySize*1000*uStateBuyDownPerWatt,uStateBuyDownCap)</f>
        <v>0</v>
      </c>
      <c r="H42" s="172"/>
      <c r="I42" s="173"/>
      <c r="O42" s="173"/>
      <c r="P42" s="173"/>
    </row>
    <row r="43" spans="1:16" ht="12.75">
      <c r="A43" s="3"/>
      <c r="B43" s="34"/>
      <c r="C43" s="112"/>
      <c r="D43" s="13"/>
      <c r="E43" s="110" t="s">
        <v>112</v>
      </c>
      <c r="F43" s="23">
        <f>IF(uArraySize*1000*uUtilityBuyDownPerWatt&lt;uUtilityBuyDownCap,uArraySize*1000*uUtilityBuyDownPerWatt,uUtilityBuyDownCap)</f>
        <v>0</v>
      </c>
      <c r="H43" s="172"/>
      <c r="I43" s="173"/>
      <c r="O43" s="173"/>
      <c r="P43" s="173"/>
    </row>
    <row r="44" spans="1:16" ht="12.75">
      <c r="A44" s="3"/>
      <c r="B44" s="34"/>
      <c r="C44" s="112"/>
      <c r="D44" s="13"/>
      <c r="E44" s="110" t="s">
        <v>113</v>
      </c>
      <c r="F44" s="23">
        <f>IF(uArraySize*1000*uOtherBuyDownPerWatt&lt;uOtherBuyDownCap,uArraySize*1000*uOtherBuyDownPerWatt,uOtherBuyDownCap)</f>
        <v>0</v>
      </c>
      <c r="H44" s="2"/>
      <c r="I44" s="2"/>
      <c r="J44" s="173"/>
      <c r="K44" s="173"/>
      <c r="L44" s="173"/>
      <c r="M44" s="173"/>
      <c r="N44" s="173"/>
      <c r="O44" s="173"/>
      <c r="P44" s="173"/>
    </row>
    <row r="45" spans="1:16" ht="13.5" thickBot="1">
      <c r="A45" s="3"/>
      <c r="B45" s="35"/>
      <c r="C45" s="53"/>
      <c r="D45" s="18"/>
      <c r="E45" s="124" t="s">
        <v>94</v>
      </c>
      <c r="F45" s="145">
        <f>+uTotalInstalledCosts-SUM(F37:F44)</f>
        <v>1317800</v>
      </c>
      <c r="H45" s="2"/>
      <c r="I45" s="2"/>
      <c r="J45" s="174"/>
      <c r="K45" s="174"/>
      <c r="L45" s="173"/>
      <c r="M45" s="179"/>
      <c r="N45" s="2"/>
      <c r="O45" s="173"/>
      <c r="P45" s="175"/>
    </row>
    <row r="46" spans="1:36" ht="12.75">
      <c r="A46" s="3"/>
      <c r="B46" s="194" t="s">
        <v>23</v>
      </c>
      <c r="C46" s="195"/>
      <c r="D46" s="195"/>
      <c r="E46" s="195"/>
      <c r="F46" s="196"/>
      <c r="H46" s="2"/>
      <c r="I46" s="173"/>
      <c r="J46" s="173"/>
      <c r="K46" s="173"/>
      <c r="L46" s="173"/>
      <c r="M46" s="173"/>
      <c r="N46" s="176"/>
      <c r="O46" s="173"/>
      <c r="P46" s="17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</row>
    <row r="47" spans="1:36" ht="12.75">
      <c r="A47" s="3"/>
      <c r="B47" s="31" t="s">
        <v>52</v>
      </c>
      <c r="C47" s="43"/>
      <c r="D47" s="56"/>
      <c r="E47" s="13"/>
      <c r="F47" s="50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spans="1:36" ht="13.5" thickBot="1">
      <c r="A48" s="3"/>
      <c r="B48" s="17" t="s">
        <v>30</v>
      </c>
      <c r="C48" s="25">
        <v>8760000</v>
      </c>
      <c r="D48" s="18" t="s">
        <v>33</v>
      </c>
      <c r="E48" s="62"/>
      <c r="F48" s="54"/>
      <c r="P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</row>
    <row r="49" spans="1:36" ht="12.75">
      <c r="A49" s="3"/>
      <c r="B49" s="191" t="s">
        <v>14</v>
      </c>
      <c r="C49" s="192"/>
      <c r="D49" s="192"/>
      <c r="E49" s="192"/>
      <c r="F49" s="193"/>
      <c r="P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</row>
    <row r="50" spans="1:36" ht="12.75">
      <c r="A50" s="3">
        <v>6.5</v>
      </c>
      <c r="B50" s="34" t="s">
        <v>8</v>
      </c>
      <c r="C50" s="20">
        <f>uFederalTax+(1-uFederalTax)*uStateTax</f>
        <v>0.3304</v>
      </c>
      <c r="D50" s="139"/>
      <c r="E50" s="13"/>
      <c r="F50" s="50"/>
      <c r="P50" s="55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5"/>
    </row>
    <row r="51" spans="1:36" ht="12.75">
      <c r="A51" s="3" t="s">
        <v>38</v>
      </c>
      <c r="B51" s="61" t="s">
        <v>118</v>
      </c>
      <c r="C51" s="21">
        <f>uTotalInstalledCosts-IF(uFedFixedITCBasisFed="x",uFedFixed,0)-IF(uStateFixedITCBasisFed="x",uStateFixed,0)-IF(uUtilityFixedITCBasisFed="x",uUtilityFixed,0)-IF(uOtherFixedITCBasisFed="x",uOtherFixed,0)-IF(uFedBuyDownITCBasisFed="x",uFedBuyDown,0)-IF(uStateBuyDownITCBasisFed="x",uStateBuyDown,0)-IF(uUtilityBuyDownITCBasisFed="x",uUtilityBuyDown,0)-IF(uOtherBuyDownITCBasisFed="x",uOtherBuyDown,0)</f>
        <v>1317800</v>
      </c>
      <c r="D51" s="33" t="s">
        <v>123</v>
      </c>
      <c r="E51" s="21">
        <f>+uTotalInstalledCosts-IF(uFedFixedDeprBasisFed="x",F37,0)-IF(uStateFixedDeprBasisFed="x",F38,0)-IF(uUtilityFixedDeprBasisFed="x",F39,0)-IF(uOtherFixedDeprBasisFed="x",F40,0)-IF(uFedBuyDownDeprBasisFed="x",F41,0)-IF(uStateBuyDownDeprBasisFed="x",F42,0)-IF(uUtilityBuyDownDeprBasisFed="x",F43,0)-IF(uOtherBuyDownDeprBasisFed="x",F44,0)-IF(uFedITCDeprBasisFed="x",0.5*uFedITCAmount,0)-IF(uStateITCDeprBasisFed="x",0.5*uStateITCAmount,0)</f>
        <v>1317800</v>
      </c>
      <c r="F51" s="50"/>
      <c r="P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</row>
    <row r="52" spans="1:36" ht="12.75">
      <c r="A52" s="3"/>
      <c r="B52" s="34" t="s">
        <v>87</v>
      </c>
      <c r="C52" s="21">
        <f>uTotalInstalledCosts-IF(uFedFixedITCBasisState="x",F37,0)-IF(uStateFixedITCBasisState="x",F38,0)-IF(uUtilityFixedITCBasisState="x",F39,0)-IF(uOtherFixedITCBasisState="x",F40,0)-IF(uFedBuyDownITCBasisState="x",F41,0)-IF(uStateBuyDownITCBasisState="x",F42,0)-IF(uUtilityBuyDownITCBasisState="x",F43,0)-IF(uOtherBuyDownITCBasisState="x",F44,0)</f>
        <v>1317800</v>
      </c>
      <c r="D52" s="140" t="s">
        <v>124</v>
      </c>
      <c r="E52" s="21">
        <f>+uTotalInstalledCosts-IF(uFedFixedDeprBasisState="x",F37,0)-IF(uStateFixedDeprBasisState="x",F38,0)-IF(uUtilityFixedDeprBasisState="x",F39,0)-IF(uOtherFixedDeprBasisState="x",F40,0)-IF(uFedBuyDownDeprBasisState="x",F41,0)-IF(uStateBuyDownDeprBasisState="x",F42,0)-IF(uUtilityBuyDownDeprBasisState="x",F43,0)-IF(uOtherBuyDownDeprBasisState="x",F44,0)-IF(uFedITCDeprBasisState="x",0.5*uFedITCAmount,0)-IF(uStateITCDeprBasisState="x",0.5*uStateITCAmount,0)</f>
        <v>1317800</v>
      </c>
      <c r="F52" s="50"/>
      <c r="P52" s="3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3" spans="1:36" ht="13.5" thickBot="1">
      <c r="A53" s="3">
        <v>3.3</v>
      </c>
      <c r="B53" s="35" t="s">
        <v>28</v>
      </c>
      <c r="C53" s="26">
        <f>(1+uRealDiscountRate)*(1+uInflationRate)-1</f>
        <v>0.08137499999999975</v>
      </c>
      <c r="D53" s="141"/>
      <c r="E53" s="18"/>
      <c r="F53" s="54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</row>
    <row r="54" spans="1:36" ht="12.75">
      <c r="A54" s="3"/>
      <c r="B54" s="2"/>
      <c r="C54" s="9"/>
      <c r="D54" s="2"/>
      <c r="E54" s="2"/>
      <c r="F54" s="9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</row>
    <row r="55" spans="1:36" ht="13.5" thickBot="1">
      <c r="A55" s="3"/>
      <c r="D55" s="3"/>
      <c r="E55" s="3"/>
      <c r="F55" s="3"/>
      <c r="G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J55" s="55"/>
    </row>
    <row r="56" spans="1:36" ht="12.75">
      <c r="A56" s="7"/>
      <c r="B56" s="83" t="s">
        <v>53</v>
      </c>
      <c r="C56" s="84"/>
      <c r="D56" s="85"/>
      <c r="E56" s="64" t="s">
        <v>54</v>
      </c>
      <c r="F56" s="65" t="s">
        <v>55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J56" s="55"/>
    </row>
    <row r="57" spans="1:36" ht="12.75">
      <c r="A57" s="3">
        <v>5.4</v>
      </c>
      <c r="B57" s="86" t="s">
        <v>56</v>
      </c>
      <c r="C57" s="87">
        <v>12.087973763596963</v>
      </c>
      <c r="D57" s="88" t="s">
        <v>57</v>
      </c>
      <c r="E57" s="89">
        <f>IF(ISNUMBER(uDSCR),MIN(uDSCR),"N/A")</f>
        <v>5.000000010668862</v>
      </c>
      <c r="F57" s="90">
        <f>uMinReqDSCR</f>
        <v>5</v>
      </c>
      <c r="G57" s="3"/>
      <c r="H57" s="3"/>
      <c r="I57" s="3"/>
      <c r="J57" s="3"/>
      <c r="K57" s="5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J57" s="55"/>
    </row>
    <row r="58" spans="1:36" ht="13.5" thickBot="1">
      <c r="A58" s="3"/>
      <c r="B58" s="91"/>
      <c r="C58" s="161"/>
      <c r="D58" s="164" t="s">
        <v>58</v>
      </c>
      <c r="E58" s="165">
        <f>IF(NOT(ISNUMBER(IRR(uAfterTaxCashflow,uMinReqIRR))),-2*ABS(uMinReqIRR),IRR(uAfterTaxCashflow,uMinReqIRR))</f>
        <v>0.8041154674423769</v>
      </c>
      <c r="F58" s="166">
        <f>uMinReqIRR</f>
        <v>0.15</v>
      </c>
      <c r="G58" s="3"/>
      <c r="H58" s="59"/>
      <c r="I58" s="3"/>
      <c r="J58" s="3"/>
      <c r="K58" s="5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J58" s="55"/>
    </row>
    <row r="59" spans="1:36" ht="12.75">
      <c r="A59" s="3"/>
      <c r="B59" s="161"/>
      <c r="C59" s="68"/>
      <c r="D59" s="167" t="s">
        <v>189</v>
      </c>
      <c r="E59" s="168">
        <f>MIN(uCashflow)</f>
        <v>-198853.7157668434</v>
      </c>
      <c r="F59" s="79" t="str">
        <f>uPositiveCashflow</f>
        <v>no</v>
      </c>
      <c r="G59" s="3"/>
      <c r="H59" s="3"/>
      <c r="I59" s="3"/>
      <c r="J59" s="3"/>
      <c r="K59" s="5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J59" s="55"/>
    </row>
    <row r="60" spans="1:36" ht="13.5" customHeight="1">
      <c r="A60" s="7"/>
      <c r="B60" s="161"/>
      <c r="C60" s="169" t="s">
        <v>190</v>
      </c>
      <c r="D60" s="167"/>
      <c r="E60" s="168">
        <f>NPV(uMinReqIRR,uCashflow)+cashflow_0</f>
        <v>1783595.018707354</v>
      </c>
      <c r="F60" s="79"/>
      <c r="G60" s="3"/>
      <c r="H60" s="5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J60" s="55"/>
    </row>
    <row r="61" spans="1:36" ht="13.5" customHeight="1">
      <c r="A61" s="7"/>
      <c r="B61" s="161"/>
      <c r="C61" s="169" t="s">
        <v>191</v>
      </c>
      <c r="D61" s="167"/>
      <c r="E61" s="168">
        <f>NPV(uMinReqIRR+0.1%,uCashflow)+cashflow_0</f>
        <v>1773716.4263465502</v>
      </c>
      <c r="F61" s="79"/>
      <c r="G61" s="3"/>
      <c r="H61" s="5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J61" s="55"/>
    </row>
    <row r="62" spans="1:36" ht="13.5" customHeight="1" thickBot="1">
      <c r="A62" s="7"/>
      <c r="B62" s="7"/>
      <c r="C62" s="7"/>
      <c r="D62" s="7"/>
      <c r="E62" s="7"/>
      <c r="F62" s="7"/>
      <c r="G62" s="3"/>
      <c r="H62" s="5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J62" s="55"/>
    </row>
    <row r="63" spans="1:36" ht="13.5" customHeight="1">
      <c r="A63" s="7"/>
      <c r="B63" s="197"/>
      <c r="C63" s="199" t="s">
        <v>60</v>
      </c>
      <c r="D63" s="199"/>
      <c r="E63" s="199"/>
      <c r="F63" s="199"/>
      <c r="G63" s="199"/>
      <c r="H63" s="199"/>
      <c r="I63" s="199"/>
      <c r="J63" s="199" t="s">
        <v>61</v>
      </c>
      <c r="K63" s="199"/>
      <c r="L63" s="201" t="s">
        <v>117</v>
      </c>
      <c r="M63" s="202"/>
      <c r="N63" s="202"/>
      <c r="O63" s="20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J63" s="55"/>
    </row>
    <row r="64" spans="1:36" ht="13.5" customHeight="1" thickBot="1">
      <c r="A64" s="7"/>
      <c r="B64" s="198"/>
      <c r="C64" s="200"/>
      <c r="D64" s="200"/>
      <c r="E64" s="200"/>
      <c r="F64" s="200"/>
      <c r="G64" s="200"/>
      <c r="H64" s="200"/>
      <c r="I64" s="200"/>
      <c r="J64" s="101" t="s">
        <v>62</v>
      </c>
      <c r="K64" s="53" t="s">
        <v>63</v>
      </c>
      <c r="L64" s="120" t="s">
        <v>99</v>
      </c>
      <c r="M64" s="121" t="s">
        <v>100</v>
      </c>
      <c r="N64" s="97" t="s">
        <v>101</v>
      </c>
      <c r="O64" s="122" t="s">
        <v>102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J64" s="55"/>
    </row>
    <row r="65" spans="1:36" ht="13.5" customHeight="1">
      <c r="A65" s="7"/>
      <c r="B65" s="102"/>
      <c r="C65" s="62"/>
      <c r="D65" s="21"/>
      <c r="E65" s="62"/>
      <c r="F65" s="21"/>
      <c r="G65" s="103"/>
      <c r="H65" s="103"/>
      <c r="I65" s="103"/>
      <c r="J65" s="21"/>
      <c r="K65" s="112"/>
      <c r="L65" s="118"/>
      <c r="M65" s="113"/>
      <c r="N65" s="115"/>
      <c r="O65" s="119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J65" s="55"/>
    </row>
    <row r="66" spans="1:36" ht="13.5" customHeight="1">
      <c r="A66" s="142"/>
      <c r="B66" s="51" t="s">
        <v>126</v>
      </c>
      <c r="C66" s="103" t="s">
        <v>64</v>
      </c>
      <c r="D66" s="3"/>
      <c r="E66" s="62" t="s">
        <v>70</v>
      </c>
      <c r="F66" s="143">
        <v>1000000000000</v>
      </c>
      <c r="G66" s="62" t="s">
        <v>65</v>
      </c>
      <c r="H66" s="103"/>
      <c r="I66" s="103"/>
      <c r="J66" s="104" t="s">
        <v>88</v>
      </c>
      <c r="K66" s="104" t="s">
        <v>88</v>
      </c>
      <c r="L66" s="125"/>
      <c r="M66" s="126"/>
      <c r="N66" s="128"/>
      <c r="O66" s="127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J66" s="55"/>
    </row>
    <row r="67" spans="1:36" ht="13.5" customHeight="1">
      <c r="A67" s="142"/>
      <c r="B67" s="51" t="s">
        <v>126</v>
      </c>
      <c r="C67" s="103" t="s">
        <v>66</v>
      </c>
      <c r="D67" s="3"/>
      <c r="E67" s="62" t="s">
        <v>70</v>
      </c>
      <c r="F67" s="143">
        <v>1000000000000</v>
      </c>
      <c r="G67" s="103" t="s">
        <v>65</v>
      </c>
      <c r="H67" s="103"/>
      <c r="I67" s="103"/>
      <c r="J67" s="104" t="s">
        <v>88</v>
      </c>
      <c r="K67" s="9" t="s">
        <v>88</v>
      </c>
      <c r="L67" s="125"/>
      <c r="M67" s="126"/>
      <c r="N67" s="128"/>
      <c r="O67" s="127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J67" s="55"/>
    </row>
    <row r="68" spans="1:36" ht="13.5" customHeight="1">
      <c r="A68" s="142"/>
      <c r="B68" s="51" t="s">
        <v>126</v>
      </c>
      <c r="C68" s="103" t="s">
        <v>97</v>
      </c>
      <c r="D68" s="3"/>
      <c r="E68" s="62" t="s">
        <v>70</v>
      </c>
      <c r="F68" s="143">
        <v>1000000000000</v>
      </c>
      <c r="G68" s="103" t="s">
        <v>65</v>
      </c>
      <c r="H68" s="103"/>
      <c r="I68" s="103"/>
      <c r="J68" s="104" t="s">
        <v>88</v>
      </c>
      <c r="K68" s="9" t="s">
        <v>88</v>
      </c>
      <c r="L68" s="125"/>
      <c r="M68" s="126"/>
      <c r="N68" s="128"/>
      <c r="O68" s="127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J68" s="55"/>
    </row>
    <row r="69" spans="1:36" ht="13.5" customHeight="1">
      <c r="A69" s="142"/>
      <c r="B69" s="51" t="s">
        <v>126</v>
      </c>
      <c r="C69" s="103" t="s">
        <v>67</v>
      </c>
      <c r="D69" s="3"/>
      <c r="E69" s="62" t="s">
        <v>70</v>
      </c>
      <c r="F69" s="143">
        <v>1000000000000</v>
      </c>
      <c r="G69" s="105" t="s">
        <v>65</v>
      </c>
      <c r="H69" s="103"/>
      <c r="I69" s="103"/>
      <c r="J69" s="104" t="s">
        <v>88</v>
      </c>
      <c r="K69" s="9" t="s">
        <v>88</v>
      </c>
      <c r="L69" s="125"/>
      <c r="M69" s="126"/>
      <c r="N69" s="128"/>
      <c r="O69" s="127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J69" s="55"/>
    </row>
    <row r="70" spans="1:36" ht="13.5" customHeight="1">
      <c r="A70" s="142"/>
      <c r="B70" s="21"/>
      <c r="C70" s="103"/>
      <c r="D70" s="27"/>
      <c r="E70" s="105"/>
      <c r="F70" s="21" t="s">
        <v>125</v>
      </c>
      <c r="G70" s="103"/>
      <c r="H70" s="103"/>
      <c r="I70" s="103"/>
      <c r="J70" s="38"/>
      <c r="K70" s="38"/>
      <c r="L70" s="136"/>
      <c r="M70" s="116"/>
      <c r="N70" s="137"/>
      <c r="O70" s="117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J70" s="55"/>
    </row>
    <row r="71" spans="1:36" ht="13.5" customHeight="1">
      <c r="A71" s="142"/>
      <c r="B71" s="21"/>
      <c r="C71" s="103" t="s">
        <v>107</v>
      </c>
      <c r="D71" s="51"/>
      <c r="E71" s="103" t="s">
        <v>68</v>
      </c>
      <c r="F71" s="143">
        <f>10^12</f>
        <v>1000000000000</v>
      </c>
      <c r="G71" s="103" t="s">
        <v>65</v>
      </c>
      <c r="H71" s="103"/>
      <c r="I71" s="103"/>
      <c r="J71" s="104"/>
      <c r="K71" s="104"/>
      <c r="L71" s="125" t="s">
        <v>88</v>
      </c>
      <c r="M71" s="126" t="s">
        <v>88</v>
      </c>
      <c r="N71" s="128"/>
      <c r="O71" s="127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J71" s="55"/>
    </row>
    <row r="72" spans="1:36" ht="13.5" customHeight="1">
      <c r="A72" s="142"/>
      <c r="B72" s="21"/>
      <c r="C72" s="103" t="s">
        <v>108</v>
      </c>
      <c r="D72" s="51"/>
      <c r="E72" s="103" t="s">
        <v>68</v>
      </c>
      <c r="F72" s="143">
        <f>10^12</f>
        <v>1000000000000</v>
      </c>
      <c r="G72" s="103" t="s">
        <v>65</v>
      </c>
      <c r="H72" s="103"/>
      <c r="I72" s="103"/>
      <c r="J72" s="104" t="s">
        <v>88</v>
      </c>
      <c r="K72" s="9" t="s">
        <v>88</v>
      </c>
      <c r="L72" s="125"/>
      <c r="M72" s="126"/>
      <c r="N72" s="128"/>
      <c r="O72" s="127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J72" s="55"/>
    </row>
    <row r="73" spans="1:36" ht="13.5" customHeight="1">
      <c r="A73" s="142"/>
      <c r="B73" s="21"/>
      <c r="C73" s="103" t="s">
        <v>106</v>
      </c>
      <c r="D73" s="51"/>
      <c r="E73" s="103" t="s">
        <v>68</v>
      </c>
      <c r="F73" s="143">
        <f>10^12</f>
        <v>1000000000000</v>
      </c>
      <c r="G73" s="103" t="s">
        <v>65</v>
      </c>
      <c r="H73" s="103"/>
      <c r="I73" s="103"/>
      <c r="J73" s="104" t="s">
        <v>88</v>
      </c>
      <c r="K73" s="9" t="s">
        <v>88</v>
      </c>
      <c r="L73" s="125"/>
      <c r="M73" s="126"/>
      <c r="N73" s="128"/>
      <c r="O73" s="127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J73" s="55"/>
    </row>
    <row r="74" spans="1:36" ht="13.5" customHeight="1">
      <c r="A74" s="142"/>
      <c r="B74" s="21"/>
      <c r="C74" s="103" t="s">
        <v>109</v>
      </c>
      <c r="D74" s="51"/>
      <c r="E74" s="105" t="s">
        <v>68</v>
      </c>
      <c r="F74" s="143">
        <f>10^12</f>
        <v>1000000000000</v>
      </c>
      <c r="G74" s="103" t="s">
        <v>65</v>
      </c>
      <c r="H74" s="103"/>
      <c r="I74" s="103"/>
      <c r="J74" s="104" t="s">
        <v>88</v>
      </c>
      <c r="K74" s="9" t="s">
        <v>88</v>
      </c>
      <c r="L74" s="125"/>
      <c r="M74" s="126"/>
      <c r="N74" s="128"/>
      <c r="O74" s="127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J74" s="55"/>
    </row>
    <row r="75" spans="1:36" ht="13.5" customHeight="1">
      <c r="A75" s="142"/>
      <c r="B75" s="21"/>
      <c r="C75" s="103"/>
      <c r="D75" s="27"/>
      <c r="E75" s="62"/>
      <c r="F75" s="21"/>
      <c r="G75" s="103"/>
      <c r="H75" s="103"/>
      <c r="I75" s="103"/>
      <c r="J75" s="21"/>
      <c r="K75" s="38"/>
      <c r="L75" s="136"/>
      <c r="M75" s="116"/>
      <c r="N75" s="137"/>
      <c r="O75" s="12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J75" s="55"/>
    </row>
    <row r="76" spans="1:36" ht="13.5" customHeight="1">
      <c r="A76" s="142"/>
      <c r="B76" s="21"/>
      <c r="C76" s="103" t="s">
        <v>69</v>
      </c>
      <c r="D76" s="51"/>
      <c r="E76" s="62" t="s">
        <v>65</v>
      </c>
      <c r="F76" s="21"/>
      <c r="G76" s="103"/>
      <c r="H76" s="103"/>
      <c r="I76" s="103"/>
      <c r="J76" s="21" t="s">
        <v>95</v>
      </c>
      <c r="K76" s="21" t="s">
        <v>96</v>
      </c>
      <c r="L76" s="136"/>
      <c r="M76" s="116"/>
      <c r="N76" s="128" t="s">
        <v>88</v>
      </c>
      <c r="O76" s="127" t="s">
        <v>88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J76" s="55"/>
    </row>
    <row r="77" spans="1:36" ht="13.5" customHeight="1">
      <c r="A77" s="142"/>
      <c r="B77" s="21"/>
      <c r="C77" s="103" t="s">
        <v>71</v>
      </c>
      <c r="D77" s="51"/>
      <c r="E77" s="62" t="s">
        <v>65</v>
      </c>
      <c r="F77" s="21"/>
      <c r="G77" s="103"/>
      <c r="H77" s="103"/>
      <c r="I77" s="103"/>
      <c r="J77" s="21" t="s">
        <v>96</v>
      </c>
      <c r="K77" s="21" t="s">
        <v>95</v>
      </c>
      <c r="L77" s="136"/>
      <c r="M77" s="116"/>
      <c r="N77" s="128"/>
      <c r="O77" s="127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J77" s="55"/>
    </row>
    <row r="78" spans="1:36" ht="13.5" customHeight="1">
      <c r="A78" s="142"/>
      <c r="B78" s="21"/>
      <c r="C78" s="103"/>
      <c r="D78" s="27"/>
      <c r="E78" s="62"/>
      <c r="F78" s="21"/>
      <c r="G78" s="103"/>
      <c r="H78" s="103"/>
      <c r="I78" s="103"/>
      <c r="J78" s="21"/>
      <c r="K78" s="38"/>
      <c r="L78" s="136"/>
      <c r="M78" s="116"/>
      <c r="N78" s="137"/>
      <c r="O78" s="12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J78" s="55"/>
    </row>
    <row r="79" spans="1:36" ht="13.5" customHeight="1">
      <c r="A79" s="142"/>
      <c r="B79" s="51" t="s">
        <v>126</v>
      </c>
      <c r="C79" s="103" t="s">
        <v>69</v>
      </c>
      <c r="D79" s="51"/>
      <c r="E79" s="103" t="s">
        <v>70</v>
      </c>
      <c r="F79" s="143">
        <v>1000000000000</v>
      </c>
      <c r="G79" s="103" t="s">
        <v>65</v>
      </c>
      <c r="H79" s="103"/>
      <c r="I79" s="103"/>
      <c r="J79" s="21" t="s">
        <v>95</v>
      </c>
      <c r="K79" s="21" t="s">
        <v>96</v>
      </c>
      <c r="L79" s="136"/>
      <c r="M79" s="116"/>
      <c r="N79" s="128" t="s">
        <v>88</v>
      </c>
      <c r="O79" s="127" t="s">
        <v>88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J79" s="55"/>
    </row>
    <row r="80" spans="1:36" ht="13.5" customHeight="1">
      <c r="A80" s="142"/>
      <c r="B80" s="51" t="s">
        <v>126</v>
      </c>
      <c r="C80" s="103" t="s">
        <v>71</v>
      </c>
      <c r="D80" s="51"/>
      <c r="E80" s="103" t="s">
        <v>70</v>
      </c>
      <c r="F80" s="143">
        <v>1000000000000</v>
      </c>
      <c r="G80" s="103" t="s">
        <v>65</v>
      </c>
      <c r="H80" s="103"/>
      <c r="I80" s="103"/>
      <c r="J80" s="21" t="s">
        <v>96</v>
      </c>
      <c r="K80" s="21" t="s">
        <v>95</v>
      </c>
      <c r="L80" s="136"/>
      <c r="M80" s="116"/>
      <c r="N80" s="128"/>
      <c r="O80" s="127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J80" s="55"/>
    </row>
    <row r="81" spans="1:36" ht="13.5" customHeight="1">
      <c r="A81" s="7"/>
      <c r="B81" s="102"/>
      <c r="C81" s="103"/>
      <c r="D81" s="21"/>
      <c r="E81" s="103"/>
      <c r="F81" s="21" t="s">
        <v>19</v>
      </c>
      <c r="G81" s="103"/>
      <c r="H81" s="21" t="s">
        <v>72</v>
      </c>
      <c r="I81" s="21"/>
      <c r="J81" s="21"/>
      <c r="K81" s="38"/>
      <c r="L81" s="136"/>
      <c r="M81" s="114"/>
      <c r="N81" s="137"/>
      <c r="O81" s="12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J81" s="55"/>
    </row>
    <row r="82" spans="1:36" ht="13.5" customHeight="1">
      <c r="A82" s="7"/>
      <c r="B82" s="102"/>
      <c r="C82" s="103" t="s">
        <v>73</v>
      </c>
      <c r="D82" s="51"/>
      <c r="E82" s="103" t="s">
        <v>74</v>
      </c>
      <c r="F82" s="51">
        <v>10</v>
      </c>
      <c r="G82" s="103" t="s">
        <v>75</v>
      </c>
      <c r="H82" s="51">
        <v>2</v>
      </c>
      <c r="I82" s="103" t="s">
        <v>70</v>
      </c>
      <c r="J82" s="21" t="s">
        <v>95</v>
      </c>
      <c r="K82" s="21" t="s">
        <v>96</v>
      </c>
      <c r="L82" s="136" t="s">
        <v>96</v>
      </c>
      <c r="M82" s="131" t="s">
        <v>116</v>
      </c>
      <c r="N82" s="137" t="s">
        <v>96</v>
      </c>
      <c r="O82" s="132" t="s">
        <v>116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J82" s="55"/>
    </row>
    <row r="83" spans="1:36" ht="13.5" customHeight="1">
      <c r="A83" s="7"/>
      <c r="B83" s="102"/>
      <c r="C83" s="103" t="s">
        <v>76</v>
      </c>
      <c r="D83" s="51"/>
      <c r="E83" s="103" t="s">
        <v>74</v>
      </c>
      <c r="F83" s="51">
        <v>10</v>
      </c>
      <c r="G83" s="103" t="s">
        <v>75</v>
      </c>
      <c r="H83" s="51">
        <v>2</v>
      </c>
      <c r="I83" s="103" t="s">
        <v>70</v>
      </c>
      <c r="J83" s="21" t="s">
        <v>96</v>
      </c>
      <c r="K83" s="21" t="s">
        <v>95</v>
      </c>
      <c r="L83" s="136" t="s">
        <v>96</v>
      </c>
      <c r="M83" s="131" t="s">
        <v>116</v>
      </c>
      <c r="N83" s="137" t="s">
        <v>96</v>
      </c>
      <c r="O83" s="132" t="s">
        <v>116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J83" s="55"/>
    </row>
    <row r="84" spans="1:36" ht="13.5" customHeight="1">
      <c r="A84" s="7"/>
      <c r="B84" s="102"/>
      <c r="C84" s="103"/>
      <c r="D84" s="21"/>
      <c r="E84" s="103"/>
      <c r="F84" s="21" t="s">
        <v>19</v>
      </c>
      <c r="G84" s="103"/>
      <c r="H84" s="21"/>
      <c r="I84" s="103"/>
      <c r="J84" s="21"/>
      <c r="K84" s="38"/>
      <c r="L84" s="136"/>
      <c r="M84" s="114"/>
      <c r="N84" s="137"/>
      <c r="O84" s="12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J84" s="55"/>
    </row>
    <row r="85" spans="1:36" ht="13.5" customHeight="1">
      <c r="A85" s="7"/>
      <c r="B85" s="102"/>
      <c r="C85" s="103" t="s">
        <v>77</v>
      </c>
      <c r="D85" s="51"/>
      <c r="E85" s="103" t="s">
        <v>74</v>
      </c>
      <c r="F85" s="51">
        <v>10</v>
      </c>
      <c r="G85" s="103" t="s">
        <v>75</v>
      </c>
      <c r="H85" s="51">
        <v>2</v>
      </c>
      <c r="I85" s="103" t="s">
        <v>70</v>
      </c>
      <c r="J85" s="104" t="s">
        <v>88</v>
      </c>
      <c r="K85" s="9" t="s">
        <v>88</v>
      </c>
      <c r="L85" s="136" t="s">
        <v>96</v>
      </c>
      <c r="M85" s="131" t="s">
        <v>116</v>
      </c>
      <c r="N85" s="137" t="s">
        <v>96</v>
      </c>
      <c r="O85" s="132" t="s">
        <v>116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J85" s="55"/>
    </row>
    <row r="86" spans="1:36" ht="13.5" customHeight="1">
      <c r="A86" s="7"/>
      <c r="B86" s="102"/>
      <c r="C86" s="103" t="s">
        <v>78</v>
      </c>
      <c r="D86" s="51"/>
      <c r="E86" s="103" t="s">
        <v>74</v>
      </c>
      <c r="F86" s="51">
        <v>10</v>
      </c>
      <c r="G86" s="103" t="s">
        <v>75</v>
      </c>
      <c r="H86" s="51">
        <v>2</v>
      </c>
      <c r="I86" s="103" t="s">
        <v>70</v>
      </c>
      <c r="J86" s="104" t="s">
        <v>88</v>
      </c>
      <c r="K86" s="9" t="s">
        <v>88</v>
      </c>
      <c r="L86" s="136" t="s">
        <v>96</v>
      </c>
      <c r="M86" s="131" t="s">
        <v>116</v>
      </c>
      <c r="N86" s="137" t="s">
        <v>96</v>
      </c>
      <c r="O86" s="132" t="s">
        <v>116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J86" s="55"/>
    </row>
    <row r="87" spans="1:36" ht="13.5" customHeight="1">
      <c r="A87" s="7"/>
      <c r="B87" s="102"/>
      <c r="C87" s="103" t="s">
        <v>98</v>
      </c>
      <c r="D87" s="51"/>
      <c r="E87" s="103" t="s">
        <v>74</v>
      </c>
      <c r="F87" s="51">
        <v>10</v>
      </c>
      <c r="G87" s="103" t="s">
        <v>75</v>
      </c>
      <c r="H87" s="51">
        <v>2</v>
      </c>
      <c r="I87" s="103" t="s">
        <v>70</v>
      </c>
      <c r="J87" s="104" t="s">
        <v>88</v>
      </c>
      <c r="K87" s="9" t="s">
        <v>88</v>
      </c>
      <c r="L87" s="136" t="s">
        <v>96</v>
      </c>
      <c r="M87" s="131" t="s">
        <v>116</v>
      </c>
      <c r="N87" s="137" t="s">
        <v>96</v>
      </c>
      <c r="O87" s="132" t="s">
        <v>116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J87" s="55"/>
    </row>
    <row r="88" spans="1:36" ht="13.5" customHeight="1" thickBot="1">
      <c r="A88" s="7"/>
      <c r="B88" s="106"/>
      <c r="C88" s="107" t="s">
        <v>79</v>
      </c>
      <c r="D88" s="36"/>
      <c r="E88" s="108" t="s">
        <v>74</v>
      </c>
      <c r="F88" s="36">
        <v>10</v>
      </c>
      <c r="G88" s="107" t="s">
        <v>75</v>
      </c>
      <c r="H88" s="36">
        <v>2</v>
      </c>
      <c r="I88" s="107" t="s">
        <v>70</v>
      </c>
      <c r="J88" s="109" t="s">
        <v>88</v>
      </c>
      <c r="K88" s="135" t="s">
        <v>88</v>
      </c>
      <c r="L88" s="130" t="s">
        <v>96</v>
      </c>
      <c r="M88" s="133" t="s">
        <v>116</v>
      </c>
      <c r="N88" s="129" t="s">
        <v>96</v>
      </c>
      <c r="O88" s="134" t="s">
        <v>116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J88" s="55"/>
    </row>
    <row r="89" spans="1:36" ht="13.5" customHeight="1">
      <c r="A89" s="7"/>
      <c r="D89" s="3"/>
      <c r="E89" s="3"/>
      <c r="F89" s="3"/>
      <c r="G89" s="3"/>
      <c r="H89" s="5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J89" s="55"/>
    </row>
    <row r="90" spans="1:36" ht="12.75" hidden="1">
      <c r="A90" s="3"/>
      <c r="B90" s="82" t="s">
        <v>0</v>
      </c>
      <c r="C90" s="80">
        <v>0</v>
      </c>
      <c r="D90" s="80">
        <v>1</v>
      </c>
      <c r="E90" s="80">
        <v>2</v>
      </c>
      <c r="F90" s="80">
        <v>3</v>
      </c>
      <c r="G90" s="80">
        <v>4</v>
      </c>
      <c r="H90" s="80">
        <v>5</v>
      </c>
      <c r="I90" s="80">
        <v>6</v>
      </c>
      <c r="J90" s="80">
        <v>7</v>
      </c>
      <c r="K90" s="80">
        <v>8</v>
      </c>
      <c r="L90" s="80">
        <v>9</v>
      </c>
      <c r="M90" s="80">
        <v>10</v>
      </c>
      <c r="N90" s="80">
        <v>11</v>
      </c>
      <c r="O90" s="80">
        <v>12</v>
      </c>
      <c r="P90" s="80">
        <v>13</v>
      </c>
      <c r="Q90" s="80">
        <v>14</v>
      </c>
      <c r="R90" s="80">
        <v>15</v>
      </c>
      <c r="S90" s="80">
        <v>16</v>
      </c>
      <c r="T90" s="80">
        <v>17</v>
      </c>
      <c r="U90" s="80">
        <v>18</v>
      </c>
      <c r="V90" s="80">
        <v>19</v>
      </c>
      <c r="W90" s="80">
        <v>20</v>
      </c>
      <c r="X90" s="80">
        <v>21</v>
      </c>
      <c r="Y90" s="80">
        <v>22</v>
      </c>
      <c r="Z90" s="80">
        <v>23</v>
      </c>
      <c r="AA90" s="80">
        <v>24</v>
      </c>
      <c r="AB90" s="80">
        <v>25</v>
      </c>
      <c r="AC90" s="80">
        <v>26</v>
      </c>
      <c r="AD90" s="80">
        <v>27</v>
      </c>
      <c r="AE90" s="80">
        <v>28</v>
      </c>
      <c r="AF90" s="80">
        <v>29</v>
      </c>
      <c r="AG90" s="81">
        <v>30</v>
      </c>
      <c r="AJ90" s="55"/>
    </row>
    <row r="91" spans="1:36" ht="12.75" hidden="1">
      <c r="A91" s="3"/>
      <c r="B91" s="73" t="s">
        <v>26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5"/>
      <c r="AJ91" s="55"/>
    </row>
    <row r="92" spans="1:36" ht="12.75" hidden="1">
      <c r="A92" s="3"/>
      <c r="B92" s="69"/>
      <c r="C92" s="78"/>
      <c r="D92" s="78">
        <f>uFirstYearAnnualOutput</f>
        <v>8760000</v>
      </c>
      <c r="E92" s="78">
        <f aca="true" t="shared" si="0" ref="E92:AG92">uFirstYearAnnualOutput*(1-uDegradation)^D90</f>
        <v>8672400</v>
      </c>
      <c r="F92" s="78">
        <f t="shared" si="0"/>
        <v>8585676</v>
      </c>
      <c r="G92" s="78">
        <f t="shared" si="0"/>
        <v>8499819.239999998</v>
      </c>
      <c r="H92" s="78">
        <f t="shared" si="0"/>
        <v>8414821.0476</v>
      </c>
      <c r="I92" s="78">
        <f t="shared" si="0"/>
        <v>8330672.837123999</v>
      </c>
      <c r="J92" s="78">
        <f t="shared" si="0"/>
        <v>8247366.108752759</v>
      </c>
      <c r="K92" s="78">
        <f t="shared" si="0"/>
        <v>8164892.447665231</v>
      </c>
      <c r="L92" s="78">
        <f t="shared" si="0"/>
        <v>8083243.523188579</v>
      </c>
      <c r="M92" s="78">
        <f t="shared" si="0"/>
        <v>8002411.087956693</v>
      </c>
      <c r="N92" s="78">
        <f t="shared" si="0"/>
        <v>7922386.977077126</v>
      </c>
      <c r="O92" s="78">
        <f>uFirstYearAnnualOutput*(1-uDegradation)^N90</f>
        <v>7843163.107306355</v>
      </c>
      <c r="P92" s="78">
        <f t="shared" si="0"/>
        <v>7764731.476233291</v>
      </c>
      <c r="Q92" s="78">
        <f t="shared" si="0"/>
        <v>7687084.161470957</v>
      </c>
      <c r="R92" s="78">
        <f t="shared" si="0"/>
        <v>7610213.319856248</v>
      </c>
      <c r="S92" s="78">
        <f t="shared" si="0"/>
        <v>7534111.186657686</v>
      </c>
      <c r="T92" s="78">
        <f t="shared" si="0"/>
        <v>7458770.074791108</v>
      </c>
      <c r="U92" s="78">
        <f t="shared" si="0"/>
        <v>7384182.374043197</v>
      </c>
      <c r="V92" s="78">
        <f t="shared" si="0"/>
        <v>7310340.550302765</v>
      </c>
      <c r="W92" s="78">
        <f t="shared" si="0"/>
        <v>7237237.144799737</v>
      </c>
      <c r="X92" s="78">
        <f t="shared" si="0"/>
        <v>7164864.77335174</v>
      </c>
      <c r="Y92" s="78">
        <f t="shared" si="0"/>
        <v>7093216.125618223</v>
      </c>
      <c r="Z92" s="78">
        <f t="shared" si="0"/>
        <v>7022283.96436204</v>
      </c>
      <c r="AA92" s="78">
        <f t="shared" si="0"/>
        <v>6952061.12471842</v>
      </c>
      <c r="AB92" s="78">
        <f t="shared" si="0"/>
        <v>6882540.5134712355</v>
      </c>
      <c r="AC92" s="78">
        <f t="shared" si="0"/>
        <v>6813715.108336523</v>
      </c>
      <c r="AD92" s="78">
        <f t="shared" si="0"/>
        <v>6745577.957253158</v>
      </c>
      <c r="AE92" s="78">
        <f t="shared" si="0"/>
        <v>6678122.1776806265</v>
      </c>
      <c r="AF92" s="78">
        <f t="shared" si="0"/>
        <v>6611340.95590382</v>
      </c>
      <c r="AG92" s="92">
        <f t="shared" si="0"/>
        <v>6545227.54634478</v>
      </c>
      <c r="AJ92" s="55"/>
    </row>
    <row r="93" spans="1:36" ht="12.75" hidden="1">
      <c r="A93" s="7"/>
      <c r="B93" s="73" t="s">
        <v>13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9"/>
      <c r="AJ93" s="55"/>
    </row>
    <row r="94" spans="1:36" ht="12.75" hidden="1">
      <c r="A94" s="3"/>
      <c r="B94" s="69"/>
      <c r="C94" s="93">
        <f>uTotalAdjustedInstalledCosts-uLoanAmount</f>
        <v>658900</v>
      </c>
      <c r="D94" s="93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/>
      <c r="AJ94" s="55"/>
    </row>
    <row r="95" spans="1:36" ht="12.75" hidden="1">
      <c r="A95" s="3"/>
      <c r="B95" s="73" t="s">
        <v>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9"/>
      <c r="AJ95" s="55"/>
    </row>
    <row r="96" spans="1:36" ht="12.75" hidden="1">
      <c r="A96" s="3"/>
      <c r="B96" s="69" t="s">
        <v>131</v>
      </c>
      <c r="C96" s="78"/>
      <c r="D96" s="70">
        <f aca="true" t="shared" si="1" ref="D96:AG96">uFixedOandM*(1+uInflationRate+uFixedOandMEsc)^C90*uArraySize</f>
        <v>150000</v>
      </c>
      <c r="E96" s="70">
        <f t="shared" si="1"/>
        <v>155250</v>
      </c>
      <c r="F96" s="70">
        <f t="shared" si="1"/>
        <v>160683.74999999997</v>
      </c>
      <c r="G96" s="70">
        <f t="shared" si="1"/>
        <v>166307.68124999997</v>
      </c>
      <c r="H96" s="70">
        <f t="shared" si="1"/>
        <v>172128.45009374997</v>
      </c>
      <c r="I96" s="70">
        <f t="shared" si="1"/>
        <v>178152.94584703117</v>
      </c>
      <c r="J96" s="70">
        <f t="shared" si="1"/>
        <v>184388.29895167728</v>
      </c>
      <c r="K96" s="70">
        <f t="shared" si="1"/>
        <v>190841.88941498596</v>
      </c>
      <c r="L96" s="70">
        <f t="shared" si="1"/>
        <v>197521.35554451044</v>
      </c>
      <c r="M96" s="70">
        <f t="shared" si="1"/>
        <v>204434.60298856825</v>
      </c>
      <c r="N96" s="70">
        <f t="shared" si="1"/>
        <v>211589.81409316816</v>
      </c>
      <c r="O96" s="70">
        <f t="shared" si="1"/>
        <v>218995.45758642905</v>
      </c>
      <c r="P96" s="70">
        <f t="shared" si="1"/>
        <v>226660.29860195404</v>
      </c>
      <c r="Q96" s="70">
        <f t="shared" si="1"/>
        <v>234593.4090530224</v>
      </c>
      <c r="R96" s="70">
        <f t="shared" si="1"/>
        <v>242804.1783698782</v>
      </c>
      <c r="S96" s="70">
        <f t="shared" si="1"/>
        <v>251302.3246128239</v>
      </c>
      <c r="T96" s="70">
        <f t="shared" si="1"/>
        <v>260097.9059742727</v>
      </c>
      <c r="U96" s="70">
        <f t="shared" si="1"/>
        <v>269201.33268337225</v>
      </c>
      <c r="V96" s="70">
        <f t="shared" si="1"/>
        <v>278623.37932729017</v>
      </c>
      <c r="W96" s="70">
        <f t="shared" si="1"/>
        <v>288375.1976037453</v>
      </c>
      <c r="X96" s="70">
        <f t="shared" si="1"/>
        <v>298468.3295198764</v>
      </c>
      <c r="Y96" s="70">
        <f t="shared" si="1"/>
        <v>308914.721053072</v>
      </c>
      <c r="Z96" s="70">
        <f t="shared" si="1"/>
        <v>319726.73628992954</v>
      </c>
      <c r="AA96" s="70">
        <f t="shared" si="1"/>
        <v>330917.1720600771</v>
      </c>
      <c r="AB96" s="70">
        <f t="shared" si="1"/>
        <v>342499.27308217966</v>
      </c>
      <c r="AC96" s="70">
        <f t="shared" si="1"/>
        <v>354486.74764005595</v>
      </c>
      <c r="AD96" s="70">
        <f t="shared" si="1"/>
        <v>366893.7838074579</v>
      </c>
      <c r="AE96" s="70">
        <f t="shared" si="1"/>
        <v>379735.06624071894</v>
      </c>
      <c r="AF96" s="70">
        <f t="shared" si="1"/>
        <v>393025.79355914413</v>
      </c>
      <c r="AG96" s="71">
        <f t="shared" si="1"/>
        <v>406781.69633371406</v>
      </c>
      <c r="AJ96" s="55"/>
    </row>
    <row r="97" spans="1:36" ht="12.75" hidden="1">
      <c r="A97" s="3"/>
      <c r="B97" s="69" t="s">
        <v>132</v>
      </c>
      <c r="C97" s="78"/>
      <c r="D97" s="70">
        <f>uVariableOandM*D92*(1+uInflationRate+uVariableOandMEsc)^C90</f>
        <v>876000</v>
      </c>
      <c r="E97" s="70">
        <f aca="true" t="shared" si="2" ref="E97:AG97">uVariableOandM*E92*(1+uInflationRate+uVariableOandMEsc)^D90</f>
        <v>906265.7999999999</v>
      </c>
      <c r="F97" s="70">
        <f t="shared" si="2"/>
        <v>937577.2833899999</v>
      </c>
      <c r="G97" s="70">
        <f t="shared" si="2"/>
        <v>969970.5785311242</v>
      </c>
      <c r="H97" s="70">
        <f t="shared" si="2"/>
        <v>1003483.0620193745</v>
      </c>
      <c r="I97" s="70">
        <f t="shared" si="2"/>
        <v>1038153.4018121439</v>
      </c>
      <c r="J97" s="70">
        <f t="shared" si="2"/>
        <v>1074021.601844753</v>
      </c>
      <c r="K97" s="70">
        <f t="shared" si="2"/>
        <v>1111129.0481884892</v>
      </c>
      <c r="L97" s="70">
        <f t="shared" si="2"/>
        <v>1149518.5568034013</v>
      </c>
      <c r="M97" s="70">
        <f t="shared" si="2"/>
        <v>1189234.4229409588</v>
      </c>
      <c r="N97" s="70">
        <f t="shared" si="2"/>
        <v>1230322.4722535685</v>
      </c>
      <c r="O97" s="70">
        <f t="shared" si="2"/>
        <v>1272830.1136699293</v>
      </c>
      <c r="P97" s="70">
        <f t="shared" si="2"/>
        <v>1316806.3940972253</v>
      </c>
      <c r="Q97" s="70">
        <f t="shared" si="2"/>
        <v>1362302.055013284</v>
      </c>
      <c r="R97" s="70">
        <f t="shared" si="2"/>
        <v>1409369.591013993</v>
      </c>
      <c r="S97" s="70">
        <f t="shared" si="2"/>
        <v>1458063.3103835266</v>
      </c>
      <c r="T97" s="70">
        <f t="shared" si="2"/>
        <v>1508439.3977572764</v>
      </c>
      <c r="U97" s="70">
        <f t="shared" si="2"/>
        <v>1560555.9789497906</v>
      </c>
      <c r="V97" s="70">
        <f t="shared" si="2"/>
        <v>1614473.1880225053</v>
      </c>
      <c r="W97" s="70">
        <f t="shared" si="2"/>
        <v>1670253.236668683</v>
      </c>
      <c r="X97" s="70">
        <f t="shared" si="2"/>
        <v>1727960.4859955856</v>
      </c>
      <c r="Y97" s="70">
        <f t="shared" si="2"/>
        <v>1787661.5207867334</v>
      </c>
      <c r="Z97" s="70">
        <f t="shared" si="2"/>
        <v>1849425.226329914</v>
      </c>
      <c r="AA97" s="70">
        <f t="shared" si="2"/>
        <v>1913322.8678996128</v>
      </c>
      <c r="AB97" s="70">
        <f t="shared" si="2"/>
        <v>1979428.1729855437</v>
      </c>
      <c r="AC97" s="70">
        <f t="shared" si="2"/>
        <v>2047817.416362194</v>
      </c>
      <c r="AD97" s="70">
        <f t="shared" si="2"/>
        <v>2118569.5080975075</v>
      </c>
      <c r="AE97" s="70">
        <f t="shared" si="2"/>
        <v>2191766.084602277</v>
      </c>
      <c r="AF97" s="70">
        <f t="shared" si="2"/>
        <v>2267491.6028252845</v>
      </c>
      <c r="AG97" s="71">
        <f t="shared" si="2"/>
        <v>2345833.437702898</v>
      </c>
      <c r="AJ97" s="55"/>
    </row>
    <row r="98" spans="1:36" ht="12.75" hidden="1">
      <c r="A98" s="3"/>
      <c r="B98" s="69" t="s">
        <v>3</v>
      </c>
      <c r="C98" s="78"/>
      <c r="D98" s="93">
        <f aca="true" t="shared" si="3" ref="D98:AG98">uTotalInstalledCosts*uPropertyTax*(1+uInflationRate)^C90</f>
        <v>39534</v>
      </c>
      <c r="E98" s="93">
        <f t="shared" si="3"/>
        <v>40522.35</v>
      </c>
      <c r="F98" s="93">
        <f t="shared" si="3"/>
        <v>41535.408749999995</v>
      </c>
      <c r="G98" s="93">
        <f t="shared" si="3"/>
        <v>42573.79396875</v>
      </c>
      <c r="H98" s="93">
        <f t="shared" si="3"/>
        <v>43638.13881796874</v>
      </c>
      <c r="I98" s="93">
        <f t="shared" si="3"/>
        <v>44729.09228841795</v>
      </c>
      <c r="J98" s="93">
        <f t="shared" si="3"/>
        <v>45847.3195956284</v>
      </c>
      <c r="K98" s="93">
        <f t="shared" si="3"/>
        <v>46993.50258551911</v>
      </c>
      <c r="L98" s="93">
        <f t="shared" si="3"/>
        <v>48168.340150157084</v>
      </c>
      <c r="M98" s="93">
        <f t="shared" si="3"/>
        <v>49372.548653911006</v>
      </c>
      <c r="N98" s="93">
        <f t="shared" si="3"/>
        <v>50606.86237025878</v>
      </c>
      <c r="O98" s="93">
        <f>uTotalInstalledCosts*uPropertyTax*(1+uInflationRate)^N90</f>
        <v>51872.03392951525</v>
      </c>
      <c r="P98" s="93">
        <f t="shared" si="3"/>
        <v>53168.83477775312</v>
      </c>
      <c r="Q98" s="93">
        <f t="shared" si="3"/>
        <v>54498.055647196954</v>
      </c>
      <c r="R98" s="93">
        <f t="shared" si="3"/>
        <v>55860.50703837687</v>
      </c>
      <c r="S98" s="93">
        <f t="shared" si="3"/>
        <v>57257.019714336304</v>
      </c>
      <c r="T98" s="93">
        <f t="shared" si="3"/>
        <v>58688.4452071947</v>
      </c>
      <c r="U98" s="93">
        <f t="shared" si="3"/>
        <v>60155.65633737456</v>
      </c>
      <c r="V98" s="93">
        <f t="shared" si="3"/>
        <v>61659.54774580893</v>
      </c>
      <c r="W98" s="93">
        <f t="shared" si="3"/>
        <v>63201.036439454154</v>
      </c>
      <c r="X98" s="93">
        <f t="shared" si="3"/>
        <v>64781.0623504405</v>
      </c>
      <c r="Y98" s="93">
        <f t="shared" si="3"/>
        <v>66400.5889092015</v>
      </c>
      <c r="Z98" s="93">
        <f t="shared" si="3"/>
        <v>68060.60363193153</v>
      </c>
      <c r="AA98" s="93">
        <f t="shared" si="3"/>
        <v>69762.11872272984</v>
      </c>
      <c r="AB98" s="93">
        <f t="shared" si="3"/>
        <v>71506.17169079807</v>
      </c>
      <c r="AC98" s="93">
        <f t="shared" si="3"/>
        <v>73293.825983068</v>
      </c>
      <c r="AD98" s="93">
        <f t="shared" si="3"/>
        <v>75126.1716326447</v>
      </c>
      <c r="AE98" s="93">
        <f t="shared" si="3"/>
        <v>77004.32592346083</v>
      </c>
      <c r="AF98" s="93">
        <f t="shared" si="3"/>
        <v>78929.43407154734</v>
      </c>
      <c r="AG98" s="100">
        <f t="shared" si="3"/>
        <v>80902.66992333603</v>
      </c>
      <c r="AJ98" s="55"/>
    </row>
    <row r="99" spans="1:36" ht="12.75" hidden="1">
      <c r="A99" s="3"/>
      <c r="B99" s="69" t="s">
        <v>4</v>
      </c>
      <c r="C99" s="78"/>
      <c r="D99" s="93">
        <f aca="true" t="shared" si="4" ref="D99:AG99">uTotalInstalledCosts*uInsurance*(1+uInflationRate)^C90</f>
        <v>26356</v>
      </c>
      <c r="E99" s="93">
        <f t="shared" si="4"/>
        <v>27014.899999999998</v>
      </c>
      <c r="F99" s="93">
        <f t="shared" si="4"/>
        <v>27690.2725</v>
      </c>
      <c r="G99" s="93">
        <f t="shared" si="4"/>
        <v>28382.529312499995</v>
      </c>
      <c r="H99" s="93">
        <f t="shared" si="4"/>
        <v>29092.092545312495</v>
      </c>
      <c r="I99" s="93">
        <f t="shared" si="4"/>
        <v>29819.394858945303</v>
      </c>
      <c r="J99" s="93">
        <f t="shared" si="4"/>
        <v>30564.879730418932</v>
      </c>
      <c r="K99" s="93">
        <f t="shared" si="4"/>
        <v>31329.00172367941</v>
      </c>
      <c r="L99" s="93">
        <f t="shared" si="4"/>
        <v>32112.22676677139</v>
      </c>
      <c r="M99" s="93">
        <f t="shared" si="4"/>
        <v>32915.03243594067</v>
      </c>
      <c r="N99" s="93">
        <f t="shared" si="4"/>
        <v>33737.908246839186</v>
      </c>
      <c r="O99" s="93">
        <f t="shared" si="4"/>
        <v>34581.35595301016</v>
      </c>
      <c r="P99" s="93">
        <f t="shared" si="4"/>
        <v>35445.88985183542</v>
      </c>
      <c r="Q99" s="93">
        <f t="shared" si="4"/>
        <v>36332.0370981313</v>
      </c>
      <c r="R99" s="93">
        <f t="shared" si="4"/>
        <v>37240.33802558458</v>
      </c>
      <c r="S99" s="93">
        <f t="shared" si="4"/>
        <v>38171.3464762242</v>
      </c>
      <c r="T99" s="93">
        <f t="shared" si="4"/>
        <v>39125.6301381298</v>
      </c>
      <c r="U99" s="93">
        <f t="shared" si="4"/>
        <v>40103.770891583044</v>
      </c>
      <c r="V99" s="93">
        <f t="shared" si="4"/>
        <v>41106.36516387262</v>
      </c>
      <c r="W99" s="93">
        <f t="shared" si="4"/>
        <v>42134.024292969436</v>
      </c>
      <c r="X99" s="93">
        <f t="shared" si="4"/>
        <v>43187.37490029367</v>
      </c>
      <c r="Y99" s="93">
        <f t="shared" si="4"/>
        <v>44267.059272801</v>
      </c>
      <c r="Z99" s="93">
        <f t="shared" si="4"/>
        <v>45373.735754621026</v>
      </c>
      <c r="AA99" s="93">
        <f t="shared" si="4"/>
        <v>46508.079148486555</v>
      </c>
      <c r="AB99" s="93">
        <f t="shared" si="4"/>
        <v>47670.781127198716</v>
      </c>
      <c r="AC99" s="93">
        <f t="shared" si="4"/>
        <v>48862.550655378676</v>
      </c>
      <c r="AD99" s="93">
        <f t="shared" si="4"/>
        <v>50084.11442176314</v>
      </c>
      <c r="AE99" s="93">
        <f t="shared" si="4"/>
        <v>51336.21728230721</v>
      </c>
      <c r="AF99" s="93">
        <f t="shared" si="4"/>
        <v>52619.62271436489</v>
      </c>
      <c r="AG99" s="100">
        <f t="shared" si="4"/>
        <v>53935.11328222402</v>
      </c>
      <c r="AJ99" s="55"/>
    </row>
    <row r="100" spans="1:36" ht="12.75" hidden="1">
      <c r="A100" s="3"/>
      <c r="B100" s="72" t="s">
        <v>27</v>
      </c>
      <c r="C100" s="78"/>
      <c r="D100" s="93">
        <f>SUM(D96:D99)</f>
        <v>1091890</v>
      </c>
      <c r="E100" s="94">
        <f>SUM(E96:E99)</f>
        <v>1129053.0499999998</v>
      </c>
      <c r="F100" s="94">
        <f>SUM(F96:F99)</f>
        <v>1167486.7146399997</v>
      </c>
      <c r="G100" s="94">
        <f aca="true" t="shared" si="5" ref="G100:AG100">SUM(G96:G99)</f>
        <v>1207234.583062374</v>
      </c>
      <c r="H100" s="94">
        <f t="shared" si="5"/>
        <v>1248341.7434764057</v>
      </c>
      <c r="I100" s="94">
        <f t="shared" si="5"/>
        <v>1290854.8348065384</v>
      </c>
      <c r="J100" s="94">
        <f t="shared" si="5"/>
        <v>1334822.1001224776</v>
      </c>
      <c r="K100" s="94">
        <f t="shared" si="5"/>
        <v>1380293.4419126736</v>
      </c>
      <c r="L100" s="94">
        <f t="shared" si="5"/>
        <v>1427320.4792648403</v>
      </c>
      <c r="M100" s="94">
        <f t="shared" si="5"/>
        <v>1475956.6070193786</v>
      </c>
      <c r="N100" s="94">
        <f t="shared" si="5"/>
        <v>1526257.0569638347</v>
      </c>
      <c r="O100" s="94">
        <f t="shared" si="5"/>
        <v>1578278.9611388838</v>
      </c>
      <c r="P100" s="94">
        <f t="shared" si="5"/>
        <v>1632081.4173287677</v>
      </c>
      <c r="Q100" s="94">
        <f t="shared" si="5"/>
        <v>1687725.556811635</v>
      </c>
      <c r="R100" s="94">
        <f t="shared" si="5"/>
        <v>1745274.6144478323</v>
      </c>
      <c r="S100" s="94">
        <f t="shared" si="5"/>
        <v>1804794.001186911</v>
      </c>
      <c r="T100" s="94">
        <f t="shared" si="5"/>
        <v>1866351.3790768734</v>
      </c>
      <c r="U100" s="94">
        <f t="shared" si="5"/>
        <v>1930016.7388621205</v>
      </c>
      <c r="V100" s="94">
        <f t="shared" si="5"/>
        <v>1995862.4802594772</v>
      </c>
      <c r="W100" s="94">
        <f t="shared" si="5"/>
        <v>2063963.4950048518</v>
      </c>
      <c r="X100" s="94">
        <f t="shared" si="5"/>
        <v>2134397.252766196</v>
      </c>
      <c r="Y100" s="94">
        <f t="shared" si="5"/>
        <v>2207243.890021808</v>
      </c>
      <c r="Z100" s="94">
        <f t="shared" si="5"/>
        <v>2282586.302006396</v>
      </c>
      <c r="AA100" s="94">
        <f t="shared" si="5"/>
        <v>2360510.237830906</v>
      </c>
      <c r="AB100" s="94">
        <f t="shared" si="5"/>
        <v>2441104.39888572</v>
      </c>
      <c r="AC100" s="94">
        <f t="shared" si="5"/>
        <v>2524460.5406406964</v>
      </c>
      <c r="AD100" s="94">
        <f t="shared" si="5"/>
        <v>2610673.577959373</v>
      </c>
      <c r="AE100" s="94">
        <f t="shared" si="5"/>
        <v>2699841.694048764</v>
      </c>
      <c r="AF100" s="94">
        <f t="shared" si="5"/>
        <v>2792066.453170341</v>
      </c>
      <c r="AG100" s="95">
        <f t="shared" si="5"/>
        <v>2887452.917242172</v>
      </c>
      <c r="AJ100" s="55"/>
    </row>
    <row r="101" spans="1:36" ht="12.75" hidden="1">
      <c r="A101" s="3"/>
      <c r="B101" s="73" t="s">
        <v>10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9"/>
      <c r="AJ101" s="55"/>
    </row>
    <row r="102" spans="1:36" ht="12.75" hidden="1">
      <c r="A102" s="1"/>
      <c r="B102" s="69" t="s">
        <v>24</v>
      </c>
      <c r="C102" s="78"/>
      <c r="D102" s="94">
        <f>-uLoanAmount</f>
        <v>-658900</v>
      </c>
      <c r="E102" s="94">
        <f>D102+D103</f>
        <v>-630591.8348298445</v>
      </c>
      <c r="F102" s="94">
        <f aca="true" t="shared" si="6" ref="F102:AG102">E102+E103</f>
        <v>-600585.1797494798</v>
      </c>
      <c r="G102" s="94">
        <f t="shared" si="6"/>
        <v>-568778.125364293</v>
      </c>
      <c r="H102" s="94">
        <f t="shared" si="6"/>
        <v>-535062.6477159951</v>
      </c>
      <c r="I102" s="94">
        <f t="shared" si="6"/>
        <v>-499324.2414087993</v>
      </c>
      <c r="J102" s="94">
        <f t="shared" si="6"/>
        <v>-461441.5307231718</v>
      </c>
      <c r="K102" s="94">
        <f t="shared" si="6"/>
        <v>-421285.8573964066</v>
      </c>
      <c r="L102" s="94">
        <f t="shared" si="6"/>
        <v>-378720.8436700355</v>
      </c>
      <c r="M102" s="94">
        <f t="shared" si="6"/>
        <v>-333601.9291200821</v>
      </c>
      <c r="N102" s="94">
        <f t="shared" si="6"/>
        <v>-285775.8796971316</v>
      </c>
      <c r="O102" s="94">
        <f>N102+N103</f>
        <v>-235080.26730880397</v>
      </c>
      <c r="P102" s="94">
        <f t="shared" si="6"/>
        <v>-181342.91817717673</v>
      </c>
      <c r="Q102" s="94">
        <f t="shared" si="6"/>
        <v>-124381.32809765184</v>
      </c>
      <c r="R102" s="94">
        <f t="shared" si="6"/>
        <v>-64002.04261335546</v>
      </c>
      <c r="S102" s="94">
        <f t="shared" si="6"/>
        <v>-1.2878444977104664E-09</v>
      </c>
      <c r="T102" s="94">
        <f t="shared" si="6"/>
        <v>-2.5756889954209328E-09</v>
      </c>
      <c r="U102" s="94">
        <f t="shared" si="6"/>
        <v>-5.1513779908418655E-09</v>
      </c>
      <c r="V102" s="94">
        <f t="shared" si="6"/>
        <v>-1.0302755981683731E-08</v>
      </c>
      <c r="W102" s="94">
        <f t="shared" si="6"/>
        <v>-2.0605511963367462E-08</v>
      </c>
      <c r="X102" s="94">
        <f t="shared" si="6"/>
        <v>-4.1211023926734924E-08</v>
      </c>
      <c r="Y102" s="94">
        <f t="shared" si="6"/>
        <v>-8.242204785346985E-08</v>
      </c>
      <c r="Z102" s="94">
        <f t="shared" si="6"/>
        <v>-1.648440957069397E-07</v>
      </c>
      <c r="AA102" s="94">
        <f t="shared" si="6"/>
        <v>-3.296881914138794E-07</v>
      </c>
      <c r="AB102" s="94">
        <f t="shared" si="6"/>
        <v>-6.593763828277588E-07</v>
      </c>
      <c r="AC102" s="94">
        <f t="shared" si="6"/>
        <v>-1.3187527656555176E-06</v>
      </c>
      <c r="AD102" s="94">
        <f t="shared" si="6"/>
        <v>-2.637505531311035E-06</v>
      </c>
      <c r="AE102" s="94">
        <f t="shared" si="6"/>
        <v>-5.27501106262207E-06</v>
      </c>
      <c r="AF102" s="94">
        <f t="shared" si="6"/>
        <v>-1.055002212524414E-05</v>
      </c>
      <c r="AG102" s="95">
        <f t="shared" si="6"/>
        <v>-2.110004425048828E-05</v>
      </c>
      <c r="AJ102" s="55"/>
    </row>
    <row r="103" spans="1:36" ht="12.75" hidden="1">
      <c r="A103" s="30"/>
      <c r="B103" s="69" t="s">
        <v>11</v>
      </c>
      <c r="C103" s="78"/>
      <c r="D103" s="94">
        <f>-PPMT(uLoanRate,D90,uLoanTerm,uLoanAmount,0,0)</f>
        <v>28308.165170155495</v>
      </c>
      <c r="E103" s="94">
        <f aca="true" t="shared" si="7" ref="E103:AG103">IF(E90&lt;=uLoanTerm,uLoanRate*uLoanAmount/(1-(1+uLoanRate)^(-uLoanTerm))-E104,E102)</f>
        <v>30006.65508036482</v>
      </c>
      <c r="F103" s="94">
        <f t="shared" si="7"/>
        <v>31807.05438518671</v>
      </c>
      <c r="G103" s="94">
        <f t="shared" si="7"/>
        <v>33715.477648297914</v>
      </c>
      <c r="H103" s="94">
        <f t="shared" si="7"/>
        <v>35738.40630719579</v>
      </c>
      <c r="I103" s="94">
        <f t="shared" si="7"/>
        <v>37882.710685627535</v>
      </c>
      <c r="J103" s="94">
        <f t="shared" si="7"/>
        <v>40155.67332676519</v>
      </c>
      <c r="K103" s="94">
        <f t="shared" si="7"/>
        <v>42565.0137263711</v>
      </c>
      <c r="L103" s="94">
        <f t="shared" si="7"/>
        <v>45118.91454995336</v>
      </c>
      <c r="M103" s="94">
        <f t="shared" si="7"/>
        <v>47826.04942295057</v>
      </c>
      <c r="N103" s="94">
        <f t="shared" si="7"/>
        <v>50695.6123883276</v>
      </c>
      <c r="O103" s="94">
        <f t="shared" si="7"/>
        <v>53737.349131627256</v>
      </c>
      <c r="P103" s="94">
        <f t="shared" si="7"/>
        <v>56961.59007952489</v>
      </c>
      <c r="Q103" s="94">
        <f t="shared" si="7"/>
        <v>60379.285484296386</v>
      </c>
      <c r="R103" s="94">
        <f t="shared" si="7"/>
        <v>64002.04261335417</v>
      </c>
      <c r="S103" s="94">
        <f t="shared" si="7"/>
        <v>-1.2878444977104664E-09</v>
      </c>
      <c r="T103" s="94">
        <f t="shared" si="7"/>
        <v>-2.5756889954209328E-09</v>
      </c>
      <c r="U103" s="94">
        <f t="shared" si="7"/>
        <v>-5.1513779908418655E-09</v>
      </c>
      <c r="V103" s="94">
        <f t="shared" si="7"/>
        <v>-1.0302755981683731E-08</v>
      </c>
      <c r="W103" s="94">
        <f t="shared" si="7"/>
        <v>-2.0605511963367462E-08</v>
      </c>
      <c r="X103" s="94">
        <f t="shared" si="7"/>
        <v>-4.1211023926734924E-08</v>
      </c>
      <c r="Y103" s="94">
        <f t="shared" si="7"/>
        <v>-8.242204785346985E-08</v>
      </c>
      <c r="Z103" s="94">
        <f t="shared" si="7"/>
        <v>-1.648440957069397E-07</v>
      </c>
      <c r="AA103" s="94">
        <f t="shared" si="7"/>
        <v>-3.296881914138794E-07</v>
      </c>
      <c r="AB103" s="94">
        <f t="shared" si="7"/>
        <v>-6.593763828277588E-07</v>
      </c>
      <c r="AC103" s="94">
        <f t="shared" si="7"/>
        <v>-1.3187527656555176E-06</v>
      </c>
      <c r="AD103" s="94">
        <f t="shared" si="7"/>
        <v>-2.637505531311035E-06</v>
      </c>
      <c r="AE103" s="94">
        <f t="shared" si="7"/>
        <v>-5.27501106262207E-06</v>
      </c>
      <c r="AF103" s="94">
        <f t="shared" si="7"/>
        <v>-1.055002212524414E-05</v>
      </c>
      <c r="AG103" s="95">
        <f t="shared" si="7"/>
        <v>-2.110004425048828E-05</v>
      </c>
      <c r="AJ103" s="55"/>
    </row>
    <row r="104" spans="1:36" ht="12.75" hidden="1">
      <c r="A104" s="3"/>
      <c r="B104" s="69" t="s">
        <v>25</v>
      </c>
      <c r="C104" s="78"/>
      <c r="D104" s="94">
        <f aca="true" t="shared" si="8" ref="D104:AG104">-D102*uLoanRate</f>
        <v>39534</v>
      </c>
      <c r="E104" s="94">
        <f t="shared" si="8"/>
        <v>37835.510089790674</v>
      </c>
      <c r="F104" s="94">
        <f t="shared" si="8"/>
        <v>36035.11078496878</v>
      </c>
      <c r="G104" s="94">
        <f t="shared" si="8"/>
        <v>34126.68752185758</v>
      </c>
      <c r="H104" s="94">
        <f t="shared" si="8"/>
        <v>32103.758862959705</v>
      </c>
      <c r="I104" s="94">
        <f t="shared" si="8"/>
        <v>29959.454484527956</v>
      </c>
      <c r="J104" s="94">
        <f t="shared" si="8"/>
        <v>27686.491843390304</v>
      </c>
      <c r="K104" s="94">
        <f t="shared" si="8"/>
        <v>25277.151443784394</v>
      </c>
      <c r="L104" s="94">
        <f t="shared" si="8"/>
        <v>22723.25062020213</v>
      </c>
      <c r="M104" s="94">
        <f t="shared" si="8"/>
        <v>20016.115747204927</v>
      </c>
      <c r="N104" s="94">
        <f t="shared" si="8"/>
        <v>17146.552781827893</v>
      </c>
      <c r="O104" s="94">
        <f t="shared" si="8"/>
        <v>14104.816038528237</v>
      </c>
      <c r="P104" s="94">
        <f t="shared" si="8"/>
        <v>10880.575090630604</v>
      </c>
      <c r="Q104" s="94">
        <f t="shared" si="8"/>
        <v>7462.87968585911</v>
      </c>
      <c r="R104" s="94">
        <f t="shared" si="8"/>
        <v>3840.1225568013274</v>
      </c>
      <c r="S104" s="94">
        <f t="shared" si="8"/>
        <v>7.727066986262798E-11</v>
      </c>
      <c r="T104" s="94">
        <f t="shared" si="8"/>
        <v>1.5454133972525595E-10</v>
      </c>
      <c r="U104" s="94">
        <f t="shared" si="8"/>
        <v>3.090826794505119E-10</v>
      </c>
      <c r="V104" s="94">
        <f t="shared" si="8"/>
        <v>6.181653589010238E-10</v>
      </c>
      <c r="W104" s="94">
        <f t="shared" si="8"/>
        <v>1.2363307178020476E-09</v>
      </c>
      <c r="X104" s="94">
        <f t="shared" si="8"/>
        <v>2.4726614356040953E-09</v>
      </c>
      <c r="Y104" s="94">
        <f t="shared" si="8"/>
        <v>4.9453228712081906E-09</v>
      </c>
      <c r="Z104" s="94">
        <f t="shared" si="8"/>
        <v>9.890645742416381E-09</v>
      </c>
      <c r="AA104" s="94">
        <f t="shared" si="8"/>
        <v>1.9781291484832762E-08</v>
      </c>
      <c r="AB104" s="94">
        <f t="shared" si="8"/>
        <v>3.9562582969665524E-08</v>
      </c>
      <c r="AC104" s="94">
        <f t="shared" si="8"/>
        <v>7.912516593933105E-08</v>
      </c>
      <c r="AD104" s="94">
        <f t="shared" si="8"/>
        <v>1.582503318786621E-07</v>
      </c>
      <c r="AE104" s="94">
        <f t="shared" si="8"/>
        <v>3.165006637573242E-07</v>
      </c>
      <c r="AF104" s="94">
        <f t="shared" si="8"/>
        <v>6.330013275146484E-07</v>
      </c>
      <c r="AG104" s="95">
        <f t="shared" si="8"/>
        <v>1.2660026550292968E-06</v>
      </c>
      <c r="AJ104" s="55"/>
    </row>
    <row r="105" spans="1:36" ht="12.75" hidden="1">
      <c r="A105" s="3"/>
      <c r="B105" s="69" t="s">
        <v>27</v>
      </c>
      <c r="C105" s="78"/>
      <c r="D105" s="94">
        <f>SUM(D103:D104)</f>
        <v>67842.1651701555</v>
      </c>
      <c r="E105" s="94">
        <f aca="true" t="shared" si="9" ref="E105:AG105">SUM(E103:E104)</f>
        <v>67842.1651701555</v>
      </c>
      <c r="F105" s="94">
        <f t="shared" si="9"/>
        <v>67842.1651701555</v>
      </c>
      <c r="G105" s="94">
        <f t="shared" si="9"/>
        <v>67842.1651701555</v>
      </c>
      <c r="H105" s="94">
        <f t="shared" si="9"/>
        <v>67842.1651701555</v>
      </c>
      <c r="I105" s="94">
        <f t="shared" si="9"/>
        <v>67842.1651701555</v>
      </c>
      <c r="J105" s="94">
        <f t="shared" si="9"/>
        <v>67842.1651701555</v>
      </c>
      <c r="K105" s="94">
        <f t="shared" si="9"/>
        <v>67842.1651701555</v>
      </c>
      <c r="L105" s="94">
        <f t="shared" si="9"/>
        <v>67842.1651701555</v>
      </c>
      <c r="M105" s="94">
        <f t="shared" si="9"/>
        <v>67842.1651701555</v>
      </c>
      <c r="N105" s="94">
        <f t="shared" si="9"/>
        <v>67842.1651701555</v>
      </c>
      <c r="O105" s="94">
        <f t="shared" si="9"/>
        <v>67842.1651701555</v>
      </c>
      <c r="P105" s="94">
        <f t="shared" si="9"/>
        <v>67842.1651701555</v>
      </c>
      <c r="Q105" s="94">
        <f t="shared" si="9"/>
        <v>67842.1651701555</v>
      </c>
      <c r="R105" s="94">
        <f t="shared" si="9"/>
        <v>67842.1651701555</v>
      </c>
      <c r="S105" s="94">
        <f t="shared" si="9"/>
        <v>-1.2105738278478384E-09</v>
      </c>
      <c r="T105" s="94">
        <f t="shared" si="9"/>
        <v>-2.4211476556956767E-09</v>
      </c>
      <c r="U105" s="94">
        <f t="shared" si="9"/>
        <v>-4.8422953113913535E-09</v>
      </c>
      <c r="V105" s="94">
        <f t="shared" si="9"/>
        <v>-9.684590622782707E-09</v>
      </c>
      <c r="W105" s="94">
        <f t="shared" si="9"/>
        <v>-1.9369181245565414E-08</v>
      </c>
      <c r="X105" s="94">
        <f t="shared" si="9"/>
        <v>-3.873836249113083E-08</v>
      </c>
      <c r="Y105" s="94">
        <f t="shared" si="9"/>
        <v>-7.747672498226166E-08</v>
      </c>
      <c r="Z105" s="94">
        <f t="shared" si="9"/>
        <v>-1.549534499645233E-07</v>
      </c>
      <c r="AA105" s="94">
        <f t="shared" si="9"/>
        <v>-3.099068999290466E-07</v>
      </c>
      <c r="AB105" s="94">
        <f t="shared" si="9"/>
        <v>-6.198137998580932E-07</v>
      </c>
      <c r="AC105" s="94">
        <f t="shared" si="9"/>
        <v>-1.2396275997161865E-06</v>
      </c>
      <c r="AD105" s="94">
        <f t="shared" si="9"/>
        <v>-2.479255199432373E-06</v>
      </c>
      <c r="AE105" s="94">
        <f t="shared" si="9"/>
        <v>-4.958510398864746E-06</v>
      </c>
      <c r="AF105" s="94">
        <f t="shared" si="9"/>
        <v>-9.917020797729492E-06</v>
      </c>
      <c r="AG105" s="95">
        <f t="shared" si="9"/>
        <v>-1.9834041595458984E-05</v>
      </c>
      <c r="AJ105" s="55"/>
    </row>
    <row r="106" spans="1:36" ht="12.75" hidden="1">
      <c r="A106" s="3"/>
      <c r="B106" s="73" t="s">
        <v>12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9"/>
      <c r="AJ106" s="55"/>
    </row>
    <row r="107" spans="1:36" ht="12.75" hidden="1">
      <c r="A107" s="1"/>
      <c r="B107" s="69" t="s">
        <v>119</v>
      </c>
      <c r="C107" s="78"/>
      <c r="D107" s="79">
        <f>IF(uDepreciationType="MACRS (MidQuarter)",0.35,IF(uDepreciationType="MACRS (HalfYear)",0.2,0))</f>
        <v>0.35</v>
      </c>
      <c r="E107" s="79">
        <f>IF(uDepreciationType="MACRS (MidQuarter)",0.26,IF(uDepreciationType="MACRS (HalfYear)",0.32,0))</f>
        <v>0.26</v>
      </c>
      <c r="F107" s="79">
        <f>IF(uDepreciationType="MACRS (MidQuarter)",0.156,IF(uDepreciationType="MACRS (HalfYear)",0.192,0))</f>
        <v>0.156</v>
      </c>
      <c r="G107" s="79">
        <f>IF(uDepreciationType="MACRS (MidQuarter)",0.1101,IF(uDepreciationType="MACRS (HalfYear)",0.1152,0))</f>
        <v>0.1101</v>
      </c>
      <c r="H107" s="79">
        <f>IF(uDepreciationType="MACRS (MidQuarter)",0.1101,IF(uDepreciationType="MACRS (HalfYear)",0.1152,0))</f>
        <v>0.1101</v>
      </c>
      <c r="I107" s="79">
        <f>IF(uDepreciationType="MACRS (MidQuarter)",0.0138,IF(uDepreciationType="MACRS (HalfYear)",0.0576,0))</f>
        <v>0.0138</v>
      </c>
      <c r="J107" s="79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79">
        <v>0</v>
      </c>
      <c r="R107" s="79">
        <v>0</v>
      </c>
      <c r="S107" s="79">
        <v>0</v>
      </c>
      <c r="T107" s="79">
        <v>0</v>
      </c>
      <c r="U107" s="79">
        <v>0</v>
      </c>
      <c r="V107" s="79">
        <v>0</v>
      </c>
      <c r="W107" s="79">
        <v>0</v>
      </c>
      <c r="X107" s="79">
        <v>0</v>
      </c>
      <c r="Y107" s="79">
        <v>0</v>
      </c>
      <c r="Z107" s="79">
        <v>0</v>
      </c>
      <c r="AA107" s="79">
        <v>0</v>
      </c>
      <c r="AB107" s="79">
        <v>0</v>
      </c>
      <c r="AC107" s="79">
        <v>0</v>
      </c>
      <c r="AD107" s="79">
        <v>0</v>
      </c>
      <c r="AE107" s="79">
        <v>0</v>
      </c>
      <c r="AF107" s="79">
        <v>0</v>
      </c>
      <c r="AG107" s="96">
        <v>0</v>
      </c>
      <c r="AJ107" s="55"/>
    </row>
    <row r="108" spans="1:36" ht="12.75" hidden="1">
      <c r="A108" s="1"/>
      <c r="B108" s="69" t="s">
        <v>120</v>
      </c>
      <c r="C108" s="78"/>
      <c r="D108" s="79">
        <f>IF(uStateDepreciationType="MACRS (MidQuarter)",0.35,IF(uStateDepreciationType="MACRS (HalfYear)",0.2,0))</f>
        <v>0.35</v>
      </c>
      <c r="E108" s="79">
        <f>IF(uStateDepreciationType="MACRS (MidQuarter)",0.26,IF(uStateDepreciationType="MACRS (HalfYear)",0.32,0))</f>
        <v>0.26</v>
      </c>
      <c r="F108" s="79">
        <f>IF(uStateDepreciationType="MACRS (MidQuarter)",0.156,IF(uStateDepreciationType="MACRS (HalfYear)",0.192,0))</f>
        <v>0.156</v>
      </c>
      <c r="G108" s="79">
        <f>IF(uStateDepreciationType="MACRS (MidQuarter)",0.1101,IF(uStateDepreciationType="MACRS (HalfYear)",0.1152,0))</f>
        <v>0.1101</v>
      </c>
      <c r="H108" s="79">
        <f>IF(uStateDepreciationType="MACRS (MidQuarter)",0.1101,IF(uStateDepreciationType="MACRS (HalfYear)",0.1152,0))</f>
        <v>0.1101</v>
      </c>
      <c r="I108" s="79">
        <f>IF(uStateDepreciationType="MACRS (MidQuarter)",0.0138,IF(uStateDepreciationType="MACRS (HalfYear)",0.0576,0))</f>
        <v>0.0138</v>
      </c>
      <c r="J108" s="79">
        <v>0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  <c r="S108" s="79">
        <v>0</v>
      </c>
      <c r="T108" s="79">
        <v>0</v>
      </c>
      <c r="U108" s="79">
        <v>0</v>
      </c>
      <c r="V108" s="79">
        <v>0</v>
      </c>
      <c r="W108" s="79">
        <v>0</v>
      </c>
      <c r="X108" s="79">
        <v>0</v>
      </c>
      <c r="Y108" s="79">
        <v>0</v>
      </c>
      <c r="Z108" s="79">
        <v>0</v>
      </c>
      <c r="AA108" s="79">
        <v>0</v>
      </c>
      <c r="AB108" s="79">
        <v>0</v>
      </c>
      <c r="AC108" s="79">
        <v>0</v>
      </c>
      <c r="AD108" s="79">
        <v>0</v>
      </c>
      <c r="AE108" s="79">
        <v>0</v>
      </c>
      <c r="AF108" s="79">
        <v>0</v>
      </c>
      <c r="AG108" s="96">
        <v>0</v>
      </c>
      <c r="AJ108" s="55"/>
    </row>
    <row r="109" spans="1:36" ht="12.75" hidden="1">
      <c r="A109" s="3"/>
      <c r="B109" s="69" t="s">
        <v>121</v>
      </c>
      <c r="C109" s="78"/>
      <c r="D109" s="94">
        <f>D107*uDepreciableBase</f>
        <v>461229.99999999994</v>
      </c>
      <c r="E109" s="94">
        <f aca="true" t="shared" si="10" ref="E109:AG109">E107*uDepreciableBase</f>
        <v>342628</v>
      </c>
      <c r="F109" s="94">
        <f t="shared" si="10"/>
        <v>205576.8</v>
      </c>
      <c r="G109" s="94">
        <f t="shared" si="10"/>
        <v>145089.78</v>
      </c>
      <c r="H109" s="94">
        <f t="shared" si="10"/>
        <v>145089.78</v>
      </c>
      <c r="I109" s="94">
        <f t="shared" si="10"/>
        <v>18185.64</v>
      </c>
      <c r="J109" s="94">
        <f t="shared" si="10"/>
        <v>0</v>
      </c>
      <c r="K109" s="94">
        <f t="shared" si="10"/>
        <v>0</v>
      </c>
      <c r="L109" s="94">
        <f t="shared" si="10"/>
        <v>0</v>
      </c>
      <c r="M109" s="94">
        <f t="shared" si="10"/>
        <v>0</v>
      </c>
      <c r="N109" s="94">
        <f t="shared" si="10"/>
        <v>0</v>
      </c>
      <c r="O109" s="94">
        <f t="shared" si="10"/>
        <v>0</v>
      </c>
      <c r="P109" s="94">
        <f t="shared" si="10"/>
        <v>0</v>
      </c>
      <c r="Q109" s="94">
        <f t="shared" si="10"/>
        <v>0</v>
      </c>
      <c r="R109" s="94">
        <f t="shared" si="10"/>
        <v>0</v>
      </c>
      <c r="S109" s="94">
        <f t="shared" si="10"/>
        <v>0</v>
      </c>
      <c r="T109" s="94">
        <f t="shared" si="10"/>
        <v>0</v>
      </c>
      <c r="U109" s="94">
        <f t="shared" si="10"/>
        <v>0</v>
      </c>
      <c r="V109" s="94">
        <f t="shared" si="10"/>
        <v>0</v>
      </c>
      <c r="W109" s="94">
        <f t="shared" si="10"/>
        <v>0</v>
      </c>
      <c r="X109" s="94">
        <f t="shared" si="10"/>
        <v>0</v>
      </c>
      <c r="Y109" s="94">
        <f t="shared" si="10"/>
        <v>0</v>
      </c>
      <c r="Z109" s="94">
        <f t="shared" si="10"/>
        <v>0</v>
      </c>
      <c r="AA109" s="94">
        <f t="shared" si="10"/>
        <v>0</v>
      </c>
      <c r="AB109" s="94">
        <f t="shared" si="10"/>
        <v>0</v>
      </c>
      <c r="AC109" s="94">
        <f t="shared" si="10"/>
        <v>0</v>
      </c>
      <c r="AD109" s="94">
        <f t="shared" si="10"/>
        <v>0</v>
      </c>
      <c r="AE109" s="94">
        <f t="shared" si="10"/>
        <v>0</v>
      </c>
      <c r="AF109" s="94">
        <f t="shared" si="10"/>
        <v>0</v>
      </c>
      <c r="AG109" s="95">
        <f t="shared" si="10"/>
        <v>0</v>
      </c>
      <c r="AJ109" s="55"/>
    </row>
    <row r="110" spans="1:36" ht="12.75" hidden="1">
      <c r="A110" s="3"/>
      <c r="B110" s="69" t="s">
        <v>122</v>
      </c>
      <c r="C110" s="78"/>
      <c r="D110" s="94">
        <f aca="true" t="shared" si="11" ref="D110:AG110">D108*uStateDepreciableBase</f>
        <v>461229.99999999994</v>
      </c>
      <c r="E110" s="94">
        <f t="shared" si="11"/>
        <v>342628</v>
      </c>
      <c r="F110" s="94">
        <f t="shared" si="11"/>
        <v>205576.8</v>
      </c>
      <c r="G110" s="94">
        <f t="shared" si="11"/>
        <v>145089.78</v>
      </c>
      <c r="H110" s="94">
        <f t="shared" si="11"/>
        <v>145089.78</v>
      </c>
      <c r="I110" s="94">
        <f t="shared" si="11"/>
        <v>18185.64</v>
      </c>
      <c r="J110" s="94">
        <f t="shared" si="11"/>
        <v>0</v>
      </c>
      <c r="K110" s="94">
        <f t="shared" si="11"/>
        <v>0</v>
      </c>
      <c r="L110" s="94">
        <f t="shared" si="11"/>
        <v>0</v>
      </c>
      <c r="M110" s="94">
        <f t="shared" si="11"/>
        <v>0</v>
      </c>
      <c r="N110" s="94">
        <f t="shared" si="11"/>
        <v>0</v>
      </c>
      <c r="O110" s="94">
        <f t="shared" si="11"/>
        <v>0</v>
      </c>
      <c r="P110" s="94">
        <f t="shared" si="11"/>
        <v>0</v>
      </c>
      <c r="Q110" s="94">
        <f t="shared" si="11"/>
        <v>0</v>
      </c>
      <c r="R110" s="94">
        <f t="shared" si="11"/>
        <v>0</v>
      </c>
      <c r="S110" s="94">
        <f t="shared" si="11"/>
        <v>0</v>
      </c>
      <c r="T110" s="94">
        <f t="shared" si="11"/>
        <v>0</v>
      </c>
      <c r="U110" s="94">
        <f t="shared" si="11"/>
        <v>0</v>
      </c>
      <c r="V110" s="94">
        <f t="shared" si="11"/>
        <v>0</v>
      </c>
      <c r="W110" s="94">
        <f t="shared" si="11"/>
        <v>0</v>
      </c>
      <c r="X110" s="94">
        <f t="shared" si="11"/>
        <v>0</v>
      </c>
      <c r="Y110" s="94">
        <f t="shared" si="11"/>
        <v>0</v>
      </c>
      <c r="Z110" s="94">
        <f t="shared" si="11"/>
        <v>0</v>
      </c>
      <c r="AA110" s="94">
        <f t="shared" si="11"/>
        <v>0</v>
      </c>
      <c r="AB110" s="94">
        <f t="shared" si="11"/>
        <v>0</v>
      </c>
      <c r="AC110" s="94">
        <f t="shared" si="11"/>
        <v>0</v>
      </c>
      <c r="AD110" s="94">
        <f t="shared" si="11"/>
        <v>0</v>
      </c>
      <c r="AE110" s="94">
        <f t="shared" si="11"/>
        <v>0</v>
      </c>
      <c r="AF110" s="94">
        <f t="shared" si="11"/>
        <v>0</v>
      </c>
      <c r="AG110" s="95">
        <f t="shared" si="11"/>
        <v>0</v>
      </c>
      <c r="AJ110" s="55"/>
    </row>
    <row r="111" spans="1:33" ht="12.75" hidden="1">
      <c r="A111" s="3"/>
      <c r="B111" s="73" t="s">
        <v>81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7"/>
    </row>
    <row r="112" spans="1:33" ht="12.75" hidden="1">
      <c r="A112" s="3"/>
      <c r="B112" s="69" t="s">
        <v>84</v>
      </c>
      <c r="C112" s="62"/>
      <c r="D112" s="62">
        <f>+IF(uITCTypeFed="Percent w/ Maximum",IF(uFedITCPercent/100*uTotalInstalledCosts&lt;uFedITCMax,uFedITCPercent/100*uFedCreditBasis,uFedITCMax),uFedITCMax)+uFedITC</f>
        <v>0</v>
      </c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7"/>
    </row>
    <row r="113" spans="1:33" ht="12.75" hidden="1">
      <c r="A113" s="3"/>
      <c r="B113" s="69" t="s">
        <v>85</v>
      </c>
      <c r="C113" s="68"/>
      <c r="D113" s="66">
        <f aca="true" t="shared" si="12" ref="D113:AG113">IF(D90&lt;=uFedPTCTerm,+uFedPTC*(1+uFedPTCEsc/100)^(D90-1)*D92,0)</f>
        <v>0</v>
      </c>
      <c r="E113" s="66">
        <f t="shared" si="12"/>
        <v>0</v>
      </c>
      <c r="F113" s="66">
        <f t="shared" si="12"/>
        <v>0</v>
      </c>
      <c r="G113" s="66">
        <f t="shared" si="12"/>
        <v>0</v>
      </c>
      <c r="H113" s="66">
        <f t="shared" si="12"/>
        <v>0</v>
      </c>
      <c r="I113" s="66">
        <f t="shared" si="12"/>
        <v>0</v>
      </c>
      <c r="J113" s="66">
        <f t="shared" si="12"/>
        <v>0</v>
      </c>
      <c r="K113" s="66">
        <f t="shared" si="12"/>
        <v>0</v>
      </c>
      <c r="L113" s="66">
        <f t="shared" si="12"/>
        <v>0</v>
      </c>
      <c r="M113" s="66">
        <f t="shared" si="12"/>
        <v>0</v>
      </c>
      <c r="N113" s="66">
        <f t="shared" si="12"/>
        <v>0</v>
      </c>
      <c r="O113" s="66">
        <f t="shared" si="12"/>
        <v>0</v>
      </c>
      <c r="P113" s="66">
        <f t="shared" si="12"/>
        <v>0</v>
      </c>
      <c r="Q113" s="66">
        <f t="shared" si="12"/>
        <v>0</v>
      </c>
      <c r="R113" s="66">
        <f t="shared" si="12"/>
        <v>0</v>
      </c>
      <c r="S113" s="66">
        <f t="shared" si="12"/>
        <v>0</v>
      </c>
      <c r="T113" s="66">
        <f t="shared" si="12"/>
        <v>0</v>
      </c>
      <c r="U113" s="66">
        <f t="shared" si="12"/>
        <v>0</v>
      </c>
      <c r="V113" s="66">
        <f t="shared" si="12"/>
        <v>0</v>
      </c>
      <c r="W113" s="66">
        <f t="shared" si="12"/>
        <v>0</v>
      </c>
      <c r="X113" s="66">
        <f t="shared" si="12"/>
        <v>0</v>
      </c>
      <c r="Y113" s="66">
        <f t="shared" si="12"/>
        <v>0</v>
      </c>
      <c r="Z113" s="66">
        <f t="shared" si="12"/>
        <v>0</v>
      </c>
      <c r="AA113" s="66">
        <f t="shared" si="12"/>
        <v>0</v>
      </c>
      <c r="AB113" s="66">
        <f t="shared" si="12"/>
        <v>0</v>
      </c>
      <c r="AC113" s="66">
        <f t="shared" si="12"/>
        <v>0</v>
      </c>
      <c r="AD113" s="66">
        <f t="shared" si="12"/>
        <v>0</v>
      </c>
      <c r="AE113" s="66">
        <f t="shared" si="12"/>
        <v>0</v>
      </c>
      <c r="AF113" s="66">
        <f t="shared" si="12"/>
        <v>0</v>
      </c>
      <c r="AG113" s="67">
        <f t="shared" si="12"/>
        <v>0</v>
      </c>
    </row>
    <row r="114" spans="1:33" ht="12.75" hidden="1">
      <c r="A114" s="3"/>
      <c r="B114" s="69" t="s">
        <v>86</v>
      </c>
      <c r="C114" s="68"/>
      <c r="D114" s="66">
        <f aca="true" t="shared" si="13" ref="D114:AG114">IF(D90&lt;=uFedPBITerm,+uFedPBI*(1+uFedPBIEsc/100)^(D90-1)*D92,0)</f>
        <v>0</v>
      </c>
      <c r="E114" s="66">
        <f t="shared" si="13"/>
        <v>0</v>
      </c>
      <c r="F114" s="66">
        <f t="shared" si="13"/>
        <v>0</v>
      </c>
      <c r="G114" s="66">
        <f t="shared" si="13"/>
        <v>0</v>
      </c>
      <c r="H114" s="66">
        <f t="shared" si="13"/>
        <v>0</v>
      </c>
      <c r="I114" s="66">
        <f t="shared" si="13"/>
        <v>0</v>
      </c>
      <c r="J114" s="66">
        <f t="shared" si="13"/>
        <v>0</v>
      </c>
      <c r="K114" s="66">
        <f t="shared" si="13"/>
        <v>0</v>
      </c>
      <c r="L114" s="66">
        <f t="shared" si="13"/>
        <v>0</v>
      </c>
      <c r="M114" s="66">
        <f t="shared" si="13"/>
        <v>0</v>
      </c>
      <c r="N114" s="66">
        <f t="shared" si="13"/>
        <v>0</v>
      </c>
      <c r="O114" s="66">
        <f t="shared" si="13"/>
        <v>0</v>
      </c>
      <c r="P114" s="66">
        <f t="shared" si="13"/>
        <v>0</v>
      </c>
      <c r="Q114" s="66">
        <f t="shared" si="13"/>
        <v>0</v>
      </c>
      <c r="R114" s="66">
        <f t="shared" si="13"/>
        <v>0</v>
      </c>
      <c r="S114" s="66">
        <f t="shared" si="13"/>
        <v>0</v>
      </c>
      <c r="T114" s="66">
        <f t="shared" si="13"/>
        <v>0</v>
      </c>
      <c r="U114" s="66">
        <f t="shared" si="13"/>
        <v>0</v>
      </c>
      <c r="V114" s="66">
        <f t="shared" si="13"/>
        <v>0</v>
      </c>
      <c r="W114" s="66">
        <f t="shared" si="13"/>
        <v>0</v>
      </c>
      <c r="X114" s="66">
        <f t="shared" si="13"/>
        <v>0</v>
      </c>
      <c r="Y114" s="66">
        <f t="shared" si="13"/>
        <v>0</v>
      </c>
      <c r="Z114" s="66">
        <f t="shared" si="13"/>
        <v>0</v>
      </c>
      <c r="AA114" s="66">
        <f t="shared" si="13"/>
        <v>0</v>
      </c>
      <c r="AB114" s="66">
        <f t="shared" si="13"/>
        <v>0</v>
      </c>
      <c r="AC114" s="66">
        <f t="shared" si="13"/>
        <v>0</v>
      </c>
      <c r="AD114" s="66">
        <f t="shared" si="13"/>
        <v>0</v>
      </c>
      <c r="AE114" s="66">
        <f t="shared" si="13"/>
        <v>0</v>
      </c>
      <c r="AF114" s="66">
        <f t="shared" si="13"/>
        <v>0</v>
      </c>
      <c r="AG114" s="67">
        <f t="shared" si="13"/>
        <v>0</v>
      </c>
    </row>
    <row r="115" spans="1:33" ht="12.75" hidden="1">
      <c r="A115" s="3"/>
      <c r="B115" s="69" t="s">
        <v>27</v>
      </c>
      <c r="C115" s="68"/>
      <c r="D115" s="66">
        <f>SUM(D112:D114)</f>
        <v>0</v>
      </c>
      <c r="E115" s="66">
        <f aca="true" t="shared" si="14" ref="E115:AG115">SUM(E112:E114)</f>
        <v>0</v>
      </c>
      <c r="F115" s="66">
        <f t="shared" si="14"/>
        <v>0</v>
      </c>
      <c r="G115" s="66">
        <f t="shared" si="14"/>
        <v>0</v>
      </c>
      <c r="H115" s="66">
        <f t="shared" si="14"/>
        <v>0</v>
      </c>
      <c r="I115" s="66">
        <f t="shared" si="14"/>
        <v>0</v>
      </c>
      <c r="J115" s="66">
        <f t="shared" si="14"/>
        <v>0</v>
      </c>
      <c r="K115" s="66">
        <f t="shared" si="14"/>
        <v>0</v>
      </c>
      <c r="L115" s="66">
        <f t="shared" si="14"/>
        <v>0</v>
      </c>
      <c r="M115" s="66">
        <f t="shared" si="14"/>
        <v>0</v>
      </c>
      <c r="N115" s="66">
        <f t="shared" si="14"/>
        <v>0</v>
      </c>
      <c r="O115" s="66">
        <f t="shared" si="14"/>
        <v>0</v>
      </c>
      <c r="P115" s="66">
        <f t="shared" si="14"/>
        <v>0</v>
      </c>
      <c r="Q115" s="66">
        <f t="shared" si="14"/>
        <v>0</v>
      </c>
      <c r="R115" s="66">
        <f t="shared" si="14"/>
        <v>0</v>
      </c>
      <c r="S115" s="66">
        <f t="shared" si="14"/>
        <v>0</v>
      </c>
      <c r="T115" s="66">
        <f t="shared" si="14"/>
        <v>0</v>
      </c>
      <c r="U115" s="66">
        <f t="shared" si="14"/>
        <v>0</v>
      </c>
      <c r="V115" s="66">
        <f t="shared" si="14"/>
        <v>0</v>
      </c>
      <c r="W115" s="66">
        <f t="shared" si="14"/>
        <v>0</v>
      </c>
      <c r="X115" s="66">
        <f t="shared" si="14"/>
        <v>0</v>
      </c>
      <c r="Y115" s="66">
        <f t="shared" si="14"/>
        <v>0</v>
      </c>
      <c r="Z115" s="66">
        <f t="shared" si="14"/>
        <v>0</v>
      </c>
      <c r="AA115" s="66">
        <f t="shared" si="14"/>
        <v>0</v>
      </c>
      <c r="AB115" s="66">
        <f t="shared" si="14"/>
        <v>0</v>
      </c>
      <c r="AC115" s="66">
        <f t="shared" si="14"/>
        <v>0</v>
      </c>
      <c r="AD115" s="66">
        <f t="shared" si="14"/>
        <v>0</v>
      </c>
      <c r="AE115" s="66">
        <f t="shared" si="14"/>
        <v>0</v>
      </c>
      <c r="AF115" s="66">
        <f t="shared" si="14"/>
        <v>0</v>
      </c>
      <c r="AG115" s="67">
        <f t="shared" si="14"/>
        <v>0</v>
      </c>
    </row>
    <row r="116" spans="1:33" ht="12.75" hidden="1">
      <c r="A116" s="3"/>
      <c r="B116" s="73" t="s">
        <v>82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7"/>
    </row>
    <row r="117" spans="1:33" ht="12.75" hidden="1">
      <c r="A117" s="3"/>
      <c r="B117" s="69" t="s">
        <v>84</v>
      </c>
      <c r="C117" s="62"/>
      <c r="D117" s="62">
        <f>+IF(uITCTypeState="Percent w/ Maximum",IF(uStateITCPercent/100*uTotalInstalledCosts&lt;uStateITCMax,uStateITCPercent/100*uStateCreditBasis,uStateITCMax),uStateITCMax)+uStateITC</f>
        <v>0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7"/>
    </row>
    <row r="118" spans="1:33" ht="12.75" hidden="1">
      <c r="A118" s="3"/>
      <c r="B118" s="69" t="s">
        <v>85</v>
      </c>
      <c r="C118" s="68"/>
      <c r="D118" s="66">
        <f aca="true" t="shared" si="15" ref="D118:AG118">IF(D90&lt;=uStatePTCTerm,+uStatePTC*(1+uStatePTCEsc/100)^(D90-1)*D92,0)</f>
        <v>0</v>
      </c>
      <c r="E118" s="66">
        <f t="shared" si="15"/>
        <v>0</v>
      </c>
      <c r="F118" s="66">
        <f t="shared" si="15"/>
        <v>0</v>
      </c>
      <c r="G118" s="66">
        <f t="shared" si="15"/>
        <v>0</v>
      </c>
      <c r="H118" s="66">
        <f t="shared" si="15"/>
        <v>0</v>
      </c>
      <c r="I118" s="66">
        <f t="shared" si="15"/>
        <v>0</v>
      </c>
      <c r="J118" s="66">
        <f t="shared" si="15"/>
        <v>0</v>
      </c>
      <c r="K118" s="66">
        <f t="shared" si="15"/>
        <v>0</v>
      </c>
      <c r="L118" s="66">
        <f t="shared" si="15"/>
        <v>0</v>
      </c>
      <c r="M118" s="66">
        <f t="shared" si="15"/>
        <v>0</v>
      </c>
      <c r="N118" s="66">
        <f t="shared" si="15"/>
        <v>0</v>
      </c>
      <c r="O118" s="66">
        <f t="shared" si="15"/>
        <v>0</v>
      </c>
      <c r="P118" s="66">
        <f t="shared" si="15"/>
        <v>0</v>
      </c>
      <c r="Q118" s="66">
        <f t="shared" si="15"/>
        <v>0</v>
      </c>
      <c r="R118" s="66">
        <f t="shared" si="15"/>
        <v>0</v>
      </c>
      <c r="S118" s="66">
        <f t="shared" si="15"/>
        <v>0</v>
      </c>
      <c r="T118" s="66">
        <f t="shared" si="15"/>
        <v>0</v>
      </c>
      <c r="U118" s="66">
        <f t="shared" si="15"/>
        <v>0</v>
      </c>
      <c r="V118" s="66">
        <f t="shared" si="15"/>
        <v>0</v>
      </c>
      <c r="W118" s="66">
        <f t="shared" si="15"/>
        <v>0</v>
      </c>
      <c r="X118" s="66">
        <f t="shared" si="15"/>
        <v>0</v>
      </c>
      <c r="Y118" s="66">
        <f t="shared" si="15"/>
        <v>0</v>
      </c>
      <c r="Z118" s="66">
        <f t="shared" si="15"/>
        <v>0</v>
      </c>
      <c r="AA118" s="66">
        <f t="shared" si="15"/>
        <v>0</v>
      </c>
      <c r="AB118" s="66">
        <f t="shared" si="15"/>
        <v>0</v>
      </c>
      <c r="AC118" s="66">
        <f t="shared" si="15"/>
        <v>0</v>
      </c>
      <c r="AD118" s="66">
        <f t="shared" si="15"/>
        <v>0</v>
      </c>
      <c r="AE118" s="66">
        <f t="shared" si="15"/>
        <v>0</v>
      </c>
      <c r="AF118" s="66">
        <f t="shared" si="15"/>
        <v>0</v>
      </c>
      <c r="AG118" s="67">
        <f t="shared" si="15"/>
        <v>0</v>
      </c>
    </row>
    <row r="119" spans="1:33" ht="12.75" hidden="1">
      <c r="A119" s="3"/>
      <c r="B119" s="69" t="s">
        <v>86</v>
      </c>
      <c r="C119" s="68"/>
      <c r="D119" s="66">
        <f aca="true" t="shared" si="16" ref="D119:AG119">IF(D90&lt;=uStatePBITerm,+uStatePBI*(1+uStatePBIEsc/100)^(D90-1)*D92,0)</f>
        <v>0</v>
      </c>
      <c r="E119" s="66">
        <f t="shared" si="16"/>
        <v>0</v>
      </c>
      <c r="F119" s="66">
        <f t="shared" si="16"/>
        <v>0</v>
      </c>
      <c r="G119" s="66">
        <f t="shared" si="16"/>
        <v>0</v>
      </c>
      <c r="H119" s="66">
        <f t="shared" si="16"/>
        <v>0</v>
      </c>
      <c r="I119" s="66">
        <f t="shared" si="16"/>
        <v>0</v>
      </c>
      <c r="J119" s="66">
        <f t="shared" si="16"/>
        <v>0</v>
      </c>
      <c r="K119" s="66">
        <f t="shared" si="16"/>
        <v>0</v>
      </c>
      <c r="L119" s="66">
        <f t="shared" si="16"/>
        <v>0</v>
      </c>
      <c r="M119" s="66">
        <f t="shared" si="16"/>
        <v>0</v>
      </c>
      <c r="N119" s="66">
        <f t="shared" si="16"/>
        <v>0</v>
      </c>
      <c r="O119" s="66">
        <f t="shared" si="16"/>
        <v>0</v>
      </c>
      <c r="P119" s="66">
        <f t="shared" si="16"/>
        <v>0</v>
      </c>
      <c r="Q119" s="66">
        <f t="shared" si="16"/>
        <v>0</v>
      </c>
      <c r="R119" s="66">
        <f t="shared" si="16"/>
        <v>0</v>
      </c>
      <c r="S119" s="66">
        <f t="shared" si="16"/>
        <v>0</v>
      </c>
      <c r="T119" s="66">
        <f t="shared" si="16"/>
        <v>0</v>
      </c>
      <c r="U119" s="66">
        <f t="shared" si="16"/>
        <v>0</v>
      </c>
      <c r="V119" s="66">
        <f t="shared" si="16"/>
        <v>0</v>
      </c>
      <c r="W119" s="66">
        <f t="shared" si="16"/>
        <v>0</v>
      </c>
      <c r="X119" s="66">
        <f t="shared" si="16"/>
        <v>0</v>
      </c>
      <c r="Y119" s="66">
        <f t="shared" si="16"/>
        <v>0</v>
      </c>
      <c r="Z119" s="66">
        <f t="shared" si="16"/>
        <v>0</v>
      </c>
      <c r="AA119" s="66">
        <f t="shared" si="16"/>
        <v>0</v>
      </c>
      <c r="AB119" s="66">
        <f t="shared" si="16"/>
        <v>0</v>
      </c>
      <c r="AC119" s="66">
        <f t="shared" si="16"/>
        <v>0</v>
      </c>
      <c r="AD119" s="66">
        <f t="shared" si="16"/>
        <v>0</v>
      </c>
      <c r="AE119" s="66">
        <f t="shared" si="16"/>
        <v>0</v>
      </c>
      <c r="AF119" s="66">
        <f t="shared" si="16"/>
        <v>0</v>
      </c>
      <c r="AG119" s="67">
        <f t="shared" si="16"/>
        <v>0</v>
      </c>
    </row>
    <row r="120" spans="1:33" ht="12.75" hidden="1">
      <c r="A120" s="3"/>
      <c r="B120" s="69" t="s">
        <v>27</v>
      </c>
      <c r="C120" s="68"/>
      <c r="D120" s="66">
        <f>SUM(D117:D119)</f>
        <v>0</v>
      </c>
      <c r="E120" s="66">
        <f aca="true" t="shared" si="17" ref="E120:AG120">SUM(E117:E119)</f>
        <v>0</v>
      </c>
      <c r="F120" s="66">
        <f t="shared" si="17"/>
        <v>0</v>
      </c>
      <c r="G120" s="66">
        <f t="shared" si="17"/>
        <v>0</v>
      </c>
      <c r="H120" s="66">
        <f t="shared" si="17"/>
        <v>0</v>
      </c>
      <c r="I120" s="66">
        <f t="shared" si="17"/>
        <v>0</v>
      </c>
      <c r="J120" s="66">
        <f t="shared" si="17"/>
        <v>0</v>
      </c>
      <c r="K120" s="66">
        <f t="shared" si="17"/>
        <v>0</v>
      </c>
      <c r="L120" s="66">
        <f t="shared" si="17"/>
        <v>0</v>
      </c>
      <c r="M120" s="66">
        <f t="shared" si="17"/>
        <v>0</v>
      </c>
      <c r="N120" s="66">
        <f t="shared" si="17"/>
        <v>0</v>
      </c>
      <c r="O120" s="66">
        <f t="shared" si="17"/>
        <v>0</v>
      </c>
      <c r="P120" s="66">
        <f t="shared" si="17"/>
        <v>0</v>
      </c>
      <c r="Q120" s="66">
        <f t="shared" si="17"/>
        <v>0</v>
      </c>
      <c r="R120" s="66">
        <f t="shared" si="17"/>
        <v>0</v>
      </c>
      <c r="S120" s="66">
        <f t="shared" si="17"/>
        <v>0</v>
      </c>
      <c r="T120" s="66">
        <f t="shared" si="17"/>
        <v>0</v>
      </c>
      <c r="U120" s="66">
        <f t="shared" si="17"/>
        <v>0</v>
      </c>
      <c r="V120" s="66">
        <f t="shared" si="17"/>
        <v>0</v>
      </c>
      <c r="W120" s="66">
        <f t="shared" si="17"/>
        <v>0</v>
      </c>
      <c r="X120" s="66">
        <f t="shared" si="17"/>
        <v>0</v>
      </c>
      <c r="Y120" s="66">
        <f t="shared" si="17"/>
        <v>0</v>
      </c>
      <c r="Z120" s="66">
        <f t="shared" si="17"/>
        <v>0</v>
      </c>
      <c r="AA120" s="66">
        <f t="shared" si="17"/>
        <v>0</v>
      </c>
      <c r="AB120" s="66">
        <f t="shared" si="17"/>
        <v>0</v>
      </c>
      <c r="AC120" s="66">
        <f t="shared" si="17"/>
        <v>0</v>
      </c>
      <c r="AD120" s="66">
        <f t="shared" si="17"/>
        <v>0</v>
      </c>
      <c r="AE120" s="66">
        <f t="shared" si="17"/>
        <v>0</v>
      </c>
      <c r="AF120" s="66">
        <f t="shared" si="17"/>
        <v>0</v>
      </c>
      <c r="AG120" s="67">
        <f t="shared" si="17"/>
        <v>0</v>
      </c>
    </row>
    <row r="121" spans="1:33" ht="12.75" hidden="1">
      <c r="A121" s="3"/>
      <c r="B121" s="73" t="s">
        <v>104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7"/>
    </row>
    <row r="122" spans="1:33" ht="12.75" hidden="1">
      <c r="A122" s="3"/>
      <c r="B122" s="69" t="s">
        <v>86</v>
      </c>
      <c r="C122" s="68"/>
      <c r="D122" s="66">
        <f aca="true" t="shared" si="18" ref="D122:AG122">IF(D90&lt;=uUtilityPBITerm,+uUtilityPBI*(1+uUtilityPBIEsc/100)^(D90-1)*D92,0)</f>
        <v>0</v>
      </c>
      <c r="E122" s="66">
        <f t="shared" si="18"/>
        <v>0</v>
      </c>
      <c r="F122" s="66">
        <f t="shared" si="18"/>
        <v>0</v>
      </c>
      <c r="G122" s="66">
        <f t="shared" si="18"/>
        <v>0</v>
      </c>
      <c r="H122" s="66">
        <f t="shared" si="18"/>
        <v>0</v>
      </c>
      <c r="I122" s="66">
        <f t="shared" si="18"/>
        <v>0</v>
      </c>
      <c r="J122" s="66">
        <f t="shared" si="18"/>
        <v>0</v>
      </c>
      <c r="K122" s="66">
        <f t="shared" si="18"/>
        <v>0</v>
      </c>
      <c r="L122" s="66">
        <f t="shared" si="18"/>
        <v>0</v>
      </c>
      <c r="M122" s="66">
        <f t="shared" si="18"/>
        <v>0</v>
      </c>
      <c r="N122" s="66">
        <f t="shared" si="18"/>
        <v>0</v>
      </c>
      <c r="O122" s="66">
        <f t="shared" si="18"/>
        <v>0</v>
      </c>
      <c r="P122" s="66">
        <f t="shared" si="18"/>
        <v>0</v>
      </c>
      <c r="Q122" s="66">
        <f t="shared" si="18"/>
        <v>0</v>
      </c>
      <c r="R122" s="66">
        <f t="shared" si="18"/>
        <v>0</v>
      </c>
      <c r="S122" s="66">
        <f t="shared" si="18"/>
        <v>0</v>
      </c>
      <c r="T122" s="66">
        <f t="shared" si="18"/>
        <v>0</v>
      </c>
      <c r="U122" s="66">
        <f t="shared" si="18"/>
        <v>0</v>
      </c>
      <c r="V122" s="66">
        <f t="shared" si="18"/>
        <v>0</v>
      </c>
      <c r="W122" s="66">
        <f t="shared" si="18"/>
        <v>0</v>
      </c>
      <c r="X122" s="66">
        <f t="shared" si="18"/>
        <v>0</v>
      </c>
      <c r="Y122" s="66">
        <f t="shared" si="18"/>
        <v>0</v>
      </c>
      <c r="Z122" s="66">
        <f t="shared" si="18"/>
        <v>0</v>
      </c>
      <c r="AA122" s="66">
        <f t="shared" si="18"/>
        <v>0</v>
      </c>
      <c r="AB122" s="66">
        <f t="shared" si="18"/>
        <v>0</v>
      </c>
      <c r="AC122" s="66">
        <f t="shared" si="18"/>
        <v>0</v>
      </c>
      <c r="AD122" s="66">
        <f t="shared" si="18"/>
        <v>0</v>
      </c>
      <c r="AE122" s="66">
        <f t="shared" si="18"/>
        <v>0</v>
      </c>
      <c r="AF122" s="66">
        <f t="shared" si="18"/>
        <v>0</v>
      </c>
      <c r="AG122" s="66">
        <f t="shared" si="18"/>
        <v>0</v>
      </c>
    </row>
    <row r="123" spans="1:33" ht="12.75" hidden="1">
      <c r="A123" s="3"/>
      <c r="B123" s="69" t="s">
        <v>27</v>
      </c>
      <c r="C123" s="68"/>
      <c r="D123" s="66">
        <f>SUM(D122)</f>
        <v>0</v>
      </c>
      <c r="E123" s="66">
        <f aca="true" t="shared" si="19" ref="E123:AG123">SUM(E122)</f>
        <v>0</v>
      </c>
      <c r="F123" s="66">
        <f t="shared" si="19"/>
        <v>0</v>
      </c>
      <c r="G123" s="66">
        <f t="shared" si="19"/>
        <v>0</v>
      </c>
      <c r="H123" s="66">
        <f t="shared" si="19"/>
        <v>0</v>
      </c>
      <c r="I123" s="66">
        <f t="shared" si="19"/>
        <v>0</v>
      </c>
      <c r="J123" s="66">
        <f t="shared" si="19"/>
        <v>0</v>
      </c>
      <c r="K123" s="66">
        <f t="shared" si="19"/>
        <v>0</v>
      </c>
      <c r="L123" s="66">
        <f t="shared" si="19"/>
        <v>0</v>
      </c>
      <c r="M123" s="66">
        <f t="shared" si="19"/>
        <v>0</v>
      </c>
      <c r="N123" s="66">
        <f t="shared" si="19"/>
        <v>0</v>
      </c>
      <c r="O123" s="66">
        <f t="shared" si="19"/>
        <v>0</v>
      </c>
      <c r="P123" s="66">
        <f t="shared" si="19"/>
        <v>0</v>
      </c>
      <c r="Q123" s="66">
        <f t="shared" si="19"/>
        <v>0</v>
      </c>
      <c r="R123" s="66">
        <f t="shared" si="19"/>
        <v>0</v>
      </c>
      <c r="S123" s="66">
        <f t="shared" si="19"/>
        <v>0</v>
      </c>
      <c r="T123" s="66">
        <f t="shared" si="19"/>
        <v>0</v>
      </c>
      <c r="U123" s="66">
        <f t="shared" si="19"/>
        <v>0</v>
      </c>
      <c r="V123" s="66">
        <f t="shared" si="19"/>
        <v>0</v>
      </c>
      <c r="W123" s="66">
        <f t="shared" si="19"/>
        <v>0</v>
      </c>
      <c r="X123" s="66">
        <f t="shared" si="19"/>
        <v>0</v>
      </c>
      <c r="Y123" s="66">
        <f t="shared" si="19"/>
        <v>0</v>
      </c>
      <c r="Z123" s="66">
        <f t="shared" si="19"/>
        <v>0</v>
      </c>
      <c r="AA123" s="66">
        <f t="shared" si="19"/>
        <v>0</v>
      </c>
      <c r="AB123" s="66">
        <f t="shared" si="19"/>
        <v>0</v>
      </c>
      <c r="AC123" s="66">
        <f t="shared" si="19"/>
        <v>0</v>
      </c>
      <c r="AD123" s="66">
        <f t="shared" si="19"/>
        <v>0</v>
      </c>
      <c r="AE123" s="66">
        <f t="shared" si="19"/>
        <v>0</v>
      </c>
      <c r="AF123" s="66">
        <f t="shared" si="19"/>
        <v>0</v>
      </c>
      <c r="AG123" s="67">
        <f t="shared" si="19"/>
        <v>0</v>
      </c>
    </row>
    <row r="124" spans="1:33" ht="12.75" hidden="1">
      <c r="A124" s="3"/>
      <c r="B124" s="73" t="s">
        <v>83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7"/>
    </row>
    <row r="125" spans="1:33" ht="12.75" hidden="1">
      <c r="A125" s="3"/>
      <c r="B125" s="69" t="s">
        <v>86</v>
      </c>
      <c r="C125" s="68"/>
      <c r="D125" s="66">
        <f aca="true" t="shared" si="20" ref="D125:AG125">IF(D90&lt;=uOtherPBITerm,+uOtherPBI*(1+uOtherPBIEsc/100)^(D90-1)*D92,0)</f>
        <v>0</v>
      </c>
      <c r="E125" s="66">
        <f t="shared" si="20"/>
        <v>0</v>
      </c>
      <c r="F125" s="66">
        <f t="shared" si="20"/>
        <v>0</v>
      </c>
      <c r="G125" s="66">
        <f t="shared" si="20"/>
        <v>0</v>
      </c>
      <c r="H125" s="66">
        <f t="shared" si="20"/>
        <v>0</v>
      </c>
      <c r="I125" s="66">
        <f t="shared" si="20"/>
        <v>0</v>
      </c>
      <c r="J125" s="66">
        <f t="shared" si="20"/>
        <v>0</v>
      </c>
      <c r="K125" s="66">
        <f t="shared" si="20"/>
        <v>0</v>
      </c>
      <c r="L125" s="66">
        <f t="shared" si="20"/>
        <v>0</v>
      </c>
      <c r="M125" s="66">
        <f t="shared" si="20"/>
        <v>0</v>
      </c>
      <c r="N125" s="66">
        <f t="shared" si="20"/>
        <v>0</v>
      </c>
      <c r="O125" s="66">
        <f t="shared" si="20"/>
        <v>0</v>
      </c>
      <c r="P125" s="66">
        <f t="shared" si="20"/>
        <v>0</v>
      </c>
      <c r="Q125" s="66">
        <f t="shared" si="20"/>
        <v>0</v>
      </c>
      <c r="R125" s="66">
        <f t="shared" si="20"/>
        <v>0</v>
      </c>
      <c r="S125" s="66">
        <f t="shared" si="20"/>
        <v>0</v>
      </c>
      <c r="T125" s="66">
        <f t="shared" si="20"/>
        <v>0</v>
      </c>
      <c r="U125" s="66">
        <f t="shared" si="20"/>
        <v>0</v>
      </c>
      <c r="V125" s="66">
        <f t="shared" si="20"/>
        <v>0</v>
      </c>
      <c r="W125" s="66">
        <f t="shared" si="20"/>
        <v>0</v>
      </c>
      <c r="X125" s="66">
        <f t="shared" si="20"/>
        <v>0</v>
      </c>
      <c r="Y125" s="66">
        <f t="shared" si="20"/>
        <v>0</v>
      </c>
      <c r="Z125" s="66">
        <f t="shared" si="20"/>
        <v>0</v>
      </c>
      <c r="AA125" s="66">
        <f t="shared" si="20"/>
        <v>0</v>
      </c>
      <c r="AB125" s="66">
        <f t="shared" si="20"/>
        <v>0</v>
      </c>
      <c r="AC125" s="66">
        <f t="shared" si="20"/>
        <v>0</v>
      </c>
      <c r="AD125" s="66">
        <f t="shared" si="20"/>
        <v>0</v>
      </c>
      <c r="AE125" s="66">
        <f t="shared" si="20"/>
        <v>0</v>
      </c>
      <c r="AF125" s="66">
        <f t="shared" si="20"/>
        <v>0</v>
      </c>
      <c r="AG125" s="67">
        <f t="shared" si="20"/>
        <v>0</v>
      </c>
    </row>
    <row r="126" spans="1:33" ht="12.75" hidden="1">
      <c r="A126" s="3"/>
      <c r="B126" s="69" t="s">
        <v>27</v>
      </c>
      <c r="C126" s="68"/>
      <c r="D126" s="66">
        <f aca="true" t="shared" si="21" ref="D126:AG126">SUM(D125:D125)</f>
        <v>0</v>
      </c>
      <c r="E126" s="66">
        <f t="shared" si="21"/>
        <v>0</v>
      </c>
      <c r="F126" s="66">
        <f t="shared" si="21"/>
        <v>0</v>
      </c>
      <c r="G126" s="66">
        <f t="shared" si="21"/>
        <v>0</v>
      </c>
      <c r="H126" s="66">
        <f t="shared" si="21"/>
        <v>0</v>
      </c>
      <c r="I126" s="66">
        <f t="shared" si="21"/>
        <v>0</v>
      </c>
      <c r="J126" s="66">
        <f t="shared" si="21"/>
        <v>0</v>
      </c>
      <c r="K126" s="66">
        <f t="shared" si="21"/>
        <v>0</v>
      </c>
      <c r="L126" s="66">
        <f t="shared" si="21"/>
        <v>0</v>
      </c>
      <c r="M126" s="66">
        <f t="shared" si="21"/>
        <v>0</v>
      </c>
      <c r="N126" s="66">
        <f t="shared" si="21"/>
        <v>0</v>
      </c>
      <c r="O126" s="66">
        <f t="shared" si="21"/>
        <v>0</v>
      </c>
      <c r="P126" s="66">
        <f t="shared" si="21"/>
        <v>0</v>
      </c>
      <c r="Q126" s="66">
        <f t="shared" si="21"/>
        <v>0</v>
      </c>
      <c r="R126" s="66">
        <f t="shared" si="21"/>
        <v>0</v>
      </c>
      <c r="S126" s="66">
        <f t="shared" si="21"/>
        <v>0</v>
      </c>
      <c r="T126" s="66">
        <f t="shared" si="21"/>
        <v>0</v>
      </c>
      <c r="U126" s="66">
        <f t="shared" si="21"/>
        <v>0</v>
      </c>
      <c r="V126" s="66">
        <f t="shared" si="21"/>
        <v>0</v>
      </c>
      <c r="W126" s="66">
        <f t="shared" si="21"/>
        <v>0</v>
      </c>
      <c r="X126" s="66">
        <f t="shared" si="21"/>
        <v>0</v>
      </c>
      <c r="Y126" s="66">
        <f t="shared" si="21"/>
        <v>0</v>
      </c>
      <c r="Z126" s="66">
        <f t="shared" si="21"/>
        <v>0</v>
      </c>
      <c r="AA126" s="66">
        <f t="shared" si="21"/>
        <v>0</v>
      </c>
      <c r="AB126" s="66">
        <f t="shared" si="21"/>
        <v>0</v>
      </c>
      <c r="AC126" s="66">
        <f t="shared" si="21"/>
        <v>0</v>
      </c>
      <c r="AD126" s="66">
        <f t="shared" si="21"/>
        <v>0</v>
      </c>
      <c r="AE126" s="66">
        <f t="shared" si="21"/>
        <v>0</v>
      </c>
      <c r="AF126" s="66">
        <f t="shared" si="21"/>
        <v>0</v>
      </c>
      <c r="AG126" s="67">
        <f t="shared" si="21"/>
        <v>0</v>
      </c>
    </row>
    <row r="127" spans="1:36" ht="12.75" hidden="1">
      <c r="A127" s="3"/>
      <c r="D127" s="3"/>
      <c r="E127" s="60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J127" s="55"/>
    </row>
    <row r="128" spans="1:36" ht="13.5" thickBot="1">
      <c r="A128" s="3"/>
      <c r="B128" s="149" t="s">
        <v>135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J128" s="55"/>
    </row>
    <row r="129" spans="1:36" ht="12.75">
      <c r="A129" s="3"/>
      <c r="B129" s="82" t="s">
        <v>0</v>
      </c>
      <c r="C129" s="80">
        <v>0</v>
      </c>
      <c r="D129" s="80">
        <v>1</v>
      </c>
      <c r="E129" s="80">
        <v>2</v>
      </c>
      <c r="F129" s="80">
        <v>3</v>
      </c>
      <c r="G129" s="80">
        <v>4</v>
      </c>
      <c r="H129" s="80">
        <v>5</v>
      </c>
      <c r="I129" s="80">
        <v>6</v>
      </c>
      <c r="J129" s="80">
        <v>7</v>
      </c>
      <c r="K129" s="80">
        <v>8</v>
      </c>
      <c r="L129" s="80">
        <v>9</v>
      </c>
      <c r="M129" s="80">
        <v>10</v>
      </c>
      <c r="N129" s="80">
        <v>11</v>
      </c>
      <c r="O129" s="80">
        <v>12</v>
      </c>
      <c r="P129" s="80">
        <v>13</v>
      </c>
      <c r="Q129" s="80">
        <v>14</v>
      </c>
      <c r="R129" s="80">
        <v>15</v>
      </c>
      <c r="S129" s="80">
        <v>16</v>
      </c>
      <c r="T129" s="80">
        <v>17</v>
      </c>
      <c r="U129" s="80">
        <v>18</v>
      </c>
      <c r="V129" s="80">
        <v>19</v>
      </c>
      <c r="W129" s="80">
        <v>20</v>
      </c>
      <c r="X129" s="80">
        <v>21</v>
      </c>
      <c r="Y129" s="80">
        <v>22</v>
      </c>
      <c r="Z129" s="80">
        <v>23</v>
      </c>
      <c r="AA129" s="80">
        <v>24</v>
      </c>
      <c r="AB129" s="80">
        <v>25</v>
      </c>
      <c r="AC129" s="80">
        <v>26</v>
      </c>
      <c r="AD129" s="80">
        <v>27</v>
      </c>
      <c r="AE129" s="80">
        <v>28</v>
      </c>
      <c r="AF129" s="80">
        <v>29</v>
      </c>
      <c r="AG129" s="80">
        <v>30</v>
      </c>
      <c r="AH129" s="3"/>
      <c r="AJ129" s="55"/>
    </row>
    <row r="130" spans="1:34" ht="12.75">
      <c r="A130" s="3"/>
      <c r="B130" s="146" t="s">
        <v>138</v>
      </c>
      <c r="D130" s="150">
        <f>uFirstYearAnnualOutput</f>
        <v>8760000</v>
      </c>
      <c r="E130" s="150">
        <f aca="true" t="shared" si="22" ref="E130:AG130">uFirstYearAnnualOutput*(1-uDegradation)^D129</f>
        <v>8672400</v>
      </c>
      <c r="F130" s="150">
        <f t="shared" si="22"/>
        <v>8585676</v>
      </c>
      <c r="G130" s="150">
        <f t="shared" si="22"/>
        <v>8499819.239999998</v>
      </c>
      <c r="H130" s="150">
        <f t="shared" si="22"/>
        <v>8414821.0476</v>
      </c>
      <c r="I130" s="150">
        <f t="shared" si="22"/>
        <v>8330672.837123999</v>
      </c>
      <c r="J130" s="150">
        <f t="shared" si="22"/>
        <v>8247366.108752759</v>
      </c>
      <c r="K130" s="150">
        <f t="shared" si="22"/>
        <v>8164892.447665231</v>
      </c>
      <c r="L130" s="150">
        <f t="shared" si="22"/>
        <v>8083243.523188579</v>
      </c>
      <c r="M130" s="150">
        <f t="shared" si="22"/>
        <v>8002411.087956693</v>
      </c>
      <c r="N130" s="150">
        <f t="shared" si="22"/>
        <v>7922386.977077126</v>
      </c>
      <c r="O130" s="150">
        <f t="shared" si="22"/>
        <v>7843163.107306355</v>
      </c>
      <c r="P130" s="150">
        <f t="shared" si="22"/>
        <v>7764731.476233291</v>
      </c>
      <c r="Q130" s="150">
        <f t="shared" si="22"/>
        <v>7687084.161470957</v>
      </c>
      <c r="R130" s="150">
        <f t="shared" si="22"/>
        <v>7610213.319856248</v>
      </c>
      <c r="S130" s="150">
        <f t="shared" si="22"/>
        <v>7534111.186657686</v>
      </c>
      <c r="T130" s="150">
        <f t="shared" si="22"/>
        <v>7458770.074791108</v>
      </c>
      <c r="U130" s="150">
        <f t="shared" si="22"/>
        <v>7384182.374043197</v>
      </c>
      <c r="V130" s="150">
        <f t="shared" si="22"/>
        <v>7310340.550302765</v>
      </c>
      <c r="W130" s="150">
        <f t="shared" si="22"/>
        <v>7237237.144799737</v>
      </c>
      <c r="X130" s="150">
        <f t="shared" si="22"/>
        <v>7164864.77335174</v>
      </c>
      <c r="Y130" s="150">
        <f t="shared" si="22"/>
        <v>7093216.125618223</v>
      </c>
      <c r="Z130" s="150">
        <f t="shared" si="22"/>
        <v>7022283.96436204</v>
      </c>
      <c r="AA130" s="150">
        <f t="shared" si="22"/>
        <v>6952061.12471842</v>
      </c>
      <c r="AB130" s="150">
        <f t="shared" si="22"/>
        <v>6882540.5134712355</v>
      </c>
      <c r="AC130" s="150">
        <f t="shared" si="22"/>
        <v>6813715.108336523</v>
      </c>
      <c r="AD130" s="150">
        <f t="shared" si="22"/>
        <v>6745577.957253158</v>
      </c>
      <c r="AE130" s="150">
        <f t="shared" si="22"/>
        <v>6678122.1776806265</v>
      </c>
      <c r="AF130" s="150">
        <f t="shared" si="22"/>
        <v>6611340.95590382</v>
      </c>
      <c r="AG130" s="150">
        <f t="shared" si="22"/>
        <v>6545227.54634478</v>
      </c>
      <c r="AH130" s="3"/>
    </row>
    <row r="131" spans="1:34" s="160" customFormat="1" ht="12.75">
      <c r="A131" s="158"/>
      <c r="B131" s="159" t="s">
        <v>136</v>
      </c>
      <c r="D131" s="160">
        <f aca="true" t="shared" si="23" ref="D131:AG131">uPPA/100*(1+uPPAEscalation)^C129</f>
        <v>0.12087973763596964</v>
      </c>
      <c r="E131" s="160">
        <f t="shared" si="23"/>
        <v>0.12087973763596964</v>
      </c>
      <c r="F131" s="160">
        <f t="shared" si="23"/>
        <v>0.12087973763596964</v>
      </c>
      <c r="G131" s="160">
        <f t="shared" si="23"/>
        <v>0.12087973763596964</v>
      </c>
      <c r="H131" s="160">
        <f t="shared" si="23"/>
        <v>0.12087973763596964</v>
      </c>
      <c r="I131" s="160">
        <f t="shared" si="23"/>
        <v>0.12087973763596964</v>
      </c>
      <c r="J131" s="160">
        <f t="shared" si="23"/>
        <v>0.12087973763596964</v>
      </c>
      <c r="K131" s="160">
        <f t="shared" si="23"/>
        <v>0.12087973763596964</v>
      </c>
      <c r="L131" s="160">
        <f t="shared" si="23"/>
        <v>0.12087973763596964</v>
      </c>
      <c r="M131" s="160">
        <f t="shared" si="23"/>
        <v>0.12087973763596964</v>
      </c>
      <c r="N131" s="160">
        <f t="shared" si="23"/>
        <v>0.12087973763596964</v>
      </c>
      <c r="O131" s="160">
        <f t="shared" si="23"/>
        <v>0.12087973763596964</v>
      </c>
      <c r="P131" s="160">
        <f t="shared" si="23"/>
        <v>0.12087973763596964</v>
      </c>
      <c r="Q131" s="160">
        <f t="shared" si="23"/>
        <v>0.12087973763596964</v>
      </c>
      <c r="R131" s="160">
        <f t="shared" si="23"/>
        <v>0.12087973763596964</v>
      </c>
      <c r="S131" s="160">
        <f t="shared" si="23"/>
        <v>0.12087973763596964</v>
      </c>
      <c r="T131" s="160">
        <f t="shared" si="23"/>
        <v>0.12087973763596964</v>
      </c>
      <c r="U131" s="160">
        <f t="shared" si="23"/>
        <v>0.12087973763596964</v>
      </c>
      <c r="V131" s="160">
        <f t="shared" si="23"/>
        <v>0.12087973763596964</v>
      </c>
      <c r="W131" s="160">
        <f t="shared" si="23"/>
        <v>0.12087973763596964</v>
      </c>
      <c r="X131" s="160">
        <f t="shared" si="23"/>
        <v>0.12087973763596964</v>
      </c>
      <c r="Y131" s="160">
        <f t="shared" si="23"/>
        <v>0.12087973763596964</v>
      </c>
      <c r="Z131" s="160">
        <f t="shared" si="23"/>
        <v>0.12087973763596964</v>
      </c>
      <c r="AA131" s="160">
        <f t="shared" si="23"/>
        <v>0.12087973763596964</v>
      </c>
      <c r="AB131" s="160">
        <f t="shared" si="23"/>
        <v>0.12087973763596964</v>
      </c>
      <c r="AC131" s="160">
        <f t="shared" si="23"/>
        <v>0.12087973763596964</v>
      </c>
      <c r="AD131" s="160">
        <f t="shared" si="23"/>
        <v>0.12087973763596964</v>
      </c>
      <c r="AE131" s="160">
        <f t="shared" si="23"/>
        <v>0.12087973763596964</v>
      </c>
      <c r="AF131" s="160">
        <f t="shared" si="23"/>
        <v>0.12087973763596964</v>
      </c>
      <c r="AG131" s="160">
        <f t="shared" si="23"/>
        <v>0.12087973763596964</v>
      </c>
      <c r="AH131" s="158"/>
    </row>
    <row r="132" spans="1:33" ht="12.75">
      <c r="A132" s="3"/>
      <c r="B132" s="147"/>
      <c r="C132" s="3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</row>
    <row r="133" spans="1:33" ht="12.75">
      <c r="A133" s="3"/>
      <c r="B133" s="148" t="s">
        <v>152</v>
      </c>
      <c r="C133" s="3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</row>
    <row r="134" spans="1:33" ht="12.75">
      <c r="A134" s="3"/>
      <c r="B134" s="152" t="s">
        <v>151</v>
      </c>
      <c r="C134" s="3"/>
      <c r="D134" s="150">
        <f>+D131*D130</f>
        <v>1058906.5016910941</v>
      </c>
      <c r="E134" s="150">
        <f aca="true" t="shared" si="24" ref="E134:AG134">+E131*E130</f>
        <v>1048317.4366741831</v>
      </c>
      <c r="F134" s="150">
        <f t="shared" si="24"/>
        <v>1037834.2623074412</v>
      </c>
      <c r="G134" s="150">
        <f t="shared" si="24"/>
        <v>1027455.9196843667</v>
      </c>
      <c r="H134" s="150">
        <f t="shared" si="24"/>
        <v>1017181.3604875231</v>
      </c>
      <c r="I134" s="150">
        <f t="shared" si="24"/>
        <v>1007009.5468826479</v>
      </c>
      <c r="J134" s="150">
        <f t="shared" si="24"/>
        <v>996939.4514138214</v>
      </c>
      <c r="K134" s="150">
        <f t="shared" si="24"/>
        <v>986970.0568996831</v>
      </c>
      <c r="L134" s="150">
        <f t="shared" si="24"/>
        <v>977100.3563306862</v>
      </c>
      <c r="M134" s="150">
        <f t="shared" si="24"/>
        <v>967329.3527673794</v>
      </c>
      <c r="N134" s="150">
        <f t="shared" si="24"/>
        <v>957656.0592397056</v>
      </c>
      <c r="O134" s="150">
        <f t="shared" si="24"/>
        <v>948079.4986473086</v>
      </c>
      <c r="P134" s="150">
        <f t="shared" si="24"/>
        <v>938598.7036608355</v>
      </c>
      <c r="Q134" s="150">
        <f t="shared" si="24"/>
        <v>929212.716624227</v>
      </c>
      <c r="R134" s="150">
        <f t="shared" si="24"/>
        <v>919920.5894579848</v>
      </c>
      <c r="S134" s="150">
        <f t="shared" si="24"/>
        <v>910721.3835634049</v>
      </c>
      <c r="T134" s="150">
        <f t="shared" si="24"/>
        <v>901614.1697277708</v>
      </c>
      <c r="U134" s="150">
        <f t="shared" si="24"/>
        <v>892598.0280304932</v>
      </c>
      <c r="V134" s="150">
        <f t="shared" si="24"/>
        <v>883672.0477501882</v>
      </c>
      <c r="W134" s="150">
        <f t="shared" si="24"/>
        <v>874835.3272726863</v>
      </c>
      <c r="X134" s="150">
        <f t="shared" si="24"/>
        <v>866086.9739999594</v>
      </c>
      <c r="Y134" s="150">
        <f t="shared" si="24"/>
        <v>857426.1042599599</v>
      </c>
      <c r="Z134" s="150">
        <f t="shared" si="24"/>
        <v>848851.8432173602</v>
      </c>
      <c r="AA134" s="150">
        <f t="shared" si="24"/>
        <v>840363.3247851867</v>
      </c>
      <c r="AB134" s="150">
        <f t="shared" si="24"/>
        <v>831959.6915373347</v>
      </c>
      <c r="AC134" s="150">
        <f t="shared" si="24"/>
        <v>823640.0946219614</v>
      </c>
      <c r="AD134" s="150">
        <f t="shared" si="24"/>
        <v>815403.6936757418</v>
      </c>
      <c r="AE134" s="150">
        <f t="shared" si="24"/>
        <v>807249.6567389844</v>
      </c>
      <c r="AF134" s="150">
        <f t="shared" si="24"/>
        <v>799177.1601715945</v>
      </c>
      <c r="AG134" s="150">
        <f t="shared" si="24"/>
        <v>791185.3885698784</v>
      </c>
    </row>
    <row r="135" spans="1:33" ht="12.75">
      <c r="A135" s="3"/>
      <c r="B135" s="146"/>
      <c r="C135" s="3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</row>
    <row r="136" spans="1:33" ht="12.75">
      <c r="A136" s="3"/>
      <c r="B136" s="146" t="s">
        <v>174</v>
      </c>
      <c r="C136" s="3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</row>
    <row r="137" spans="1:33" ht="12.75">
      <c r="A137" s="3"/>
      <c r="B137" s="152" t="s">
        <v>208</v>
      </c>
      <c r="D137" s="28">
        <f aca="true" t="shared" si="25" ref="D137:AG137">uLumpOandM*(1+uInflationRate+uLumpOandMEsc)^C129</f>
        <v>1000</v>
      </c>
      <c r="E137" s="28">
        <f t="shared" si="25"/>
        <v>1065</v>
      </c>
      <c r="F137" s="28">
        <f t="shared" si="25"/>
        <v>1134.225</v>
      </c>
      <c r="G137" s="28">
        <f t="shared" si="25"/>
        <v>1207.9496249999997</v>
      </c>
      <c r="H137" s="28">
        <f t="shared" si="25"/>
        <v>1286.4663506249997</v>
      </c>
      <c r="I137" s="28">
        <f t="shared" si="25"/>
        <v>1370.0866634156246</v>
      </c>
      <c r="J137" s="28">
        <f t="shared" si="25"/>
        <v>1459.14229653764</v>
      </c>
      <c r="K137" s="28">
        <f t="shared" si="25"/>
        <v>1553.9865458125864</v>
      </c>
      <c r="L137" s="28">
        <f t="shared" si="25"/>
        <v>1654.9956712904043</v>
      </c>
      <c r="M137" s="28">
        <f t="shared" si="25"/>
        <v>1762.5703899242806</v>
      </c>
      <c r="N137" s="28">
        <f t="shared" si="25"/>
        <v>1877.1374652693587</v>
      </c>
      <c r="O137" s="28">
        <f t="shared" si="25"/>
        <v>1999.1514005118668</v>
      </c>
      <c r="P137" s="28">
        <f t="shared" si="25"/>
        <v>2129.0962415451377</v>
      </c>
      <c r="Q137" s="28">
        <f t="shared" si="25"/>
        <v>2267.487497245572</v>
      </c>
      <c r="R137" s="28">
        <f t="shared" si="25"/>
        <v>2414.8741845665336</v>
      </c>
      <c r="S137" s="28">
        <f t="shared" si="25"/>
        <v>2571.841006563358</v>
      </c>
      <c r="T137" s="28">
        <f t="shared" si="25"/>
        <v>2739.010671989976</v>
      </c>
      <c r="U137" s="28">
        <f t="shared" si="25"/>
        <v>2917.046365669324</v>
      </c>
      <c r="V137" s="28">
        <f t="shared" si="25"/>
        <v>3106.6543794378304</v>
      </c>
      <c r="W137" s="28">
        <f t="shared" si="25"/>
        <v>3308.586914101289</v>
      </c>
      <c r="X137" s="28">
        <f t="shared" si="25"/>
        <v>3523.6450635178726</v>
      </c>
      <c r="Y137" s="28">
        <f t="shared" si="25"/>
        <v>3752.6819926465337</v>
      </c>
      <c r="Z137" s="28">
        <f t="shared" si="25"/>
        <v>3996.606322168558</v>
      </c>
      <c r="AA137" s="28">
        <f t="shared" si="25"/>
        <v>4256.385733109513</v>
      </c>
      <c r="AB137" s="28">
        <f t="shared" si="25"/>
        <v>4533.050805761632</v>
      </c>
      <c r="AC137" s="28">
        <f t="shared" si="25"/>
        <v>4827.699108136138</v>
      </c>
      <c r="AD137" s="28">
        <f t="shared" si="25"/>
        <v>5141.499550164986</v>
      </c>
      <c r="AE137" s="28">
        <f t="shared" si="25"/>
        <v>5475.69702092571</v>
      </c>
      <c r="AF137" s="28">
        <f t="shared" si="25"/>
        <v>5831.61732728588</v>
      </c>
      <c r="AG137" s="28">
        <f t="shared" si="25"/>
        <v>6210.672453559463</v>
      </c>
    </row>
    <row r="138" spans="2:33" ht="12.75">
      <c r="B138" s="152" t="s">
        <v>153</v>
      </c>
      <c r="D138" s="28">
        <f aca="true" t="shared" si="26" ref="D138:AG138">uFixedOandM*(1+uInflationRate+uFixedOandMEsc)^C129*uArraySize</f>
        <v>150000</v>
      </c>
      <c r="E138" s="150">
        <f t="shared" si="26"/>
        <v>155250</v>
      </c>
      <c r="F138" s="150">
        <f t="shared" si="26"/>
        <v>160683.74999999997</v>
      </c>
      <c r="G138" s="150">
        <f t="shared" si="26"/>
        <v>166307.68124999997</v>
      </c>
      <c r="H138" s="150">
        <f t="shared" si="26"/>
        <v>172128.45009374997</v>
      </c>
      <c r="I138" s="150">
        <f t="shared" si="26"/>
        <v>178152.94584703117</v>
      </c>
      <c r="J138" s="150">
        <f t="shared" si="26"/>
        <v>184388.29895167728</v>
      </c>
      <c r="K138" s="150">
        <f t="shared" si="26"/>
        <v>190841.88941498596</v>
      </c>
      <c r="L138" s="150">
        <f t="shared" si="26"/>
        <v>197521.35554451044</v>
      </c>
      <c r="M138" s="150">
        <f t="shared" si="26"/>
        <v>204434.60298856825</v>
      </c>
      <c r="N138" s="150">
        <f t="shared" si="26"/>
        <v>211589.81409316816</v>
      </c>
      <c r="O138" s="150">
        <f t="shared" si="26"/>
        <v>218995.45758642905</v>
      </c>
      <c r="P138" s="150">
        <f t="shared" si="26"/>
        <v>226660.29860195404</v>
      </c>
      <c r="Q138" s="150">
        <f t="shared" si="26"/>
        <v>234593.4090530224</v>
      </c>
      <c r="R138" s="150">
        <f t="shared" si="26"/>
        <v>242804.1783698782</v>
      </c>
      <c r="S138" s="150">
        <f t="shared" si="26"/>
        <v>251302.3246128239</v>
      </c>
      <c r="T138" s="150">
        <f t="shared" si="26"/>
        <v>260097.9059742727</v>
      </c>
      <c r="U138" s="150">
        <f t="shared" si="26"/>
        <v>269201.33268337225</v>
      </c>
      <c r="V138" s="150">
        <f t="shared" si="26"/>
        <v>278623.37932729017</v>
      </c>
      <c r="W138" s="150">
        <f t="shared" si="26"/>
        <v>288375.1976037453</v>
      </c>
      <c r="X138" s="150">
        <f t="shared" si="26"/>
        <v>298468.3295198764</v>
      </c>
      <c r="Y138" s="150">
        <f t="shared" si="26"/>
        <v>308914.721053072</v>
      </c>
      <c r="Z138" s="150">
        <f t="shared" si="26"/>
        <v>319726.73628992954</v>
      </c>
      <c r="AA138" s="150">
        <f t="shared" si="26"/>
        <v>330917.1720600771</v>
      </c>
      <c r="AB138" s="150">
        <f t="shared" si="26"/>
        <v>342499.27308217966</v>
      </c>
      <c r="AC138" s="150">
        <f t="shared" si="26"/>
        <v>354486.74764005595</v>
      </c>
      <c r="AD138" s="150">
        <f t="shared" si="26"/>
        <v>366893.7838074579</v>
      </c>
      <c r="AE138" s="150">
        <f t="shared" si="26"/>
        <v>379735.06624071894</v>
      </c>
      <c r="AF138" s="150">
        <f t="shared" si="26"/>
        <v>393025.79355914413</v>
      </c>
      <c r="AG138" s="150">
        <f t="shared" si="26"/>
        <v>406781.69633371406</v>
      </c>
    </row>
    <row r="139" spans="2:33" ht="12.75">
      <c r="B139" s="152" t="s">
        <v>185</v>
      </c>
      <c r="D139" s="28">
        <f aca="true" t="shared" si="27" ref="D139:AG139">uVariableOandM*(D130/1000)*(1+uInflationRate+uVariableOandMEsc)^C129</f>
        <v>876</v>
      </c>
      <c r="E139" s="28">
        <f t="shared" si="27"/>
        <v>906.2657999999999</v>
      </c>
      <c r="F139" s="28">
        <f t="shared" si="27"/>
        <v>937.5772833899998</v>
      </c>
      <c r="G139" s="28">
        <f t="shared" si="27"/>
        <v>969.9705785311243</v>
      </c>
      <c r="H139" s="28">
        <f t="shared" si="27"/>
        <v>1003.4830620193742</v>
      </c>
      <c r="I139" s="28">
        <f t="shared" si="27"/>
        <v>1038.1534018121438</v>
      </c>
      <c r="J139" s="28">
        <f t="shared" si="27"/>
        <v>1074.0216018447531</v>
      </c>
      <c r="K139" s="28">
        <f t="shared" si="27"/>
        <v>1111.1290481884894</v>
      </c>
      <c r="L139" s="28">
        <f t="shared" si="27"/>
        <v>1149.5185568034015</v>
      </c>
      <c r="M139" s="28">
        <f t="shared" si="27"/>
        <v>1189.2344229409587</v>
      </c>
      <c r="N139" s="28">
        <f t="shared" si="27"/>
        <v>1230.3224722535685</v>
      </c>
      <c r="O139" s="28">
        <f t="shared" si="27"/>
        <v>1272.8301136699292</v>
      </c>
      <c r="P139" s="28">
        <f t="shared" si="27"/>
        <v>1316.8063940972252</v>
      </c>
      <c r="Q139" s="28">
        <f t="shared" si="27"/>
        <v>1362.302055013284</v>
      </c>
      <c r="R139" s="28">
        <f t="shared" si="27"/>
        <v>1409.3695910139927</v>
      </c>
      <c r="S139" s="28">
        <f t="shared" si="27"/>
        <v>1458.0633103835264</v>
      </c>
      <c r="T139" s="28">
        <f t="shared" si="27"/>
        <v>1508.4393977572768</v>
      </c>
      <c r="U139" s="28">
        <f t="shared" si="27"/>
        <v>1560.5559789497906</v>
      </c>
      <c r="V139" s="28">
        <f t="shared" si="27"/>
        <v>1614.4731880225054</v>
      </c>
      <c r="W139" s="28">
        <f t="shared" si="27"/>
        <v>1670.2532366686828</v>
      </c>
      <c r="X139" s="28">
        <f t="shared" si="27"/>
        <v>1727.9604859955855</v>
      </c>
      <c r="Y139" s="28">
        <f t="shared" si="27"/>
        <v>1787.6615207867333</v>
      </c>
      <c r="Z139" s="28">
        <f t="shared" si="27"/>
        <v>1849.425226329914</v>
      </c>
      <c r="AA139" s="28">
        <f t="shared" si="27"/>
        <v>1913.3228678996127</v>
      </c>
      <c r="AB139" s="28">
        <f t="shared" si="27"/>
        <v>1979.4281729855436</v>
      </c>
      <c r="AC139" s="28">
        <f t="shared" si="27"/>
        <v>2047.817416362194</v>
      </c>
      <c r="AD139" s="28">
        <f t="shared" si="27"/>
        <v>2118.5695080975074</v>
      </c>
      <c r="AE139" s="28">
        <f t="shared" si="27"/>
        <v>2191.766084602277</v>
      </c>
      <c r="AF139" s="28">
        <f t="shared" si="27"/>
        <v>2267.491602825284</v>
      </c>
      <c r="AG139" s="28">
        <f t="shared" si="27"/>
        <v>2345.833437702898</v>
      </c>
    </row>
    <row r="140" spans="2:33" ht="12.75">
      <c r="B140" s="152" t="s">
        <v>186</v>
      </c>
      <c r="D140" s="28">
        <f aca="true" t="shared" si="28" ref="D140:AG140">uFuelCost*uHeatRate*(uFirstYearAnnualOutput/1000)*(1+uInflationRate+uFuelCostEsc)^C129</f>
        <v>113880</v>
      </c>
      <c r="E140" s="28">
        <f t="shared" si="28"/>
        <v>120143.4</v>
      </c>
      <c r="F140" s="28">
        <f t="shared" si="28"/>
        <v>126751.287</v>
      </c>
      <c r="G140" s="28">
        <f t="shared" si="28"/>
        <v>133722.60778499997</v>
      </c>
      <c r="H140" s="28">
        <f t="shared" si="28"/>
        <v>141077.351213175</v>
      </c>
      <c r="I140" s="28">
        <f t="shared" si="28"/>
        <v>148836.6055298996</v>
      </c>
      <c r="J140" s="28">
        <f t="shared" si="28"/>
        <v>157022.61883404406</v>
      </c>
      <c r="K140" s="28">
        <f t="shared" si="28"/>
        <v>165658.86286991648</v>
      </c>
      <c r="L140" s="28">
        <f t="shared" si="28"/>
        <v>174770.10032776187</v>
      </c>
      <c r="M140" s="28">
        <f t="shared" si="28"/>
        <v>184382.4558457888</v>
      </c>
      <c r="N140" s="28">
        <f t="shared" si="28"/>
        <v>194523.49091730718</v>
      </c>
      <c r="O140" s="28">
        <f t="shared" si="28"/>
        <v>205222.28291775903</v>
      </c>
      <c r="P140" s="28">
        <f t="shared" si="28"/>
        <v>216509.50847823577</v>
      </c>
      <c r="Q140" s="28">
        <f t="shared" si="28"/>
        <v>228417.53144453873</v>
      </c>
      <c r="R140" s="28">
        <f t="shared" si="28"/>
        <v>240980.49567398836</v>
      </c>
      <c r="S140" s="28">
        <f t="shared" si="28"/>
        <v>254234.4229360577</v>
      </c>
      <c r="T140" s="28">
        <f t="shared" si="28"/>
        <v>268217.3161975409</v>
      </c>
      <c r="U140" s="28">
        <f t="shared" si="28"/>
        <v>282969.2685884056</v>
      </c>
      <c r="V140" s="28">
        <f t="shared" si="28"/>
        <v>298532.5783607679</v>
      </c>
      <c r="W140" s="28">
        <f t="shared" si="28"/>
        <v>314951.87017061014</v>
      </c>
      <c r="X140" s="28">
        <f t="shared" si="28"/>
        <v>332274.2230299937</v>
      </c>
      <c r="Y140" s="28">
        <f t="shared" si="28"/>
        <v>350549.30529664335</v>
      </c>
      <c r="Z140" s="28">
        <f t="shared" si="28"/>
        <v>369829.5170879587</v>
      </c>
      <c r="AA140" s="28">
        <f t="shared" si="28"/>
        <v>390170.1405277964</v>
      </c>
      <c r="AB140" s="28">
        <f t="shared" si="28"/>
        <v>411629.4982568252</v>
      </c>
      <c r="AC140" s="28">
        <f t="shared" si="28"/>
        <v>434269.12066095055</v>
      </c>
      <c r="AD140" s="28">
        <f t="shared" si="28"/>
        <v>458153.92229730287</v>
      </c>
      <c r="AE140" s="28">
        <f t="shared" si="28"/>
        <v>483352.38802365446</v>
      </c>
      <c r="AF140" s="28">
        <f t="shared" si="28"/>
        <v>509936.7693649554</v>
      </c>
      <c r="AG140" s="28">
        <f t="shared" si="28"/>
        <v>537983.291680028</v>
      </c>
    </row>
    <row r="141" spans="2:33" ht="12.75">
      <c r="B141" s="152" t="s">
        <v>4</v>
      </c>
      <c r="D141" s="28">
        <f aca="true" t="shared" si="29" ref="D141:AG141">uTotalInstalledCosts*uInsurance*(1+uInflationRate)^C129</f>
        <v>26356</v>
      </c>
      <c r="E141" s="150">
        <f t="shared" si="29"/>
        <v>27014.899999999998</v>
      </c>
      <c r="F141" s="150">
        <f t="shared" si="29"/>
        <v>27690.2725</v>
      </c>
      <c r="G141" s="150">
        <f t="shared" si="29"/>
        <v>28382.529312499995</v>
      </c>
      <c r="H141" s="150">
        <f t="shared" si="29"/>
        <v>29092.092545312495</v>
      </c>
      <c r="I141" s="150">
        <f t="shared" si="29"/>
        <v>29819.394858945303</v>
      </c>
      <c r="J141" s="150">
        <f t="shared" si="29"/>
        <v>30564.879730418932</v>
      </c>
      <c r="K141" s="150">
        <f t="shared" si="29"/>
        <v>31329.00172367941</v>
      </c>
      <c r="L141" s="150">
        <f t="shared" si="29"/>
        <v>32112.22676677139</v>
      </c>
      <c r="M141" s="150">
        <f t="shared" si="29"/>
        <v>32915.03243594067</v>
      </c>
      <c r="N141" s="150">
        <f t="shared" si="29"/>
        <v>33737.908246839186</v>
      </c>
      <c r="O141" s="150">
        <f t="shared" si="29"/>
        <v>34581.35595301016</v>
      </c>
      <c r="P141" s="150">
        <f t="shared" si="29"/>
        <v>35445.88985183542</v>
      </c>
      <c r="Q141" s="150">
        <f t="shared" si="29"/>
        <v>36332.0370981313</v>
      </c>
      <c r="R141" s="150">
        <f t="shared" si="29"/>
        <v>37240.33802558458</v>
      </c>
      <c r="S141" s="150">
        <f t="shared" si="29"/>
        <v>38171.3464762242</v>
      </c>
      <c r="T141" s="150">
        <f t="shared" si="29"/>
        <v>39125.6301381298</v>
      </c>
      <c r="U141" s="150">
        <f t="shared" si="29"/>
        <v>40103.770891583044</v>
      </c>
      <c r="V141" s="150">
        <f t="shared" si="29"/>
        <v>41106.36516387262</v>
      </c>
      <c r="W141" s="150">
        <f t="shared" si="29"/>
        <v>42134.024292969436</v>
      </c>
      <c r="X141" s="150">
        <f t="shared" si="29"/>
        <v>43187.37490029367</v>
      </c>
      <c r="Y141" s="150">
        <f t="shared" si="29"/>
        <v>44267.059272801</v>
      </c>
      <c r="Z141" s="150">
        <f t="shared" si="29"/>
        <v>45373.735754621026</v>
      </c>
      <c r="AA141" s="150">
        <f t="shared" si="29"/>
        <v>46508.079148486555</v>
      </c>
      <c r="AB141" s="150">
        <f t="shared" si="29"/>
        <v>47670.781127198716</v>
      </c>
      <c r="AC141" s="150">
        <f t="shared" si="29"/>
        <v>48862.550655378676</v>
      </c>
      <c r="AD141" s="150">
        <f t="shared" si="29"/>
        <v>50084.11442176314</v>
      </c>
      <c r="AE141" s="150">
        <f t="shared" si="29"/>
        <v>51336.21728230721</v>
      </c>
      <c r="AF141" s="150">
        <f t="shared" si="29"/>
        <v>52619.62271436489</v>
      </c>
      <c r="AG141" s="150">
        <f t="shared" si="29"/>
        <v>53935.11328222402</v>
      </c>
    </row>
    <row r="142" spans="2:33" ht="12.75">
      <c r="B142" s="152" t="s">
        <v>154</v>
      </c>
      <c r="D142" s="28">
        <f aca="true" t="shared" si="30" ref="D142:AG142">uTotalInstalledCosts*uPropertyTax*(1+uInflationRate)^C129</f>
        <v>39534</v>
      </c>
      <c r="E142" s="150">
        <f t="shared" si="30"/>
        <v>40522.35</v>
      </c>
      <c r="F142" s="150">
        <f t="shared" si="30"/>
        <v>41535.408749999995</v>
      </c>
      <c r="G142" s="150">
        <f t="shared" si="30"/>
        <v>42573.79396875</v>
      </c>
      <c r="H142" s="150">
        <f t="shared" si="30"/>
        <v>43638.13881796874</v>
      </c>
      <c r="I142" s="150">
        <f t="shared" si="30"/>
        <v>44729.09228841795</v>
      </c>
      <c r="J142" s="150">
        <f t="shared" si="30"/>
        <v>45847.3195956284</v>
      </c>
      <c r="K142" s="150">
        <f t="shared" si="30"/>
        <v>46993.50258551911</v>
      </c>
      <c r="L142" s="150">
        <f t="shared" si="30"/>
        <v>48168.340150157084</v>
      </c>
      <c r="M142" s="150">
        <f t="shared" si="30"/>
        <v>49372.548653911006</v>
      </c>
      <c r="N142" s="150">
        <f t="shared" si="30"/>
        <v>50606.86237025878</v>
      </c>
      <c r="O142" s="150">
        <f t="shared" si="30"/>
        <v>51872.03392951525</v>
      </c>
      <c r="P142" s="150">
        <f t="shared" si="30"/>
        <v>53168.83477775312</v>
      </c>
      <c r="Q142" s="150">
        <f t="shared" si="30"/>
        <v>54498.055647196954</v>
      </c>
      <c r="R142" s="150">
        <f t="shared" si="30"/>
        <v>55860.50703837687</v>
      </c>
      <c r="S142" s="150">
        <f t="shared" si="30"/>
        <v>57257.019714336304</v>
      </c>
      <c r="T142" s="150">
        <f t="shared" si="30"/>
        <v>58688.4452071947</v>
      </c>
      <c r="U142" s="150">
        <f t="shared" si="30"/>
        <v>60155.65633737456</v>
      </c>
      <c r="V142" s="150">
        <f t="shared" si="30"/>
        <v>61659.54774580893</v>
      </c>
      <c r="W142" s="150">
        <f t="shared" si="30"/>
        <v>63201.036439454154</v>
      </c>
      <c r="X142" s="150">
        <f t="shared" si="30"/>
        <v>64781.0623504405</v>
      </c>
      <c r="Y142" s="150">
        <f t="shared" si="30"/>
        <v>66400.5889092015</v>
      </c>
      <c r="Z142" s="150">
        <f t="shared" si="30"/>
        <v>68060.60363193153</v>
      </c>
      <c r="AA142" s="150">
        <f t="shared" si="30"/>
        <v>69762.11872272984</v>
      </c>
      <c r="AB142" s="150">
        <f t="shared" si="30"/>
        <v>71506.17169079807</v>
      </c>
      <c r="AC142" s="150">
        <f t="shared" si="30"/>
        <v>73293.825983068</v>
      </c>
      <c r="AD142" s="150">
        <f t="shared" si="30"/>
        <v>75126.1716326447</v>
      </c>
      <c r="AE142" s="150">
        <f t="shared" si="30"/>
        <v>77004.32592346083</v>
      </c>
      <c r="AF142" s="150">
        <f t="shared" si="30"/>
        <v>78929.43407154734</v>
      </c>
      <c r="AG142" s="150">
        <f t="shared" si="30"/>
        <v>80902.66992333603</v>
      </c>
    </row>
    <row r="143" spans="2:33" ht="12.75">
      <c r="B143" s="152" t="s">
        <v>155</v>
      </c>
      <c r="D143" s="150">
        <f>SUM(D137:D142)</f>
        <v>331646</v>
      </c>
      <c r="E143" s="150">
        <f aca="true" t="shared" si="31" ref="E143:AG143">SUM(E137:E142)</f>
        <v>344901.91579999996</v>
      </c>
      <c r="F143" s="150">
        <f t="shared" si="31"/>
        <v>358732.52053339</v>
      </c>
      <c r="G143" s="150">
        <f t="shared" si="31"/>
        <v>373164.53251978103</v>
      </c>
      <c r="H143" s="150">
        <f t="shared" si="31"/>
        <v>388225.98208285053</v>
      </c>
      <c r="I143" s="150">
        <f t="shared" si="31"/>
        <v>403946.27858952177</v>
      </c>
      <c r="J143" s="150">
        <f t="shared" si="31"/>
        <v>420356.281010151</v>
      </c>
      <c r="K143" s="150">
        <f t="shared" si="31"/>
        <v>437488.37218810205</v>
      </c>
      <c r="L143" s="150">
        <f t="shared" si="31"/>
        <v>455376.5370172947</v>
      </c>
      <c r="M143" s="150">
        <f t="shared" si="31"/>
        <v>474056.44473707397</v>
      </c>
      <c r="N143" s="150">
        <f t="shared" si="31"/>
        <v>493565.53556509624</v>
      </c>
      <c r="O143" s="150">
        <f t="shared" si="31"/>
        <v>513943.11190089525</v>
      </c>
      <c r="P143" s="150">
        <f t="shared" si="31"/>
        <v>535230.4343454207</v>
      </c>
      <c r="Q143" s="150">
        <f t="shared" si="31"/>
        <v>557470.8227951482</v>
      </c>
      <c r="R143" s="150">
        <f t="shared" si="31"/>
        <v>580709.7628834086</v>
      </c>
      <c r="S143" s="150">
        <f t="shared" si="31"/>
        <v>604995.018056389</v>
      </c>
      <c r="T143" s="150">
        <f t="shared" si="31"/>
        <v>630376.7475868854</v>
      </c>
      <c r="U143" s="150">
        <f t="shared" si="31"/>
        <v>656907.6308453546</v>
      </c>
      <c r="V143" s="150">
        <f t="shared" si="31"/>
        <v>684642.9981652</v>
      </c>
      <c r="W143" s="150">
        <f t="shared" si="31"/>
        <v>713640.968657549</v>
      </c>
      <c r="X143" s="150">
        <f t="shared" si="31"/>
        <v>743962.5953501178</v>
      </c>
      <c r="Y143" s="150">
        <f t="shared" si="31"/>
        <v>775672.0180451511</v>
      </c>
      <c r="Z143" s="150">
        <f t="shared" si="31"/>
        <v>808836.6243129394</v>
      </c>
      <c r="AA143" s="150">
        <f t="shared" si="31"/>
        <v>843527.2190600991</v>
      </c>
      <c r="AB143" s="150">
        <f t="shared" si="31"/>
        <v>879818.2031357489</v>
      </c>
      <c r="AC143" s="150">
        <f t="shared" si="31"/>
        <v>917787.7614639516</v>
      </c>
      <c r="AD143" s="150">
        <f t="shared" si="31"/>
        <v>957518.0612174311</v>
      </c>
      <c r="AE143" s="150">
        <f t="shared" si="31"/>
        <v>999095.4605756695</v>
      </c>
      <c r="AF143" s="150">
        <f t="shared" si="31"/>
        <v>1042610.728640123</v>
      </c>
      <c r="AG143" s="150">
        <f t="shared" si="31"/>
        <v>1088159.2771105645</v>
      </c>
    </row>
    <row r="144" spans="2:33" ht="12.75">
      <c r="B144" s="146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</row>
    <row r="145" spans="2:33" ht="12.75">
      <c r="B145" s="146" t="s">
        <v>144</v>
      </c>
      <c r="D145" s="150">
        <f>D134-D143</f>
        <v>727260.5016910941</v>
      </c>
      <c r="E145" s="150">
        <f aca="true" t="shared" si="32" ref="E145:AG145">E134-E143</f>
        <v>703415.5208741832</v>
      </c>
      <c r="F145" s="150">
        <f t="shared" si="32"/>
        <v>679101.7417740512</v>
      </c>
      <c r="G145" s="150">
        <f t="shared" si="32"/>
        <v>654291.3871645856</v>
      </c>
      <c r="H145" s="150">
        <f t="shared" si="32"/>
        <v>628955.3784046726</v>
      </c>
      <c r="I145" s="150">
        <f t="shared" si="32"/>
        <v>603063.2682931261</v>
      </c>
      <c r="J145" s="150">
        <f t="shared" si="32"/>
        <v>576583.1704036704</v>
      </c>
      <c r="K145" s="150">
        <f t="shared" si="32"/>
        <v>549481.6847115811</v>
      </c>
      <c r="L145" s="150">
        <f t="shared" si="32"/>
        <v>521723.8193133916</v>
      </c>
      <c r="M145" s="150">
        <f t="shared" si="32"/>
        <v>493272.9080303054</v>
      </c>
      <c r="N145" s="150">
        <f t="shared" si="32"/>
        <v>464090.5236746093</v>
      </c>
      <c r="O145" s="150">
        <f t="shared" si="32"/>
        <v>434136.3867464133</v>
      </c>
      <c r="P145" s="150">
        <f t="shared" si="32"/>
        <v>403368.26931541483</v>
      </c>
      <c r="Q145" s="150">
        <f t="shared" si="32"/>
        <v>371741.89382907876</v>
      </c>
      <c r="R145" s="150">
        <f t="shared" si="32"/>
        <v>339210.8265745762</v>
      </c>
      <c r="S145" s="150">
        <f t="shared" si="32"/>
        <v>305726.36550701596</v>
      </c>
      <c r="T145" s="150">
        <f t="shared" si="32"/>
        <v>271237.4221408855</v>
      </c>
      <c r="U145" s="150">
        <f t="shared" si="32"/>
        <v>235690.39718513854</v>
      </c>
      <c r="V145" s="150">
        <f t="shared" si="32"/>
        <v>199029.04958498816</v>
      </c>
      <c r="W145" s="150">
        <f t="shared" si="32"/>
        <v>161194.3586151373</v>
      </c>
      <c r="X145" s="150">
        <f t="shared" si="32"/>
        <v>122124.37864984164</v>
      </c>
      <c r="Y145" s="150">
        <f t="shared" si="32"/>
        <v>81754.08621480875</v>
      </c>
      <c r="Z145" s="150">
        <f t="shared" si="32"/>
        <v>40015.21890442085</v>
      </c>
      <c r="AA145" s="150">
        <f t="shared" si="32"/>
        <v>-3163.8942749124253</v>
      </c>
      <c r="AB145" s="150">
        <f t="shared" si="32"/>
        <v>-47858.51159841416</v>
      </c>
      <c r="AC145" s="150">
        <f t="shared" si="32"/>
        <v>-94147.6668419902</v>
      </c>
      <c r="AD145" s="150">
        <f t="shared" si="32"/>
        <v>-142114.3675416893</v>
      </c>
      <c r="AE145" s="150">
        <f t="shared" si="32"/>
        <v>-191845.80383668514</v>
      </c>
      <c r="AF145" s="150">
        <f t="shared" si="32"/>
        <v>-243433.56846852857</v>
      </c>
      <c r="AG145" s="150">
        <f t="shared" si="32"/>
        <v>-296973.8885406861</v>
      </c>
    </row>
    <row r="146" spans="2:33" ht="12.75">
      <c r="B146" s="146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</row>
    <row r="147" spans="2:33" ht="12.75">
      <c r="B147" s="146" t="s">
        <v>175</v>
      </c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</row>
    <row r="148" spans="2:33" ht="12.75">
      <c r="B148" s="152" t="s">
        <v>156</v>
      </c>
      <c r="C148" s="150">
        <f>uLoanAmount</f>
        <v>658900</v>
      </c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</row>
    <row r="149" spans="2:33" ht="12.75">
      <c r="B149" s="152" t="s">
        <v>157</v>
      </c>
      <c r="C149" s="150">
        <f>uFirstCost</f>
        <v>658900</v>
      </c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</row>
    <row r="150" spans="2:33" ht="12.75">
      <c r="B150" s="152" t="s">
        <v>158</v>
      </c>
      <c r="C150" s="150">
        <f>+C148+C149</f>
        <v>1317800</v>
      </c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</row>
    <row r="151" spans="2:33" ht="12.75">
      <c r="B151" s="146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</row>
    <row r="152" spans="2:33" ht="12.75">
      <c r="B152" s="146" t="s">
        <v>159</v>
      </c>
      <c r="C152" s="150"/>
      <c r="D152" s="150">
        <f>D145</f>
        <v>727260.5016910941</v>
      </c>
      <c r="E152" s="150">
        <f aca="true" t="shared" si="33" ref="E152:AG152">E145</f>
        <v>703415.5208741832</v>
      </c>
      <c r="F152" s="150">
        <f t="shared" si="33"/>
        <v>679101.7417740512</v>
      </c>
      <c r="G152" s="150">
        <f t="shared" si="33"/>
        <v>654291.3871645856</v>
      </c>
      <c r="H152" s="150">
        <f t="shared" si="33"/>
        <v>628955.3784046726</v>
      </c>
      <c r="I152" s="150">
        <f t="shared" si="33"/>
        <v>603063.2682931261</v>
      </c>
      <c r="J152" s="150">
        <f t="shared" si="33"/>
        <v>576583.1704036704</v>
      </c>
      <c r="K152" s="150">
        <f t="shared" si="33"/>
        <v>549481.6847115811</v>
      </c>
      <c r="L152" s="150">
        <f t="shared" si="33"/>
        <v>521723.8193133916</v>
      </c>
      <c r="M152" s="150">
        <f t="shared" si="33"/>
        <v>493272.9080303054</v>
      </c>
      <c r="N152" s="150">
        <f t="shared" si="33"/>
        <v>464090.5236746093</v>
      </c>
      <c r="O152" s="150">
        <f t="shared" si="33"/>
        <v>434136.3867464133</v>
      </c>
      <c r="P152" s="150">
        <f t="shared" si="33"/>
        <v>403368.26931541483</v>
      </c>
      <c r="Q152" s="150">
        <f t="shared" si="33"/>
        <v>371741.89382907876</v>
      </c>
      <c r="R152" s="150">
        <f t="shared" si="33"/>
        <v>339210.8265745762</v>
      </c>
      <c r="S152" s="150">
        <f t="shared" si="33"/>
        <v>305726.36550701596</v>
      </c>
      <c r="T152" s="150">
        <f t="shared" si="33"/>
        <v>271237.4221408855</v>
      </c>
      <c r="U152" s="150">
        <f t="shared" si="33"/>
        <v>235690.39718513854</v>
      </c>
      <c r="V152" s="150">
        <f t="shared" si="33"/>
        <v>199029.04958498816</v>
      </c>
      <c r="W152" s="150">
        <f t="shared" si="33"/>
        <v>161194.3586151373</v>
      </c>
      <c r="X152" s="150">
        <f t="shared" si="33"/>
        <v>122124.37864984164</v>
      </c>
      <c r="Y152" s="150">
        <f t="shared" si="33"/>
        <v>81754.08621480875</v>
      </c>
      <c r="Z152" s="150">
        <f t="shared" si="33"/>
        <v>40015.21890442085</v>
      </c>
      <c r="AA152" s="150">
        <f t="shared" si="33"/>
        <v>-3163.8942749124253</v>
      </c>
      <c r="AB152" s="150">
        <f t="shared" si="33"/>
        <v>-47858.51159841416</v>
      </c>
      <c r="AC152" s="150">
        <f t="shared" si="33"/>
        <v>-94147.6668419902</v>
      </c>
      <c r="AD152" s="150">
        <f t="shared" si="33"/>
        <v>-142114.3675416893</v>
      </c>
      <c r="AE152" s="150">
        <f t="shared" si="33"/>
        <v>-191845.80383668514</v>
      </c>
      <c r="AF152" s="150">
        <f t="shared" si="33"/>
        <v>-243433.56846852857</v>
      </c>
      <c r="AG152" s="150">
        <f t="shared" si="33"/>
        <v>-296973.8885406861</v>
      </c>
    </row>
    <row r="153" spans="2:33" ht="12.75">
      <c r="B153" s="146" t="s">
        <v>160</v>
      </c>
      <c r="C153" s="150"/>
      <c r="D153" s="150">
        <f aca="true" t="shared" si="34" ref="D153:AG153">IF(D129&gt;uLoanTerm,0,-IPMT(uLoanRate,D129,uLoanTerm,uLoanAmount,0,0))</f>
        <v>39534</v>
      </c>
      <c r="E153" s="150">
        <f t="shared" si="34"/>
        <v>37835.51008979067</v>
      </c>
      <c r="F153" s="150">
        <f t="shared" si="34"/>
        <v>36035.110784968776</v>
      </c>
      <c r="G153" s="150">
        <f t="shared" si="34"/>
        <v>34126.687521857566</v>
      </c>
      <c r="H153" s="150">
        <f t="shared" si="34"/>
        <v>32103.75886295969</v>
      </c>
      <c r="I153" s="150">
        <f t="shared" si="34"/>
        <v>29959.454484527938</v>
      </c>
      <c r="J153" s="150">
        <f t="shared" si="34"/>
        <v>27686.491843390286</v>
      </c>
      <c r="K153" s="150">
        <f t="shared" si="34"/>
        <v>25277.151443784365</v>
      </c>
      <c r="L153" s="150">
        <f t="shared" si="34"/>
        <v>22723.250620202092</v>
      </c>
      <c r="M153" s="150">
        <f t="shared" si="34"/>
        <v>20016.115747204894</v>
      </c>
      <c r="N153" s="150">
        <f t="shared" si="34"/>
        <v>17146.552781827864</v>
      </c>
      <c r="O153" s="150">
        <f t="shared" si="34"/>
        <v>14104.81603852819</v>
      </c>
      <c r="P153" s="150">
        <f t="shared" si="34"/>
        <v>10880.575090630562</v>
      </c>
      <c r="Q153" s="150">
        <f t="shared" si="34"/>
        <v>7462.879685859047</v>
      </c>
      <c r="R153" s="150">
        <f t="shared" si="34"/>
        <v>3840.1225568012705</v>
      </c>
      <c r="S153" s="150">
        <f t="shared" si="34"/>
        <v>0</v>
      </c>
      <c r="T153" s="150">
        <f t="shared" si="34"/>
        <v>0</v>
      </c>
      <c r="U153" s="150">
        <f t="shared" si="34"/>
        <v>0</v>
      </c>
      <c r="V153" s="150">
        <f t="shared" si="34"/>
        <v>0</v>
      </c>
      <c r="W153" s="150">
        <f t="shared" si="34"/>
        <v>0</v>
      </c>
      <c r="X153" s="150">
        <f t="shared" si="34"/>
        <v>0</v>
      </c>
      <c r="Y153" s="150">
        <f t="shared" si="34"/>
        <v>0</v>
      </c>
      <c r="Z153" s="150">
        <f t="shared" si="34"/>
        <v>0</v>
      </c>
      <c r="AA153" s="150">
        <f t="shared" si="34"/>
        <v>0</v>
      </c>
      <c r="AB153" s="150">
        <f t="shared" si="34"/>
        <v>0</v>
      </c>
      <c r="AC153" s="150">
        <f t="shared" si="34"/>
        <v>0</v>
      </c>
      <c r="AD153" s="150">
        <f t="shared" si="34"/>
        <v>0</v>
      </c>
      <c r="AE153" s="150">
        <f t="shared" si="34"/>
        <v>0</v>
      </c>
      <c r="AF153" s="150">
        <f t="shared" si="34"/>
        <v>0</v>
      </c>
      <c r="AG153" s="150">
        <f t="shared" si="34"/>
        <v>0</v>
      </c>
    </row>
    <row r="154" spans="2:33" ht="12.75">
      <c r="B154" s="146" t="s">
        <v>161</v>
      </c>
      <c r="C154" s="150"/>
      <c r="D154" s="150">
        <f aca="true" t="shared" si="35" ref="D154:AG154">IF(D129&gt;uLoanTerm,0,-PPMT(uLoanRate,D129,uLoanTerm,uLoanAmount,0,0))</f>
        <v>28308.165170155495</v>
      </c>
      <c r="E154" s="150">
        <f t="shared" si="35"/>
        <v>30006.655080364828</v>
      </c>
      <c r="F154" s="150">
        <f t="shared" si="35"/>
        <v>31807.05438518672</v>
      </c>
      <c r="G154" s="150">
        <f t="shared" si="35"/>
        <v>33715.47764829793</v>
      </c>
      <c r="H154" s="150">
        <f t="shared" si="35"/>
        <v>35738.40630719581</v>
      </c>
      <c r="I154" s="150">
        <f t="shared" si="35"/>
        <v>37882.71068562756</v>
      </c>
      <c r="J154" s="150">
        <f t="shared" si="35"/>
        <v>40155.67332676521</v>
      </c>
      <c r="K154" s="150">
        <f t="shared" si="35"/>
        <v>42565.01372637113</v>
      </c>
      <c r="L154" s="150">
        <f t="shared" si="35"/>
        <v>45118.914549953406</v>
      </c>
      <c r="M154" s="150">
        <f t="shared" si="35"/>
        <v>47826.0494229506</v>
      </c>
      <c r="N154" s="150">
        <f t="shared" si="35"/>
        <v>50695.61238832763</v>
      </c>
      <c r="O154" s="150">
        <f t="shared" si="35"/>
        <v>53737.34913162731</v>
      </c>
      <c r="P154" s="150">
        <f t="shared" si="35"/>
        <v>56961.59007952493</v>
      </c>
      <c r="Q154" s="150">
        <f t="shared" si="35"/>
        <v>60379.285484296444</v>
      </c>
      <c r="R154" s="150">
        <f t="shared" si="35"/>
        <v>64002.04261335422</v>
      </c>
      <c r="S154" s="150">
        <f t="shared" si="35"/>
        <v>0</v>
      </c>
      <c r="T154" s="150">
        <f t="shared" si="35"/>
        <v>0</v>
      </c>
      <c r="U154" s="150">
        <f t="shared" si="35"/>
        <v>0</v>
      </c>
      <c r="V154" s="150">
        <f t="shared" si="35"/>
        <v>0</v>
      </c>
      <c r="W154" s="150">
        <f t="shared" si="35"/>
        <v>0</v>
      </c>
      <c r="X154" s="150">
        <f t="shared" si="35"/>
        <v>0</v>
      </c>
      <c r="Y154" s="150">
        <f t="shared" si="35"/>
        <v>0</v>
      </c>
      <c r="Z154" s="150">
        <f t="shared" si="35"/>
        <v>0</v>
      </c>
      <c r="AA154" s="150">
        <f t="shared" si="35"/>
        <v>0</v>
      </c>
      <c r="AB154" s="150">
        <f t="shared" si="35"/>
        <v>0</v>
      </c>
      <c r="AC154" s="150">
        <f t="shared" si="35"/>
        <v>0</v>
      </c>
      <c r="AD154" s="150">
        <f t="shared" si="35"/>
        <v>0</v>
      </c>
      <c r="AE154" s="150">
        <f t="shared" si="35"/>
        <v>0</v>
      </c>
      <c r="AF154" s="150">
        <f t="shared" si="35"/>
        <v>0</v>
      </c>
      <c r="AG154" s="150">
        <f t="shared" si="35"/>
        <v>0</v>
      </c>
    </row>
    <row r="155" spans="2:33" ht="12.75">
      <c r="B155" s="146" t="s">
        <v>162</v>
      </c>
      <c r="C155" s="150"/>
      <c r="D155" s="150">
        <f>+D153+D154</f>
        <v>67842.1651701555</v>
      </c>
      <c r="E155" s="150">
        <f aca="true" t="shared" si="36" ref="E155:AG155">+E153+E154</f>
        <v>67842.1651701555</v>
      </c>
      <c r="F155" s="150">
        <f t="shared" si="36"/>
        <v>67842.1651701555</v>
      </c>
      <c r="G155" s="150">
        <f t="shared" si="36"/>
        <v>67842.1651701555</v>
      </c>
      <c r="H155" s="150">
        <f t="shared" si="36"/>
        <v>67842.1651701555</v>
      </c>
      <c r="I155" s="150">
        <f t="shared" si="36"/>
        <v>67842.1651701555</v>
      </c>
      <c r="J155" s="150">
        <f t="shared" si="36"/>
        <v>67842.1651701555</v>
      </c>
      <c r="K155" s="150">
        <f t="shared" si="36"/>
        <v>67842.1651701555</v>
      </c>
      <c r="L155" s="150">
        <f t="shared" si="36"/>
        <v>67842.1651701555</v>
      </c>
      <c r="M155" s="150">
        <f t="shared" si="36"/>
        <v>67842.1651701555</v>
      </c>
      <c r="N155" s="150">
        <f t="shared" si="36"/>
        <v>67842.1651701555</v>
      </c>
      <c r="O155" s="150">
        <f t="shared" si="36"/>
        <v>67842.1651701555</v>
      </c>
      <c r="P155" s="150">
        <f t="shared" si="36"/>
        <v>67842.1651701555</v>
      </c>
      <c r="Q155" s="150">
        <f t="shared" si="36"/>
        <v>67842.1651701555</v>
      </c>
      <c r="R155" s="150">
        <f t="shared" si="36"/>
        <v>67842.1651701555</v>
      </c>
      <c r="S155" s="150">
        <f t="shared" si="36"/>
        <v>0</v>
      </c>
      <c r="T155" s="150">
        <f t="shared" si="36"/>
        <v>0</v>
      </c>
      <c r="U155" s="150">
        <f t="shared" si="36"/>
        <v>0</v>
      </c>
      <c r="V155" s="150">
        <f t="shared" si="36"/>
        <v>0</v>
      </c>
      <c r="W155" s="150">
        <f t="shared" si="36"/>
        <v>0</v>
      </c>
      <c r="X155" s="150">
        <f t="shared" si="36"/>
        <v>0</v>
      </c>
      <c r="Y155" s="150">
        <f t="shared" si="36"/>
        <v>0</v>
      </c>
      <c r="Z155" s="150">
        <f t="shared" si="36"/>
        <v>0</v>
      </c>
      <c r="AA155" s="150">
        <f t="shared" si="36"/>
        <v>0</v>
      </c>
      <c r="AB155" s="150">
        <f t="shared" si="36"/>
        <v>0</v>
      </c>
      <c r="AC155" s="150">
        <f t="shared" si="36"/>
        <v>0</v>
      </c>
      <c r="AD155" s="150">
        <f t="shared" si="36"/>
        <v>0</v>
      </c>
      <c r="AE155" s="150">
        <f t="shared" si="36"/>
        <v>0</v>
      </c>
      <c r="AF155" s="150">
        <f t="shared" si="36"/>
        <v>0</v>
      </c>
      <c r="AG155" s="150">
        <f t="shared" si="36"/>
        <v>0</v>
      </c>
    </row>
    <row r="156" spans="2:33" ht="12.75">
      <c r="B156" s="146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</row>
    <row r="157" spans="2:33" ht="12.75">
      <c r="B157" s="146" t="s">
        <v>140</v>
      </c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</row>
    <row r="158" spans="2:33" ht="12.75">
      <c r="B158" s="152" t="s">
        <v>144</v>
      </c>
      <c r="C158" s="150"/>
      <c r="D158" s="150">
        <f>D145</f>
        <v>727260.5016910941</v>
      </c>
      <c r="E158" s="150">
        <f aca="true" t="shared" si="37" ref="E158:AG158">E145</f>
        <v>703415.5208741832</v>
      </c>
      <c r="F158" s="150">
        <f t="shared" si="37"/>
        <v>679101.7417740512</v>
      </c>
      <c r="G158" s="150">
        <f t="shared" si="37"/>
        <v>654291.3871645856</v>
      </c>
      <c r="H158" s="150">
        <f t="shared" si="37"/>
        <v>628955.3784046726</v>
      </c>
      <c r="I158" s="150">
        <f t="shared" si="37"/>
        <v>603063.2682931261</v>
      </c>
      <c r="J158" s="150">
        <f t="shared" si="37"/>
        <v>576583.1704036704</v>
      </c>
      <c r="K158" s="150">
        <f t="shared" si="37"/>
        <v>549481.6847115811</v>
      </c>
      <c r="L158" s="150">
        <f t="shared" si="37"/>
        <v>521723.8193133916</v>
      </c>
      <c r="M158" s="150">
        <f t="shared" si="37"/>
        <v>493272.9080303054</v>
      </c>
      <c r="N158" s="150">
        <f t="shared" si="37"/>
        <v>464090.5236746093</v>
      </c>
      <c r="O158" s="150">
        <f t="shared" si="37"/>
        <v>434136.3867464133</v>
      </c>
      <c r="P158" s="150">
        <f t="shared" si="37"/>
        <v>403368.26931541483</v>
      </c>
      <c r="Q158" s="150">
        <f t="shared" si="37"/>
        <v>371741.89382907876</v>
      </c>
      <c r="R158" s="150">
        <f t="shared" si="37"/>
        <v>339210.8265745762</v>
      </c>
      <c r="S158" s="150">
        <f t="shared" si="37"/>
        <v>305726.36550701596</v>
      </c>
      <c r="T158" s="150">
        <f t="shared" si="37"/>
        <v>271237.4221408855</v>
      </c>
      <c r="U158" s="150">
        <f t="shared" si="37"/>
        <v>235690.39718513854</v>
      </c>
      <c r="V158" s="150">
        <f t="shared" si="37"/>
        <v>199029.04958498816</v>
      </c>
      <c r="W158" s="150">
        <f t="shared" si="37"/>
        <v>161194.3586151373</v>
      </c>
      <c r="X158" s="150">
        <f t="shared" si="37"/>
        <v>122124.37864984164</v>
      </c>
      <c r="Y158" s="150">
        <f t="shared" si="37"/>
        <v>81754.08621480875</v>
      </c>
      <c r="Z158" s="150">
        <f t="shared" si="37"/>
        <v>40015.21890442085</v>
      </c>
      <c r="AA158" s="150">
        <f t="shared" si="37"/>
        <v>-3163.8942749124253</v>
      </c>
      <c r="AB158" s="150">
        <f t="shared" si="37"/>
        <v>-47858.51159841416</v>
      </c>
      <c r="AC158" s="150">
        <f t="shared" si="37"/>
        <v>-94147.6668419902</v>
      </c>
      <c r="AD158" s="150">
        <f t="shared" si="37"/>
        <v>-142114.3675416893</v>
      </c>
      <c r="AE158" s="150">
        <f t="shared" si="37"/>
        <v>-191845.80383668514</v>
      </c>
      <c r="AF158" s="150">
        <f t="shared" si="37"/>
        <v>-243433.56846852857</v>
      </c>
      <c r="AG158" s="150">
        <f t="shared" si="37"/>
        <v>-296973.8885406861</v>
      </c>
    </row>
    <row r="159" spans="2:33" ht="12.75">
      <c r="B159" s="153" t="s">
        <v>163</v>
      </c>
      <c r="D159" s="150">
        <f>+uFedFixed+uStateFixed+uUtilityFixed+uOtherFixed</f>
        <v>0</v>
      </c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</row>
    <row r="160" spans="2:33" ht="12.75">
      <c r="B160" s="155" t="s">
        <v>164</v>
      </c>
      <c r="D160" s="150">
        <f>uFedFixed</f>
        <v>0</v>
      </c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</row>
    <row r="161" spans="2:33" ht="12.75">
      <c r="B161" s="155" t="s">
        <v>165</v>
      </c>
      <c r="D161" s="150">
        <f>uStateFixed</f>
        <v>0</v>
      </c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</row>
    <row r="162" spans="2:33" ht="12.75">
      <c r="B162" s="155" t="s">
        <v>166</v>
      </c>
      <c r="D162" s="150">
        <f>uUtilityFixed</f>
        <v>0</v>
      </c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</row>
    <row r="163" spans="2:33" ht="12.75">
      <c r="B163" s="155" t="s">
        <v>167</v>
      </c>
      <c r="D163" s="150">
        <f>uOtherFixed</f>
        <v>0</v>
      </c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</row>
    <row r="164" spans="2:33" ht="12.75">
      <c r="B164" s="153" t="s">
        <v>168</v>
      </c>
      <c r="D164" s="150">
        <f>+uFedBuyDown+uStateBuyDown+uUtilityBuyDown+uOtherBuyDown</f>
        <v>0</v>
      </c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</row>
    <row r="165" spans="2:33" ht="12.75">
      <c r="B165" s="155" t="s">
        <v>110</v>
      </c>
      <c r="D165" s="150">
        <f>uFedBuyDown</f>
        <v>0</v>
      </c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</row>
    <row r="166" spans="2:33" ht="12.75">
      <c r="B166" s="155" t="s">
        <v>111</v>
      </c>
      <c r="D166" s="150">
        <f>uStateBuyDown</f>
        <v>0</v>
      </c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</row>
    <row r="167" spans="2:33" ht="12.75">
      <c r="B167" s="155" t="s">
        <v>112</v>
      </c>
      <c r="D167" s="150">
        <f>uUtilityBuyDown</f>
        <v>0</v>
      </c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</row>
    <row r="168" spans="2:33" ht="12.75">
      <c r="B168" s="155" t="s">
        <v>113</v>
      </c>
      <c r="D168" s="150">
        <f>uOtherBuyDown</f>
        <v>0</v>
      </c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</row>
    <row r="169" spans="1:33" ht="12.75">
      <c r="A169" s="151"/>
      <c r="B169" s="153" t="s">
        <v>169</v>
      </c>
      <c r="C169" s="150"/>
      <c r="D169" s="150">
        <f aca="true" t="shared" si="38" ref="D169:AG169">D114+D119+D122+D125</f>
        <v>0</v>
      </c>
      <c r="E169" s="150">
        <f t="shared" si="38"/>
        <v>0</v>
      </c>
      <c r="F169" s="150">
        <f t="shared" si="38"/>
        <v>0</v>
      </c>
      <c r="G169" s="150">
        <f t="shared" si="38"/>
        <v>0</v>
      </c>
      <c r="H169" s="150">
        <f t="shared" si="38"/>
        <v>0</v>
      </c>
      <c r="I169" s="150">
        <f t="shared" si="38"/>
        <v>0</v>
      </c>
      <c r="J169" s="150">
        <f t="shared" si="38"/>
        <v>0</v>
      </c>
      <c r="K169" s="150">
        <f t="shared" si="38"/>
        <v>0</v>
      </c>
      <c r="L169" s="150">
        <f t="shared" si="38"/>
        <v>0</v>
      </c>
      <c r="M169" s="150">
        <f t="shared" si="38"/>
        <v>0</v>
      </c>
      <c r="N169" s="150">
        <f t="shared" si="38"/>
        <v>0</v>
      </c>
      <c r="O169" s="150">
        <f t="shared" si="38"/>
        <v>0</v>
      </c>
      <c r="P169" s="150">
        <f t="shared" si="38"/>
        <v>0</v>
      </c>
      <c r="Q169" s="150">
        <f t="shared" si="38"/>
        <v>0</v>
      </c>
      <c r="R169" s="150">
        <f t="shared" si="38"/>
        <v>0</v>
      </c>
      <c r="S169" s="150">
        <f t="shared" si="38"/>
        <v>0</v>
      </c>
      <c r="T169" s="150">
        <f t="shared" si="38"/>
        <v>0</v>
      </c>
      <c r="U169" s="150">
        <f t="shared" si="38"/>
        <v>0</v>
      </c>
      <c r="V169" s="150">
        <f t="shared" si="38"/>
        <v>0</v>
      </c>
      <c r="W169" s="150">
        <f t="shared" si="38"/>
        <v>0</v>
      </c>
      <c r="X169" s="150">
        <f t="shared" si="38"/>
        <v>0</v>
      </c>
      <c r="Y169" s="150">
        <f t="shared" si="38"/>
        <v>0</v>
      </c>
      <c r="Z169" s="150">
        <f t="shared" si="38"/>
        <v>0</v>
      </c>
      <c r="AA169" s="150">
        <f t="shared" si="38"/>
        <v>0</v>
      </c>
      <c r="AB169" s="150">
        <f t="shared" si="38"/>
        <v>0</v>
      </c>
      <c r="AC169" s="150">
        <f t="shared" si="38"/>
        <v>0</v>
      </c>
      <c r="AD169" s="150">
        <f t="shared" si="38"/>
        <v>0</v>
      </c>
      <c r="AE169" s="150">
        <f t="shared" si="38"/>
        <v>0</v>
      </c>
      <c r="AF169" s="150">
        <f t="shared" si="38"/>
        <v>0</v>
      </c>
      <c r="AG169" s="150">
        <f t="shared" si="38"/>
        <v>0</v>
      </c>
    </row>
    <row r="170" spans="1:33" ht="12.75">
      <c r="A170" s="151"/>
      <c r="B170" s="155" t="s">
        <v>170</v>
      </c>
      <c r="C170" s="150"/>
      <c r="D170" s="150">
        <f>D114</f>
        <v>0</v>
      </c>
      <c r="E170" s="150">
        <f aca="true" t="shared" si="39" ref="E170:AG170">E114</f>
        <v>0</v>
      </c>
      <c r="F170" s="150">
        <f t="shared" si="39"/>
        <v>0</v>
      </c>
      <c r="G170" s="150">
        <f t="shared" si="39"/>
        <v>0</v>
      </c>
      <c r="H170" s="150">
        <f t="shared" si="39"/>
        <v>0</v>
      </c>
      <c r="I170" s="150">
        <f t="shared" si="39"/>
        <v>0</v>
      </c>
      <c r="J170" s="150">
        <f t="shared" si="39"/>
        <v>0</v>
      </c>
      <c r="K170" s="150">
        <f t="shared" si="39"/>
        <v>0</v>
      </c>
      <c r="L170" s="150">
        <f t="shared" si="39"/>
        <v>0</v>
      </c>
      <c r="M170" s="150">
        <f t="shared" si="39"/>
        <v>0</v>
      </c>
      <c r="N170" s="150">
        <f t="shared" si="39"/>
        <v>0</v>
      </c>
      <c r="O170" s="150">
        <f t="shared" si="39"/>
        <v>0</v>
      </c>
      <c r="P170" s="150">
        <f t="shared" si="39"/>
        <v>0</v>
      </c>
      <c r="Q170" s="150">
        <f t="shared" si="39"/>
        <v>0</v>
      </c>
      <c r="R170" s="150">
        <f t="shared" si="39"/>
        <v>0</v>
      </c>
      <c r="S170" s="150">
        <f t="shared" si="39"/>
        <v>0</v>
      </c>
      <c r="T170" s="150">
        <f t="shared" si="39"/>
        <v>0</v>
      </c>
      <c r="U170" s="150">
        <f t="shared" si="39"/>
        <v>0</v>
      </c>
      <c r="V170" s="150">
        <f t="shared" si="39"/>
        <v>0</v>
      </c>
      <c r="W170" s="150">
        <f t="shared" si="39"/>
        <v>0</v>
      </c>
      <c r="X170" s="150">
        <f t="shared" si="39"/>
        <v>0</v>
      </c>
      <c r="Y170" s="150">
        <f t="shared" si="39"/>
        <v>0</v>
      </c>
      <c r="Z170" s="150">
        <f t="shared" si="39"/>
        <v>0</v>
      </c>
      <c r="AA170" s="150">
        <f t="shared" si="39"/>
        <v>0</v>
      </c>
      <c r="AB170" s="150">
        <f t="shared" si="39"/>
        <v>0</v>
      </c>
      <c r="AC170" s="150">
        <f t="shared" si="39"/>
        <v>0</v>
      </c>
      <c r="AD170" s="150">
        <f t="shared" si="39"/>
        <v>0</v>
      </c>
      <c r="AE170" s="150">
        <f t="shared" si="39"/>
        <v>0</v>
      </c>
      <c r="AF170" s="150">
        <f t="shared" si="39"/>
        <v>0</v>
      </c>
      <c r="AG170" s="150">
        <f t="shared" si="39"/>
        <v>0</v>
      </c>
    </row>
    <row r="171" spans="1:33" ht="12.75">
      <c r="A171" s="151"/>
      <c r="B171" s="155" t="s">
        <v>171</v>
      </c>
      <c r="C171" s="150"/>
      <c r="D171" s="150">
        <f>D119</f>
        <v>0</v>
      </c>
      <c r="E171" s="150">
        <f aca="true" t="shared" si="40" ref="E171:AG171">E119</f>
        <v>0</v>
      </c>
      <c r="F171" s="150">
        <f t="shared" si="40"/>
        <v>0</v>
      </c>
      <c r="G171" s="150">
        <f t="shared" si="40"/>
        <v>0</v>
      </c>
      <c r="H171" s="150">
        <f t="shared" si="40"/>
        <v>0</v>
      </c>
      <c r="I171" s="150">
        <f t="shared" si="40"/>
        <v>0</v>
      </c>
      <c r="J171" s="150">
        <f t="shared" si="40"/>
        <v>0</v>
      </c>
      <c r="K171" s="150">
        <f t="shared" si="40"/>
        <v>0</v>
      </c>
      <c r="L171" s="150">
        <f t="shared" si="40"/>
        <v>0</v>
      </c>
      <c r="M171" s="150">
        <f t="shared" si="40"/>
        <v>0</v>
      </c>
      <c r="N171" s="150">
        <f t="shared" si="40"/>
        <v>0</v>
      </c>
      <c r="O171" s="150">
        <f t="shared" si="40"/>
        <v>0</v>
      </c>
      <c r="P171" s="150">
        <f t="shared" si="40"/>
        <v>0</v>
      </c>
      <c r="Q171" s="150">
        <f t="shared" si="40"/>
        <v>0</v>
      </c>
      <c r="R171" s="150">
        <f t="shared" si="40"/>
        <v>0</v>
      </c>
      <c r="S171" s="150">
        <f t="shared" si="40"/>
        <v>0</v>
      </c>
      <c r="T171" s="150">
        <f t="shared" si="40"/>
        <v>0</v>
      </c>
      <c r="U171" s="150">
        <f t="shared" si="40"/>
        <v>0</v>
      </c>
      <c r="V171" s="150">
        <f t="shared" si="40"/>
        <v>0</v>
      </c>
      <c r="W171" s="150">
        <f t="shared" si="40"/>
        <v>0</v>
      </c>
      <c r="X171" s="150">
        <f t="shared" si="40"/>
        <v>0</v>
      </c>
      <c r="Y171" s="150">
        <f t="shared" si="40"/>
        <v>0</v>
      </c>
      <c r="Z171" s="150">
        <f t="shared" si="40"/>
        <v>0</v>
      </c>
      <c r="AA171" s="150">
        <f t="shared" si="40"/>
        <v>0</v>
      </c>
      <c r="AB171" s="150">
        <f t="shared" si="40"/>
        <v>0</v>
      </c>
      <c r="AC171" s="150">
        <f t="shared" si="40"/>
        <v>0</v>
      </c>
      <c r="AD171" s="150">
        <f t="shared" si="40"/>
        <v>0</v>
      </c>
      <c r="AE171" s="150">
        <f t="shared" si="40"/>
        <v>0</v>
      </c>
      <c r="AF171" s="150">
        <f t="shared" si="40"/>
        <v>0</v>
      </c>
      <c r="AG171" s="150">
        <f t="shared" si="40"/>
        <v>0</v>
      </c>
    </row>
    <row r="172" spans="1:33" ht="12.75">
      <c r="A172" s="151"/>
      <c r="B172" s="155" t="s">
        <v>172</v>
      </c>
      <c r="C172" s="150"/>
      <c r="D172" s="150">
        <f>D122</f>
        <v>0</v>
      </c>
      <c r="E172" s="150">
        <f aca="true" t="shared" si="41" ref="E172:AG172">E122</f>
        <v>0</v>
      </c>
      <c r="F172" s="150">
        <f t="shared" si="41"/>
        <v>0</v>
      </c>
      <c r="G172" s="150">
        <f t="shared" si="41"/>
        <v>0</v>
      </c>
      <c r="H172" s="150">
        <f t="shared" si="41"/>
        <v>0</v>
      </c>
      <c r="I172" s="150">
        <f t="shared" si="41"/>
        <v>0</v>
      </c>
      <c r="J172" s="150">
        <f t="shared" si="41"/>
        <v>0</v>
      </c>
      <c r="K172" s="150">
        <f t="shared" si="41"/>
        <v>0</v>
      </c>
      <c r="L172" s="150">
        <f t="shared" si="41"/>
        <v>0</v>
      </c>
      <c r="M172" s="150">
        <f t="shared" si="41"/>
        <v>0</v>
      </c>
      <c r="N172" s="150">
        <f t="shared" si="41"/>
        <v>0</v>
      </c>
      <c r="O172" s="150">
        <f t="shared" si="41"/>
        <v>0</v>
      </c>
      <c r="P172" s="150">
        <f t="shared" si="41"/>
        <v>0</v>
      </c>
      <c r="Q172" s="150">
        <f t="shared" si="41"/>
        <v>0</v>
      </c>
      <c r="R172" s="150">
        <f t="shared" si="41"/>
        <v>0</v>
      </c>
      <c r="S172" s="150">
        <f t="shared" si="41"/>
        <v>0</v>
      </c>
      <c r="T172" s="150">
        <f t="shared" si="41"/>
        <v>0</v>
      </c>
      <c r="U172" s="150">
        <f t="shared" si="41"/>
        <v>0</v>
      </c>
      <c r="V172" s="150">
        <f t="shared" si="41"/>
        <v>0</v>
      </c>
      <c r="W172" s="150">
        <f t="shared" si="41"/>
        <v>0</v>
      </c>
      <c r="X172" s="150">
        <f t="shared" si="41"/>
        <v>0</v>
      </c>
      <c r="Y172" s="150">
        <f t="shared" si="41"/>
        <v>0</v>
      </c>
      <c r="Z172" s="150">
        <f t="shared" si="41"/>
        <v>0</v>
      </c>
      <c r="AA172" s="150">
        <f t="shared" si="41"/>
        <v>0</v>
      </c>
      <c r="AB172" s="150">
        <f t="shared" si="41"/>
        <v>0</v>
      </c>
      <c r="AC172" s="150">
        <f t="shared" si="41"/>
        <v>0</v>
      </c>
      <c r="AD172" s="150">
        <f t="shared" si="41"/>
        <v>0</v>
      </c>
      <c r="AE172" s="150">
        <f t="shared" si="41"/>
        <v>0</v>
      </c>
      <c r="AF172" s="150">
        <f t="shared" si="41"/>
        <v>0</v>
      </c>
      <c r="AG172" s="150">
        <f t="shared" si="41"/>
        <v>0</v>
      </c>
    </row>
    <row r="173" spans="1:33" ht="12.75">
      <c r="A173" s="151"/>
      <c r="B173" s="155" t="s">
        <v>173</v>
      </c>
      <c r="C173" s="150"/>
      <c r="D173" s="150">
        <f>D125</f>
        <v>0</v>
      </c>
      <c r="E173" s="150">
        <f aca="true" t="shared" si="42" ref="E173:AG173">E125</f>
        <v>0</v>
      </c>
      <c r="F173" s="150">
        <f t="shared" si="42"/>
        <v>0</v>
      </c>
      <c r="G173" s="150">
        <f t="shared" si="42"/>
        <v>0</v>
      </c>
      <c r="H173" s="150">
        <f t="shared" si="42"/>
        <v>0</v>
      </c>
      <c r="I173" s="150">
        <f t="shared" si="42"/>
        <v>0</v>
      </c>
      <c r="J173" s="150">
        <f t="shared" si="42"/>
        <v>0</v>
      </c>
      <c r="K173" s="150">
        <f t="shared" si="42"/>
        <v>0</v>
      </c>
      <c r="L173" s="150">
        <f t="shared" si="42"/>
        <v>0</v>
      </c>
      <c r="M173" s="150">
        <f t="shared" si="42"/>
        <v>0</v>
      </c>
      <c r="N173" s="150">
        <f t="shared" si="42"/>
        <v>0</v>
      </c>
      <c r="O173" s="150">
        <f t="shared" si="42"/>
        <v>0</v>
      </c>
      <c r="P173" s="150">
        <f t="shared" si="42"/>
        <v>0</v>
      </c>
      <c r="Q173" s="150">
        <f t="shared" si="42"/>
        <v>0</v>
      </c>
      <c r="R173" s="150">
        <f t="shared" si="42"/>
        <v>0</v>
      </c>
      <c r="S173" s="150">
        <f t="shared" si="42"/>
        <v>0</v>
      </c>
      <c r="T173" s="150">
        <f t="shared" si="42"/>
        <v>0</v>
      </c>
      <c r="U173" s="150">
        <f t="shared" si="42"/>
        <v>0</v>
      </c>
      <c r="V173" s="150">
        <f t="shared" si="42"/>
        <v>0</v>
      </c>
      <c r="W173" s="150">
        <f t="shared" si="42"/>
        <v>0</v>
      </c>
      <c r="X173" s="150">
        <f t="shared" si="42"/>
        <v>0</v>
      </c>
      <c r="Y173" s="150">
        <f t="shared" si="42"/>
        <v>0</v>
      </c>
      <c r="Z173" s="150">
        <f t="shared" si="42"/>
        <v>0</v>
      </c>
      <c r="AA173" s="150">
        <f t="shared" si="42"/>
        <v>0</v>
      </c>
      <c r="AB173" s="150">
        <f t="shared" si="42"/>
        <v>0</v>
      </c>
      <c r="AC173" s="150">
        <f t="shared" si="42"/>
        <v>0</v>
      </c>
      <c r="AD173" s="150">
        <f t="shared" si="42"/>
        <v>0</v>
      </c>
      <c r="AE173" s="150">
        <f t="shared" si="42"/>
        <v>0</v>
      </c>
      <c r="AF173" s="150">
        <f t="shared" si="42"/>
        <v>0</v>
      </c>
      <c r="AG173" s="150">
        <f t="shared" si="42"/>
        <v>0</v>
      </c>
    </row>
    <row r="174" spans="2:33" ht="12.75">
      <c r="B174" s="152" t="s">
        <v>37</v>
      </c>
      <c r="C174" s="150"/>
      <c r="D174" s="150">
        <f>D110</f>
        <v>461229.99999999994</v>
      </c>
      <c r="E174" s="150">
        <f aca="true" t="shared" si="43" ref="E174:AG174">E110</f>
        <v>342628</v>
      </c>
      <c r="F174" s="150">
        <f t="shared" si="43"/>
        <v>205576.8</v>
      </c>
      <c r="G174" s="150">
        <f t="shared" si="43"/>
        <v>145089.78</v>
      </c>
      <c r="H174" s="150">
        <f t="shared" si="43"/>
        <v>145089.78</v>
      </c>
      <c r="I174" s="150">
        <f t="shared" si="43"/>
        <v>18185.64</v>
      </c>
      <c r="J174" s="150">
        <f t="shared" si="43"/>
        <v>0</v>
      </c>
      <c r="K174" s="150">
        <f t="shared" si="43"/>
        <v>0</v>
      </c>
      <c r="L174" s="150">
        <f t="shared" si="43"/>
        <v>0</v>
      </c>
      <c r="M174" s="150">
        <f t="shared" si="43"/>
        <v>0</v>
      </c>
      <c r="N174" s="150">
        <f t="shared" si="43"/>
        <v>0</v>
      </c>
      <c r="O174" s="150">
        <f t="shared" si="43"/>
        <v>0</v>
      </c>
      <c r="P174" s="150">
        <f t="shared" si="43"/>
        <v>0</v>
      </c>
      <c r="Q174" s="150">
        <f t="shared" si="43"/>
        <v>0</v>
      </c>
      <c r="R174" s="150">
        <f t="shared" si="43"/>
        <v>0</v>
      </c>
      <c r="S174" s="150">
        <f t="shared" si="43"/>
        <v>0</v>
      </c>
      <c r="T174" s="150">
        <f t="shared" si="43"/>
        <v>0</v>
      </c>
      <c r="U174" s="150">
        <f t="shared" si="43"/>
        <v>0</v>
      </c>
      <c r="V174" s="150">
        <f t="shared" si="43"/>
        <v>0</v>
      </c>
      <c r="W174" s="150">
        <f t="shared" si="43"/>
        <v>0</v>
      </c>
      <c r="X174" s="150">
        <f t="shared" si="43"/>
        <v>0</v>
      </c>
      <c r="Y174" s="150">
        <f t="shared" si="43"/>
        <v>0</v>
      </c>
      <c r="Z174" s="150">
        <f t="shared" si="43"/>
        <v>0</v>
      </c>
      <c r="AA174" s="150">
        <f t="shared" si="43"/>
        <v>0</v>
      </c>
      <c r="AB174" s="150">
        <f t="shared" si="43"/>
        <v>0</v>
      </c>
      <c r="AC174" s="150">
        <f t="shared" si="43"/>
        <v>0</v>
      </c>
      <c r="AD174" s="150">
        <f t="shared" si="43"/>
        <v>0</v>
      </c>
      <c r="AE174" s="150">
        <f t="shared" si="43"/>
        <v>0</v>
      </c>
      <c r="AF174" s="150">
        <f t="shared" si="43"/>
        <v>0</v>
      </c>
      <c r="AG174" s="150">
        <f t="shared" si="43"/>
        <v>0</v>
      </c>
    </row>
    <row r="175" spans="2:33" ht="12.75">
      <c r="B175" s="152" t="s">
        <v>25</v>
      </c>
      <c r="C175" s="150"/>
      <c r="D175" s="150">
        <f>D153</f>
        <v>39534</v>
      </c>
      <c r="E175" s="150">
        <f>E153</f>
        <v>37835.51008979067</v>
      </c>
      <c r="F175" s="150">
        <f aca="true" t="shared" si="44" ref="F175:AG175">F153</f>
        <v>36035.110784968776</v>
      </c>
      <c r="G175" s="150">
        <f t="shared" si="44"/>
        <v>34126.687521857566</v>
      </c>
      <c r="H175" s="150">
        <f t="shared" si="44"/>
        <v>32103.75886295969</v>
      </c>
      <c r="I175" s="150">
        <f t="shared" si="44"/>
        <v>29959.454484527938</v>
      </c>
      <c r="J175" s="150">
        <f t="shared" si="44"/>
        <v>27686.491843390286</v>
      </c>
      <c r="K175" s="150">
        <f t="shared" si="44"/>
        <v>25277.151443784365</v>
      </c>
      <c r="L175" s="150">
        <f t="shared" si="44"/>
        <v>22723.250620202092</v>
      </c>
      <c r="M175" s="150">
        <f t="shared" si="44"/>
        <v>20016.115747204894</v>
      </c>
      <c r="N175" s="150">
        <f t="shared" si="44"/>
        <v>17146.552781827864</v>
      </c>
      <c r="O175" s="150">
        <f t="shared" si="44"/>
        <v>14104.81603852819</v>
      </c>
      <c r="P175" s="150">
        <f t="shared" si="44"/>
        <v>10880.575090630562</v>
      </c>
      <c r="Q175" s="150">
        <f t="shared" si="44"/>
        <v>7462.879685859047</v>
      </c>
      <c r="R175" s="150">
        <f t="shared" si="44"/>
        <v>3840.1225568012705</v>
      </c>
      <c r="S175" s="150">
        <f t="shared" si="44"/>
        <v>0</v>
      </c>
      <c r="T175" s="150">
        <f t="shared" si="44"/>
        <v>0</v>
      </c>
      <c r="U175" s="150">
        <f t="shared" si="44"/>
        <v>0</v>
      </c>
      <c r="V175" s="150">
        <f t="shared" si="44"/>
        <v>0</v>
      </c>
      <c r="W175" s="150">
        <f t="shared" si="44"/>
        <v>0</v>
      </c>
      <c r="X175" s="150">
        <f t="shared" si="44"/>
        <v>0</v>
      </c>
      <c r="Y175" s="150">
        <f t="shared" si="44"/>
        <v>0</v>
      </c>
      <c r="Z175" s="150">
        <f t="shared" si="44"/>
        <v>0</v>
      </c>
      <c r="AA175" s="150">
        <f t="shared" si="44"/>
        <v>0</v>
      </c>
      <c r="AB175" s="150">
        <f t="shared" si="44"/>
        <v>0</v>
      </c>
      <c r="AC175" s="150">
        <f t="shared" si="44"/>
        <v>0</v>
      </c>
      <c r="AD175" s="150">
        <f t="shared" si="44"/>
        <v>0</v>
      </c>
      <c r="AE175" s="150">
        <f t="shared" si="44"/>
        <v>0</v>
      </c>
      <c r="AF175" s="150">
        <f t="shared" si="44"/>
        <v>0</v>
      </c>
      <c r="AG175" s="150">
        <f t="shared" si="44"/>
        <v>0</v>
      </c>
    </row>
    <row r="176" spans="2:33" ht="12.75">
      <c r="B176" s="153" t="s">
        <v>80</v>
      </c>
      <c r="D176" s="150">
        <f>+F24*uTotalCapitalCost*uSalesTax</f>
        <v>52800</v>
      </c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</row>
    <row r="177" spans="2:33" ht="12.75">
      <c r="B177" s="152" t="s">
        <v>143</v>
      </c>
      <c r="C177" s="150"/>
      <c r="D177" s="150">
        <f>+D158+D159+D164+D169-D174-D175-D176</f>
        <v>173696.5016910942</v>
      </c>
      <c r="E177" s="150">
        <f aca="true" t="shared" si="45" ref="E177:AG177">+E158+E169-E174-E175</f>
        <v>322952.0107843925</v>
      </c>
      <c r="F177" s="150">
        <f t="shared" si="45"/>
        <v>437489.83098908246</v>
      </c>
      <c r="G177" s="150">
        <f t="shared" si="45"/>
        <v>475074.91964272805</v>
      </c>
      <c r="H177" s="150">
        <f t="shared" si="45"/>
        <v>451761.8395417129</v>
      </c>
      <c r="I177" s="150">
        <f t="shared" si="45"/>
        <v>554918.1738085982</v>
      </c>
      <c r="J177" s="150">
        <f t="shared" si="45"/>
        <v>548896.6785602801</v>
      </c>
      <c r="K177" s="150">
        <f t="shared" si="45"/>
        <v>524204.53326779674</v>
      </c>
      <c r="L177" s="150">
        <f t="shared" si="45"/>
        <v>499000.5686931895</v>
      </c>
      <c r="M177" s="150">
        <f t="shared" si="45"/>
        <v>473256.79228310054</v>
      </c>
      <c r="N177" s="150">
        <f t="shared" si="45"/>
        <v>446943.97089278145</v>
      </c>
      <c r="O177" s="150">
        <f t="shared" si="45"/>
        <v>420031.57070788514</v>
      </c>
      <c r="P177" s="150">
        <f t="shared" si="45"/>
        <v>392487.69422478427</v>
      </c>
      <c r="Q177" s="150">
        <f t="shared" si="45"/>
        <v>364279.01414321974</v>
      </c>
      <c r="R177" s="150">
        <f t="shared" si="45"/>
        <v>335370.70401777496</v>
      </c>
      <c r="S177" s="150">
        <f t="shared" si="45"/>
        <v>305726.36550701596</v>
      </c>
      <c r="T177" s="150">
        <f t="shared" si="45"/>
        <v>271237.4221408855</v>
      </c>
      <c r="U177" s="150">
        <f t="shared" si="45"/>
        <v>235690.39718513854</v>
      </c>
      <c r="V177" s="150">
        <f t="shared" si="45"/>
        <v>199029.04958498816</v>
      </c>
      <c r="W177" s="150">
        <f t="shared" si="45"/>
        <v>161194.3586151373</v>
      </c>
      <c r="X177" s="150">
        <f t="shared" si="45"/>
        <v>122124.37864984164</v>
      </c>
      <c r="Y177" s="150">
        <f t="shared" si="45"/>
        <v>81754.08621480875</v>
      </c>
      <c r="Z177" s="150">
        <f t="shared" si="45"/>
        <v>40015.21890442085</v>
      </c>
      <c r="AA177" s="150">
        <f t="shared" si="45"/>
        <v>-3163.8942749124253</v>
      </c>
      <c r="AB177" s="150">
        <f t="shared" si="45"/>
        <v>-47858.51159841416</v>
      </c>
      <c r="AC177" s="150">
        <f t="shared" si="45"/>
        <v>-94147.6668419902</v>
      </c>
      <c r="AD177" s="150">
        <f t="shared" si="45"/>
        <v>-142114.3675416893</v>
      </c>
      <c r="AE177" s="150">
        <f t="shared" si="45"/>
        <v>-191845.80383668514</v>
      </c>
      <c r="AF177" s="150">
        <f t="shared" si="45"/>
        <v>-243433.56846852857</v>
      </c>
      <c r="AG177" s="150">
        <f t="shared" si="45"/>
        <v>-296973.8885406861</v>
      </c>
    </row>
    <row r="178" spans="2:33" ht="12.75">
      <c r="B178" s="152" t="s">
        <v>145</v>
      </c>
      <c r="C178" s="150"/>
      <c r="D178" s="150">
        <f>IF(uFedFixedTaxableState="x",uFedFixed,0)+IF(uStateFixedTaxableState="x",uStateFixed,0)+IF(uFixedUtilityTaxableState="x",uUtilityFixed,0)+IF(uOtherFixedTaxableState="x",uOtherFixed,0)+IF(uFedBuyDownTaxableState="x",uFedBuyDown,0)+IF(uStateBuyDownTaxableState="x",uStateBuyDown,0)+IF(uUtilityBuyDownTaxableState="x",uUtilityBuyDown,0)+IF(uOtherBuyDownTaxableState="x",uOtherBuyDown,0)+D158+IF(uFedPBITaxableState="x",D114,0)+IF(uStatePBITaxableState="x",D119,0)+IF(uUtilityPBITaxableState="x",D122,0)+IF(uOtherPBITaxableState="x",D125,0)-D174-D175-D176</f>
        <v>173696.5016910942</v>
      </c>
      <c r="E178" s="150">
        <f aca="true" t="shared" si="46" ref="E178:AG178">E158+IF(uFedPBITaxableState="x",E114,0)+IF(uStatePBITaxableState="x",E119,0)+IF(uUtilityPBITaxableState="x",E122,0)+IF(uOtherPBITaxableState="x",E125,0)-E174-E175</f>
        <v>322952.0107843925</v>
      </c>
      <c r="F178" s="150">
        <f t="shared" si="46"/>
        <v>437489.83098908246</v>
      </c>
      <c r="G178" s="150">
        <f t="shared" si="46"/>
        <v>475074.91964272805</v>
      </c>
      <c r="H178" s="150">
        <f t="shared" si="46"/>
        <v>451761.8395417129</v>
      </c>
      <c r="I178" s="150">
        <f t="shared" si="46"/>
        <v>554918.1738085982</v>
      </c>
      <c r="J178" s="150">
        <f t="shared" si="46"/>
        <v>548896.6785602801</v>
      </c>
      <c r="K178" s="150">
        <f t="shared" si="46"/>
        <v>524204.53326779674</v>
      </c>
      <c r="L178" s="150">
        <f t="shared" si="46"/>
        <v>499000.5686931895</v>
      </c>
      <c r="M178" s="150">
        <f t="shared" si="46"/>
        <v>473256.79228310054</v>
      </c>
      <c r="N178" s="150">
        <f t="shared" si="46"/>
        <v>446943.97089278145</v>
      </c>
      <c r="O178" s="150">
        <f t="shared" si="46"/>
        <v>420031.57070788514</v>
      </c>
      <c r="P178" s="150">
        <f t="shared" si="46"/>
        <v>392487.69422478427</v>
      </c>
      <c r="Q178" s="150">
        <f t="shared" si="46"/>
        <v>364279.01414321974</v>
      </c>
      <c r="R178" s="150">
        <f t="shared" si="46"/>
        <v>335370.70401777496</v>
      </c>
      <c r="S178" s="150">
        <f t="shared" si="46"/>
        <v>305726.36550701596</v>
      </c>
      <c r="T178" s="150">
        <f t="shared" si="46"/>
        <v>271237.4221408855</v>
      </c>
      <c r="U178" s="150">
        <f t="shared" si="46"/>
        <v>235690.39718513854</v>
      </c>
      <c r="V178" s="150">
        <f t="shared" si="46"/>
        <v>199029.04958498816</v>
      </c>
      <c r="W178" s="150">
        <f t="shared" si="46"/>
        <v>161194.3586151373</v>
      </c>
      <c r="X178" s="150">
        <f t="shared" si="46"/>
        <v>122124.37864984164</v>
      </c>
      <c r="Y178" s="150">
        <f t="shared" si="46"/>
        <v>81754.08621480875</v>
      </c>
      <c r="Z178" s="150">
        <f t="shared" si="46"/>
        <v>40015.21890442085</v>
      </c>
      <c r="AA178" s="150">
        <f t="shared" si="46"/>
        <v>-3163.8942749124253</v>
      </c>
      <c r="AB178" s="150">
        <f t="shared" si="46"/>
        <v>-47858.51159841416</v>
      </c>
      <c r="AC178" s="150">
        <f t="shared" si="46"/>
        <v>-94147.6668419902</v>
      </c>
      <c r="AD178" s="150">
        <f t="shared" si="46"/>
        <v>-142114.3675416893</v>
      </c>
      <c r="AE178" s="150">
        <f t="shared" si="46"/>
        <v>-191845.80383668514</v>
      </c>
      <c r="AF178" s="150">
        <f t="shared" si="46"/>
        <v>-243433.56846852857</v>
      </c>
      <c r="AG178" s="150">
        <f t="shared" si="46"/>
        <v>-296973.8885406861</v>
      </c>
    </row>
    <row r="179" spans="2:33" ht="12.75">
      <c r="B179" s="152" t="s">
        <v>146</v>
      </c>
      <c r="C179" s="150"/>
      <c r="D179" s="150">
        <f aca="true" t="shared" si="47" ref="D179:AG179">+D178*uStateTax</f>
        <v>12158.755118376595</v>
      </c>
      <c r="E179" s="150">
        <f t="shared" si="47"/>
        <v>22606.640754907476</v>
      </c>
      <c r="F179" s="150">
        <f t="shared" si="47"/>
        <v>30624.288169235777</v>
      </c>
      <c r="G179" s="150">
        <f t="shared" si="47"/>
        <v>33255.244374990965</v>
      </c>
      <c r="H179" s="150">
        <f t="shared" si="47"/>
        <v>31623.328767919906</v>
      </c>
      <c r="I179" s="150">
        <f t="shared" si="47"/>
        <v>38844.27216660188</v>
      </c>
      <c r="J179" s="150">
        <f t="shared" si="47"/>
        <v>38422.76749921961</v>
      </c>
      <c r="K179" s="150">
        <f t="shared" si="47"/>
        <v>36694.317328745776</v>
      </c>
      <c r="L179" s="150">
        <f t="shared" si="47"/>
        <v>34930.03980852327</v>
      </c>
      <c r="M179" s="150">
        <f t="shared" si="47"/>
        <v>33127.97545981704</v>
      </c>
      <c r="N179" s="150">
        <f t="shared" si="47"/>
        <v>31286.077962494703</v>
      </c>
      <c r="O179" s="150">
        <f t="shared" si="47"/>
        <v>29402.20994955196</v>
      </c>
      <c r="P179" s="150">
        <f t="shared" si="47"/>
        <v>27474.1385957349</v>
      </c>
      <c r="Q179" s="150">
        <f t="shared" si="47"/>
        <v>25499.530990025385</v>
      </c>
      <c r="R179" s="150">
        <f t="shared" si="47"/>
        <v>23475.949281244248</v>
      </c>
      <c r="S179" s="150">
        <f t="shared" si="47"/>
        <v>21400.84558549112</v>
      </c>
      <c r="T179" s="150">
        <f t="shared" si="47"/>
        <v>18986.619549861985</v>
      </c>
      <c r="U179" s="150">
        <f t="shared" si="47"/>
        <v>16498.3278029597</v>
      </c>
      <c r="V179" s="150">
        <f t="shared" si="47"/>
        <v>13932.033470949173</v>
      </c>
      <c r="W179" s="150">
        <f t="shared" si="47"/>
        <v>11283.605103059612</v>
      </c>
      <c r="X179" s="150">
        <f t="shared" si="47"/>
        <v>8548.706505488915</v>
      </c>
      <c r="Y179" s="150">
        <f t="shared" si="47"/>
        <v>5722.786035036613</v>
      </c>
      <c r="Z179" s="150">
        <f t="shared" si="47"/>
        <v>2801.06532330946</v>
      </c>
      <c r="AA179" s="150">
        <f t="shared" si="47"/>
        <v>-221.47259924386978</v>
      </c>
      <c r="AB179" s="150">
        <f t="shared" si="47"/>
        <v>-3350.0958118889916</v>
      </c>
      <c r="AC179" s="150">
        <f t="shared" si="47"/>
        <v>-6590.336678939315</v>
      </c>
      <c r="AD179" s="150">
        <f t="shared" si="47"/>
        <v>-9948.005727918253</v>
      </c>
      <c r="AE179" s="150">
        <f t="shared" si="47"/>
        <v>-13429.206268567961</v>
      </c>
      <c r="AF179" s="150">
        <f t="shared" si="47"/>
        <v>-17040.349792797002</v>
      </c>
      <c r="AG179" s="150">
        <f t="shared" si="47"/>
        <v>-20788.17219784803</v>
      </c>
    </row>
    <row r="180" spans="2:33" ht="12.75">
      <c r="B180" s="152" t="s">
        <v>147</v>
      </c>
      <c r="C180" s="150"/>
      <c r="D180" s="150">
        <f aca="true" t="shared" si="48" ref="D180:AG180">+D118</f>
        <v>0</v>
      </c>
      <c r="E180" s="150">
        <f t="shared" si="48"/>
        <v>0</v>
      </c>
      <c r="F180" s="150">
        <f t="shared" si="48"/>
        <v>0</v>
      </c>
      <c r="G180" s="150">
        <f t="shared" si="48"/>
        <v>0</v>
      </c>
      <c r="H180" s="150">
        <f t="shared" si="48"/>
        <v>0</v>
      </c>
      <c r="I180" s="150">
        <f t="shared" si="48"/>
        <v>0</v>
      </c>
      <c r="J180" s="150">
        <f t="shared" si="48"/>
        <v>0</v>
      </c>
      <c r="K180" s="150">
        <f t="shared" si="48"/>
        <v>0</v>
      </c>
      <c r="L180" s="150">
        <f t="shared" si="48"/>
        <v>0</v>
      </c>
      <c r="M180" s="150">
        <f t="shared" si="48"/>
        <v>0</v>
      </c>
      <c r="N180" s="150">
        <f t="shared" si="48"/>
        <v>0</v>
      </c>
      <c r="O180" s="150">
        <f t="shared" si="48"/>
        <v>0</v>
      </c>
      <c r="P180" s="150">
        <f t="shared" si="48"/>
        <v>0</v>
      </c>
      <c r="Q180" s="150">
        <f t="shared" si="48"/>
        <v>0</v>
      </c>
      <c r="R180" s="150">
        <f t="shared" si="48"/>
        <v>0</v>
      </c>
      <c r="S180" s="150">
        <f t="shared" si="48"/>
        <v>0</v>
      </c>
      <c r="T180" s="150">
        <f t="shared" si="48"/>
        <v>0</v>
      </c>
      <c r="U180" s="150">
        <f t="shared" si="48"/>
        <v>0</v>
      </c>
      <c r="V180" s="150">
        <f t="shared" si="48"/>
        <v>0</v>
      </c>
      <c r="W180" s="150">
        <f t="shared" si="48"/>
        <v>0</v>
      </c>
      <c r="X180" s="150">
        <f t="shared" si="48"/>
        <v>0</v>
      </c>
      <c r="Y180" s="150">
        <f t="shared" si="48"/>
        <v>0</v>
      </c>
      <c r="Z180" s="150">
        <f t="shared" si="48"/>
        <v>0</v>
      </c>
      <c r="AA180" s="150">
        <f t="shared" si="48"/>
        <v>0</v>
      </c>
      <c r="AB180" s="150">
        <f t="shared" si="48"/>
        <v>0</v>
      </c>
      <c r="AC180" s="150">
        <f t="shared" si="48"/>
        <v>0</v>
      </c>
      <c r="AD180" s="150">
        <f t="shared" si="48"/>
        <v>0</v>
      </c>
      <c r="AE180" s="150">
        <f t="shared" si="48"/>
        <v>0</v>
      </c>
      <c r="AF180" s="150">
        <f t="shared" si="48"/>
        <v>0</v>
      </c>
      <c r="AG180" s="150">
        <f t="shared" si="48"/>
        <v>0</v>
      </c>
    </row>
    <row r="181" spans="2:33" ht="12.75">
      <c r="B181" s="153" t="s">
        <v>148</v>
      </c>
      <c r="C181" s="150"/>
      <c r="D181" s="150">
        <f>+uStateITCAmount</f>
        <v>0</v>
      </c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</row>
    <row r="182" spans="2:33" ht="12.75">
      <c r="B182" s="152" t="s">
        <v>149</v>
      </c>
      <c r="C182" s="150"/>
      <c r="D182" s="150">
        <f>+D180+D181-D179</f>
        <v>-12158.755118376595</v>
      </c>
      <c r="E182" s="150">
        <f aca="true" t="shared" si="49" ref="E182:AG182">+E180-E179</f>
        <v>-22606.640754907476</v>
      </c>
      <c r="F182" s="150">
        <f t="shared" si="49"/>
        <v>-30624.288169235777</v>
      </c>
      <c r="G182" s="150">
        <f t="shared" si="49"/>
        <v>-33255.244374990965</v>
      </c>
      <c r="H182" s="150">
        <f t="shared" si="49"/>
        <v>-31623.328767919906</v>
      </c>
      <c r="I182" s="150">
        <f t="shared" si="49"/>
        <v>-38844.27216660188</v>
      </c>
      <c r="J182" s="150">
        <f t="shared" si="49"/>
        <v>-38422.76749921961</v>
      </c>
      <c r="K182" s="150">
        <f t="shared" si="49"/>
        <v>-36694.317328745776</v>
      </c>
      <c r="L182" s="150">
        <f t="shared" si="49"/>
        <v>-34930.03980852327</v>
      </c>
      <c r="M182" s="150">
        <f t="shared" si="49"/>
        <v>-33127.97545981704</v>
      </c>
      <c r="N182" s="150">
        <f t="shared" si="49"/>
        <v>-31286.077962494703</v>
      </c>
      <c r="O182" s="150">
        <f t="shared" si="49"/>
        <v>-29402.20994955196</v>
      </c>
      <c r="P182" s="150">
        <f t="shared" si="49"/>
        <v>-27474.1385957349</v>
      </c>
      <c r="Q182" s="150">
        <f t="shared" si="49"/>
        <v>-25499.530990025385</v>
      </c>
      <c r="R182" s="150">
        <f t="shared" si="49"/>
        <v>-23475.949281244248</v>
      </c>
      <c r="S182" s="150">
        <f t="shared" si="49"/>
        <v>-21400.84558549112</v>
      </c>
      <c r="T182" s="150">
        <f t="shared" si="49"/>
        <v>-18986.619549861985</v>
      </c>
      <c r="U182" s="150">
        <f t="shared" si="49"/>
        <v>-16498.3278029597</v>
      </c>
      <c r="V182" s="150">
        <f t="shared" si="49"/>
        <v>-13932.033470949173</v>
      </c>
      <c r="W182" s="150">
        <f t="shared" si="49"/>
        <v>-11283.605103059612</v>
      </c>
      <c r="X182" s="150">
        <f t="shared" si="49"/>
        <v>-8548.706505488915</v>
      </c>
      <c r="Y182" s="150">
        <f t="shared" si="49"/>
        <v>-5722.786035036613</v>
      </c>
      <c r="Z182" s="150">
        <f t="shared" si="49"/>
        <v>-2801.06532330946</v>
      </c>
      <c r="AA182" s="150">
        <f t="shared" si="49"/>
        <v>221.47259924386978</v>
      </c>
      <c r="AB182" s="150">
        <f t="shared" si="49"/>
        <v>3350.0958118889916</v>
      </c>
      <c r="AC182" s="150">
        <f t="shared" si="49"/>
        <v>6590.336678939315</v>
      </c>
      <c r="AD182" s="150">
        <f t="shared" si="49"/>
        <v>9948.005727918253</v>
      </c>
      <c r="AE182" s="150">
        <f t="shared" si="49"/>
        <v>13429.206268567961</v>
      </c>
      <c r="AF182" s="150">
        <f t="shared" si="49"/>
        <v>17040.349792797002</v>
      </c>
      <c r="AG182" s="150">
        <f t="shared" si="49"/>
        <v>20788.17219784803</v>
      </c>
    </row>
    <row r="183" spans="2:33" ht="12.75">
      <c r="B183" s="146" t="s">
        <v>103</v>
      </c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</row>
    <row r="184" spans="2:33" ht="12.75">
      <c r="B184" s="146" t="s">
        <v>139</v>
      </c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</row>
    <row r="185" spans="2:33" ht="12.75">
      <c r="B185" s="152" t="s">
        <v>144</v>
      </c>
      <c r="C185" s="150"/>
      <c r="D185" s="150">
        <f>D145</f>
        <v>727260.5016910941</v>
      </c>
      <c r="E185" s="150">
        <f aca="true" t="shared" si="50" ref="E185:AG185">E145</f>
        <v>703415.5208741832</v>
      </c>
      <c r="F185" s="150">
        <f t="shared" si="50"/>
        <v>679101.7417740512</v>
      </c>
      <c r="G185" s="150">
        <f t="shared" si="50"/>
        <v>654291.3871645856</v>
      </c>
      <c r="H185" s="150">
        <f t="shared" si="50"/>
        <v>628955.3784046726</v>
      </c>
      <c r="I185" s="150">
        <f t="shared" si="50"/>
        <v>603063.2682931261</v>
      </c>
      <c r="J185" s="150">
        <f t="shared" si="50"/>
        <v>576583.1704036704</v>
      </c>
      <c r="K185" s="150">
        <f t="shared" si="50"/>
        <v>549481.6847115811</v>
      </c>
      <c r="L185" s="150">
        <f t="shared" si="50"/>
        <v>521723.8193133916</v>
      </c>
      <c r="M185" s="150">
        <f t="shared" si="50"/>
        <v>493272.9080303054</v>
      </c>
      <c r="N185" s="150">
        <f t="shared" si="50"/>
        <v>464090.5236746093</v>
      </c>
      <c r="O185" s="150">
        <f t="shared" si="50"/>
        <v>434136.3867464133</v>
      </c>
      <c r="P185" s="150">
        <f t="shared" si="50"/>
        <v>403368.26931541483</v>
      </c>
      <c r="Q185" s="150">
        <f t="shared" si="50"/>
        <v>371741.89382907876</v>
      </c>
      <c r="R185" s="150">
        <f t="shared" si="50"/>
        <v>339210.8265745762</v>
      </c>
      <c r="S185" s="150">
        <f t="shared" si="50"/>
        <v>305726.36550701596</v>
      </c>
      <c r="T185" s="150">
        <f t="shared" si="50"/>
        <v>271237.4221408855</v>
      </c>
      <c r="U185" s="150">
        <f t="shared" si="50"/>
        <v>235690.39718513854</v>
      </c>
      <c r="V185" s="150">
        <f t="shared" si="50"/>
        <v>199029.04958498816</v>
      </c>
      <c r="W185" s="150">
        <f t="shared" si="50"/>
        <v>161194.3586151373</v>
      </c>
      <c r="X185" s="150">
        <f t="shared" si="50"/>
        <v>122124.37864984164</v>
      </c>
      <c r="Y185" s="150">
        <f t="shared" si="50"/>
        <v>81754.08621480875</v>
      </c>
      <c r="Z185" s="150">
        <f t="shared" si="50"/>
        <v>40015.21890442085</v>
      </c>
      <c r="AA185" s="150">
        <f t="shared" si="50"/>
        <v>-3163.8942749124253</v>
      </c>
      <c r="AB185" s="150">
        <f t="shared" si="50"/>
        <v>-47858.51159841416</v>
      </c>
      <c r="AC185" s="150">
        <f t="shared" si="50"/>
        <v>-94147.6668419902</v>
      </c>
      <c r="AD185" s="150">
        <f t="shared" si="50"/>
        <v>-142114.3675416893</v>
      </c>
      <c r="AE185" s="150">
        <f t="shared" si="50"/>
        <v>-191845.80383668514</v>
      </c>
      <c r="AF185" s="150">
        <f t="shared" si="50"/>
        <v>-243433.56846852857</v>
      </c>
      <c r="AG185" s="150">
        <f t="shared" si="50"/>
        <v>-296973.8885406861</v>
      </c>
    </row>
    <row r="186" spans="2:33" ht="12.75">
      <c r="B186" s="153" t="s">
        <v>163</v>
      </c>
      <c r="D186" s="150">
        <f>+uFedFixed+uStateFixed+uUtilityFixed+uOtherFixed</f>
        <v>0</v>
      </c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</row>
    <row r="187" spans="2:33" ht="12.75">
      <c r="B187" s="155" t="s">
        <v>164</v>
      </c>
      <c r="D187" s="150">
        <f>uFedFixed</f>
        <v>0</v>
      </c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</row>
    <row r="188" spans="2:33" ht="12.75">
      <c r="B188" s="155" t="s">
        <v>165</v>
      </c>
      <c r="D188" s="150">
        <f>uStateFixed</f>
        <v>0</v>
      </c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</row>
    <row r="189" spans="2:33" ht="12.75">
      <c r="B189" s="155" t="s">
        <v>166</v>
      </c>
      <c r="D189" s="150">
        <f>uUtilityFixed</f>
        <v>0</v>
      </c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</row>
    <row r="190" spans="2:33" ht="12.75">
      <c r="B190" s="155" t="s">
        <v>167</v>
      </c>
      <c r="D190" s="150">
        <f>uOtherFixed</f>
        <v>0</v>
      </c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</row>
    <row r="191" spans="2:33" ht="12.75">
      <c r="B191" s="153" t="s">
        <v>168</v>
      </c>
      <c r="D191" s="150">
        <f>+uFedBuyDown+uStateBuyDown+uUtilityBuyDown+uOtherBuyDown</f>
        <v>0</v>
      </c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</row>
    <row r="192" spans="2:33" ht="12.75">
      <c r="B192" s="155" t="s">
        <v>110</v>
      </c>
      <c r="D192" s="150">
        <f>uFedBuyDown</f>
        <v>0</v>
      </c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</row>
    <row r="193" spans="2:33" ht="12.75">
      <c r="B193" s="155" t="s">
        <v>111</v>
      </c>
      <c r="D193" s="150">
        <f>uStateBuyDown</f>
        <v>0</v>
      </c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</row>
    <row r="194" spans="2:33" ht="12.75">
      <c r="B194" s="155" t="s">
        <v>112</v>
      </c>
      <c r="D194" s="150">
        <f>uUtilityBuyDown</f>
        <v>0</v>
      </c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</row>
    <row r="195" spans="2:33" ht="12.75">
      <c r="B195" s="155" t="s">
        <v>113</v>
      </c>
      <c r="D195" s="150">
        <f>uOtherBuyDown</f>
        <v>0</v>
      </c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</row>
    <row r="196" spans="2:33" ht="12.75">
      <c r="B196" s="153" t="s">
        <v>169</v>
      </c>
      <c r="C196" s="150"/>
      <c r="D196" s="150">
        <f aca="true" t="shared" si="51" ref="D196:AG196">D114+D119+D122+D125</f>
        <v>0</v>
      </c>
      <c r="E196" s="150">
        <f t="shared" si="51"/>
        <v>0</v>
      </c>
      <c r="F196" s="150">
        <f t="shared" si="51"/>
        <v>0</v>
      </c>
      <c r="G196" s="150">
        <f t="shared" si="51"/>
        <v>0</v>
      </c>
      <c r="H196" s="150">
        <f t="shared" si="51"/>
        <v>0</v>
      </c>
      <c r="I196" s="150">
        <f t="shared" si="51"/>
        <v>0</v>
      </c>
      <c r="J196" s="150">
        <f t="shared" si="51"/>
        <v>0</v>
      </c>
      <c r="K196" s="150">
        <f t="shared" si="51"/>
        <v>0</v>
      </c>
      <c r="L196" s="150">
        <f t="shared" si="51"/>
        <v>0</v>
      </c>
      <c r="M196" s="150">
        <f t="shared" si="51"/>
        <v>0</v>
      </c>
      <c r="N196" s="150">
        <f t="shared" si="51"/>
        <v>0</v>
      </c>
      <c r="O196" s="150">
        <f t="shared" si="51"/>
        <v>0</v>
      </c>
      <c r="P196" s="150">
        <f t="shared" si="51"/>
        <v>0</v>
      </c>
      <c r="Q196" s="150">
        <f t="shared" si="51"/>
        <v>0</v>
      </c>
      <c r="R196" s="150">
        <f t="shared" si="51"/>
        <v>0</v>
      </c>
      <c r="S196" s="150">
        <f t="shared" si="51"/>
        <v>0</v>
      </c>
      <c r="T196" s="150">
        <f t="shared" si="51"/>
        <v>0</v>
      </c>
      <c r="U196" s="150">
        <f t="shared" si="51"/>
        <v>0</v>
      </c>
      <c r="V196" s="150">
        <f t="shared" si="51"/>
        <v>0</v>
      </c>
      <c r="W196" s="150">
        <f t="shared" si="51"/>
        <v>0</v>
      </c>
      <c r="X196" s="150">
        <f t="shared" si="51"/>
        <v>0</v>
      </c>
      <c r="Y196" s="150">
        <f t="shared" si="51"/>
        <v>0</v>
      </c>
      <c r="Z196" s="150">
        <f t="shared" si="51"/>
        <v>0</v>
      </c>
      <c r="AA196" s="150">
        <f t="shared" si="51"/>
        <v>0</v>
      </c>
      <c r="AB196" s="150">
        <f t="shared" si="51"/>
        <v>0</v>
      </c>
      <c r="AC196" s="150">
        <f t="shared" si="51"/>
        <v>0</v>
      </c>
      <c r="AD196" s="150">
        <f t="shared" si="51"/>
        <v>0</v>
      </c>
      <c r="AE196" s="150">
        <f t="shared" si="51"/>
        <v>0</v>
      </c>
      <c r="AF196" s="150">
        <f t="shared" si="51"/>
        <v>0</v>
      </c>
      <c r="AG196" s="150">
        <f t="shared" si="51"/>
        <v>0</v>
      </c>
    </row>
    <row r="197" spans="2:33" ht="12.75">
      <c r="B197" s="155" t="s">
        <v>170</v>
      </c>
      <c r="C197" s="150"/>
      <c r="D197" s="150">
        <f>D114</f>
        <v>0</v>
      </c>
      <c r="E197" s="150">
        <f aca="true" t="shared" si="52" ref="E197:AG197">E114</f>
        <v>0</v>
      </c>
      <c r="F197" s="150">
        <f t="shared" si="52"/>
        <v>0</v>
      </c>
      <c r="G197" s="150">
        <f t="shared" si="52"/>
        <v>0</v>
      </c>
      <c r="H197" s="150">
        <f t="shared" si="52"/>
        <v>0</v>
      </c>
      <c r="I197" s="150">
        <f t="shared" si="52"/>
        <v>0</v>
      </c>
      <c r="J197" s="150">
        <f t="shared" si="52"/>
        <v>0</v>
      </c>
      <c r="K197" s="150">
        <f t="shared" si="52"/>
        <v>0</v>
      </c>
      <c r="L197" s="150">
        <f t="shared" si="52"/>
        <v>0</v>
      </c>
      <c r="M197" s="150">
        <f t="shared" si="52"/>
        <v>0</v>
      </c>
      <c r="N197" s="150">
        <f t="shared" si="52"/>
        <v>0</v>
      </c>
      <c r="O197" s="150">
        <f t="shared" si="52"/>
        <v>0</v>
      </c>
      <c r="P197" s="150">
        <f t="shared" si="52"/>
        <v>0</v>
      </c>
      <c r="Q197" s="150">
        <f t="shared" si="52"/>
        <v>0</v>
      </c>
      <c r="R197" s="150">
        <f t="shared" si="52"/>
        <v>0</v>
      </c>
      <c r="S197" s="150">
        <f t="shared" si="52"/>
        <v>0</v>
      </c>
      <c r="T197" s="150">
        <f t="shared" si="52"/>
        <v>0</v>
      </c>
      <c r="U197" s="150">
        <f t="shared" si="52"/>
        <v>0</v>
      </c>
      <c r="V197" s="150">
        <f t="shared" si="52"/>
        <v>0</v>
      </c>
      <c r="W197" s="150">
        <f t="shared" si="52"/>
        <v>0</v>
      </c>
      <c r="X197" s="150">
        <f t="shared" si="52"/>
        <v>0</v>
      </c>
      <c r="Y197" s="150">
        <f t="shared" si="52"/>
        <v>0</v>
      </c>
      <c r="Z197" s="150">
        <f t="shared" si="52"/>
        <v>0</v>
      </c>
      <c r="AA197" s="150">
        <f t="shared" si="52"/>
        <v>0</v>
      </c>
      <c r="AB197" s="150">
        <f t="shared" si="52"/>
        <v>0</v>
      </c>
      <c r="AC197" s="150">
        <f t="shared" si="52"/>
        <v>0</v>
      </c>
      <c r="AD197" s="150">
        <f t="shared" si="52"/>
        <v>0</v>
      </c>
      <c r="AE197" s="150">
        <f t="shared" si="52"/>
        <v>0</v>
      </c>
      <c r="AF197" s="150">
        <f t="shared" si="52"/>
        <v>0</v>
      </c>
      <c r="AG197" s="150">
        <f t="shared" si="52"/>
        <v>0</v>
      </c>
    </row>
    <row r="198" spans="2:33" ht="12.75">
      <c r="B198" s="155" t="s">
        <v>171</v>
      </c>
      <c r="C198" s="150"/>
      <c r="D198" s="150">
        <f>D119</f>
        <v>0</v>
      </c>
      <c r="E198" s="150">
        <f aca="true" t="shared" si="53" ref="E198:AG198">E119</f>
        <v>0</v>
      </c>
      <c r="F198" s="150">
        <f t="shared" si="53"/>
        <v>0</v>
      </c>
      <c r="G198" s="150">
        <f t="shared" si="53"/>
        <v>0</v>
      </c>
      <c r="H198" s="150">
        <f t="shared" si="53"/>
        <v>0</v>
      </c>
      <c r="I198" s="150">
        <f t="shared" si="53"/>
        <v>0</v>
      </c>
      <c r="J198" s="150">
        <f t="shared" si="53"/>
        <v>0</v>
      </c>
      <c r="K198" s="150">
        <f t="shared" si="53"/>
        <v>0</v>
      </c>
      <c r="L198" s="150">
        <f t="shared" si="53"/>
        <v>0</v>
      </c>
      <c r="M198" s="150">
        <f t="shared" si="53"/>
        <v>0</v>
      </c>
      <c r="N198" s="150">
        <f t="shared" si="53"/>
        <v>0</v>
      </c>
      <c r="O198" s="150">
        <f t="shared" si="53"/>
        <v>0</v>
      </c>
      <c r="P198" s="150">
        <f t="shared" si="53"/>
        <v>0</v>
      </c>
      <c r="Q198" s="150">
        <f t="shared" si="53"/>
        <v>0</v>
      </c>
      <c r="R198" s="150">
        <f t="shared" si="53"/>
        <v>0</v>
      </c>
      <c r="S198" s="150">
        <f t="shared" si="53"/>
        <v>0</v>
      </c>
      <c r="T198" s="150">
        <f t="shared" si="53"/>
        <v>0</v>
      </c>
      <c r="U198" s="150">
        <f t="shared" si="53"/>
        <v>0</v>
      </c>
      <c r="V198" s="150">
        <f t="shared" si="53"/>
        <v>0</v>
      </c>
      <c r="W198" s="150">
        <f t="shared" si="53"/>
        <v>0</v>
      </c>
      <c r="X198" s="150">
        <f t="shared" si="53"/>
        <v>0</v>
      </c>
      <c r="Y198" s="150">
        <f t="shared" si="53"/>
        <v>0</v>
      </c>
      <c r="Z198" s="150">
        <f t="shared" si="53"/>
        <v>0</v>
      </c>
      <c r="AA198" s="150">
        <f t="shared" si="53"/>
        <v>0</v>
      </c>
      <c r="AB198" s="150">
        <f t="shared" si="53"/>
        <v>0</v>
      </c>
      <c r="AC198" s="150">
        <f t="shared" si="53"/>
        <v>0</v>
      </c>
      <c r="AD198" s="150">
        <f t="shared" si="53"/>
        <v>0</v>
      </c>
      <c r="AE198" s="150">
        <f t="shared" si="53"/>
        <v>0</v>
      </c>
      <c r="AF198" s="150">
        <f t="shared" si="53"/>
        <v>0</v>
      </c>
      <c r="AG198" s="150">
        <f t="shared" si="53"/>
        <v>0</v>
      </c>
    </row>
    <row r="199" spans="2:33" ht="12.75">
      <c r="B199" s="155" t="s">
        <v>172</v>
      </c>
      <c r="C199" s="150"/>
      <c r="D199" s="150">
        <f>D122</f>
        <v>0</v>
      </c>
      <c r="E199" s="150">
        <f aca="true" t="shared" si="54" ref="E199:AG199">E122</f>
        <v>0</v>
      </c>
      <c r="F199" s="150">
        <f t="shared" si="54"/>
        <v>0</v>
      </c>
      <c r="G199" s="150">
        <f t="shared" si="54"/>
        <v>0</v>
      </c>
      <c r="H199" s="150">
        <f t="shared" si="54"/>
        <v>0</v>
      </c>
      <c r="I199" s="150">
        <f t="shared" si="54"/>
        <v>0</v>
      </c>
      <c r="J199" s="150">
        <f t="shared" si="54"/>
        <v>0</v>
      </c>
      <c r="K199" s="150">
        <f t="shared" si="54"/>
        <v>0</v>
      </c>
      <c r="L199" s="150">
        <f t="shared" si="54"/>
        <v>0</v>
      </c>
      <c r="M199" s="150">
        <f t="shared" si="54"/>
        <v>0</v>
      </c>
      <c r="N199" s="150">
        <f t="shared" si="54"/>
        <v>0</v>
      </c>
      <c r="O199" s="150">
        <f t="shared" si="54"/>
        <v>0</v>
      </c>
      <c r="P199" s="150">
        <f t="shared" si="54"/>
        <v>0</v>
      </c>
      <c r="Q199" s="150">
        <f t="shared" si="54"/>
        <v>0</v>
      </c>
      <c r="R199" s="150">
        <f t="shared" si="54"/>
        <v>0</v>
      </c>
      <c r="S199" s="150">
        <f t="shared" si="54"/>
        <v>0</v>
      </c>
      <c r="T199" s="150">
        <f t="shared" si="54"/>
        <v>0</v>
      </c>
      <c r="U199" s="150">
        <f t="shared" si="54"/>
        <v>0</v>
      </c>
      <c r="V199" s="150">
        <f t="shared" si="54"/>
        <v>0</v>
      </c>
      <c r="W199" s="150">
        <f t="shared" si="54"/>
        <v>0</v>
      </c>
      <c r="X199" s="150">
        <f t="shared" si="54"/>
        <v>0</v>
      </c>
      <c r="Y199" s="150">
        <f t="shared" si="54"/>
        <v>0</v>
      </c>
      <c r="Z199" s="150">
        <f t="shared" si="54"/>
        <v>0</v>
      </c>
      <c r="AA199" s="150">
        <f t="shared" si="54"/>
        <v>0</v>
      </c>
      <c r="AB199" s="150">
        <f t="shared" si="54"/>
        <v>0</v>
      </c>
      <c r="AC199" s="150">
        <f t="shared" si="54"/>
        <v>0</v>
      </c>
      <c r="AD199" s="150">
        <f t="shared" si="54"/>
        <v>0</v>
      </c>
      <c r="AE199" s="150">
        <f t="shared" si="54"/>
        <v>0</v>
      </c>
      <c r="AF199" s="150">
        <f t="shared" si="54"/>
        <v>0</v>
      </c>
      <c r="AG199" s="150">
        <f t="shared" si="54"/>
        <v>0</v>
      </c>
    </row>
    <row r="200" spans="2:33" ht="12.75">
      <c r="B200" s="155" t="s">
        <v>173</v>
      </c>
      <c r="C200" s="150"/>
      <c r="D200" s="150">
        <f>D125</f>
        <v>0</v>
      </c>
      <c r="E200" s="150">
        <f aca="true" t="shared" si="55" ref="E200:AG200">E125</f>
        <v>0</v>
      </c>
      <c r="F200" s="150">
        <f t="shared" si="55"/>
        <v>0</v>
      </c>
      <c r="G200" s="150">
        <f t="shared" si="55"/>
        <v>0</v>
      </c>
      <c r="H200" s="150">
        <f t="shared" si="55"/>
        <v>0</v>
      </c>
      <c r="I200" s="150">
        <f t="shared" si="55"/>
        <v>0</v>
      </c>
      <c r="J200" s="150">
        <f t="shared" si="55"/>
        <v>0</v>
      </c>
      <c r="K200" s="150">
        <f t="shared" si="55"/>
        <v>0</v>
      </c>
      <c r="L200" s="150">
        <f t="shared" si="55"/>
        <v>0</v>
      </c>
      <c r="M200" s="150">
        <f t="shared" si="55"/>
        <v>0</v>
      </c>
      <c r="N200" s="150">
        <f t="shared" si="55"/>
        <v>0</v>
      </c>
      <c r="O200" s="150">
        <f t="shared" si="55"/>
        <v>0</v>
      </c>
      <c r="P200" s="150">
        <f t="shared" si="55"/>
        <v>0</v>
      </c>
      <c r="Q200" s="150">
        <f t="shared" si="55"/>
        <v>0</v>
      </c>
      <c r="R200" s="150">
        <f t="shared" si="55"/>
        <v>0</v>
      </c>
      <c r="S200" s="150">
        <f t="shared" si="55"/>
        <v>0</v>
      </c>
      <c r="T200" s="150">
        <f t="shared" si="55"/>
        <v>0</v>
      </c>
      <c r="U200" s="150">
        <f t="shared" si="55"/>
        <v>0</v>
      </c>
      <c r="V200" s="150">
        <f t="shared" si="55"/>
        <v>0</v>
      </c>
      <c r="W200" s="150">
        <f t="shared" si="55"/>
        <v>0</v>
      </c>
      <c r="X200" s="150">
        <f t="shared" si="55"/>
        <v>0</v>
      </c>
      <c r="Y200" s="150">
        <f t="shared" si="55"/>
        <v>0</v>
      </c>
      <c r="Z200" s="150">
        <f t="shared" si="55"/>
        <v>0</v>
      </c>
      <c r="AA200" s="150">
        <f t="shared" si="55"/>
        <v>0</v>
      </c>
      <c r="AB200" s="150">
        <f t="shared" si="55"/>
        <v>0</v>
      </c>
      <c r="AC200" s="150">
        <f t="shared" si="55"/>
        <v>0</v>
      </c>
      <c r="AD200" s="150">
        <f t="shared" si="55"/>
        <v>0</v>
      </c>
      <c r="AE200" s="150">
        <f t="shared" si="55"/>
        <v>0</v>
      </c>
      <c r="AF200" s="150">
        <f t="shared" si="55"/>
        <v>0</v>
      </c>
      <c r="AG200" s="150">
        <f t="shared" si="55"/>
        <v>0</v>
      </c>
    </row>
    <row r="201" spans="2:33" ht="12.75">
      <c r="B201" s="152" t="s">
        <v>37</v>
      </c>
      <c r="C201" s="150"/>
      <c r="D201" s="150">
        <f>D109</f>
        <v>461229.99999999994</v>
      </c>
      <c r="E201" s="150">
        <f aca="true" t="shared" si="56" ref="E201:AG201">E109</f>
        <v>342628</v>
      </c>
      <c r="F201" s="150">
        <f t="shared" si="56"/>
        <v>205576.8</v>
      </c>
      <c r="G201" s="150">
        <f t="shared" si="56"/>
        <v>145089.78</v>
      </c>
      <c r="H201" s="150">
        <f t="shared" si="56"/>
        <v>145089.78</v>
      </c>
      <c r="I201" s="150">
        <f t="shared" si="56"/>
        <v>18185.64</v>
      </c>
      <c r="J201" s="150">
        <f t="shared" si="56"/>
        <v>0</v>
      </c>
      <c r="K201" s="150">
        <f t="shared" si="56"/>
        <v>0</v>
      </c>
      <c r="L201" s="150">
        <f t="shared" si="56"/>
        <v>0</v>
      </c>
      <c r="M201" s="150">
        <f t="shared" si="56"/>
        <v>0</v>
      </c>
      <c r="N201" s="150">
        <f t="shared" si="56"/>
        <v>0</v>
      </c>
      <c r="O201" s="150">
        <f t="shared" si="56"/>
        <v>0</v>
      </c>
      <c r="P201" s="150">
        <f t="shared" si="56"/>
        <v>0</v>
      </c>
      <c r="Q201" s="150">
        <f t="shared" si="56"/>
        <v>0</v>
      </c>
      <c r="R201" s="150">
        <f t="shared" si="56"/>
        <v>0</v>
      </c>
      <c r="S201" s="150">
        <f t="shared" si="56"/>
        <v>0</v>
      </c>
      <c r="T201" s="150">
        <f t="shared" si="56"/>
        <v>0</v>
      </c>
      <c r="U201" s="150">
        <f t="shared" si="56"/>
        <v>0</v>
      </c>
      <c r="V201" s="150">
        <f t="shared" si="56"/>
        <v>0</v>
      </c>
      <c r="W201" s="150">
        <f t="shared" si="56"/>
        <v>0</v>
      </c>
      <c r="X201" s="150">
        <f t="shared" si="56"/>
        <v>0</v>
      </c>
      <c r="Y201" s="150">
        <f t="shared" si="56"/>
        <v>0</v>
      </c>
      <c r="Z201" s="150">
        <f t="shared" si="56"/>
        <v>0</v>
      </c>
      <c r="AA201" s="150">
        <f t="shared" si="56"/>
        <v>0</v>
      </c>
      <c r="AB201" s="150">
        <f t="shared" si="56"/>
        <v>0</v>
      </c>
      <c r="AC201" s="150">
        <f t="shared" si="56"/>
        <v>0</v>
      </c>
      <c r="AD201" s="150">
        <f t="shared" si="56"/>
        <v>0</v>
      </c>
      <c r="AE201" s="150">
        <f t="shared" si="56"/>
        <v>0</v>
      </c>
      <c r="AF201" s="150">
        <f t="shared" si="56"/>
        <v>0</v>
      </c>
      <c r="AG201" s="150">
        <f t="shared" si="56"/>
        <v>0</v>
      </c>
    </row>
    <row r="202" spans="2:33" ht="12.75">
      <c r="B202" s="152" t="s">
        <v>25</v>
      </c>
      <c r="C202" s="150"/>
      <c r="D202" s="150">
        <f>D153</f>
        <v>39534</v>
      </c>
      <c r="E202" s="150">
        <f aca="true" t="shared" si="57" ref="E202:AG202">E153</f>
        <v>37835.51008979067</v>
      </c>
      <c r="F202" s="150">
        <f t="shared" si="57"/>
        <v>36035.110784968776</v>
      </c>
      <c r="G202" s="150">
        <f t="shared" si="57"/>
        <v>34126.687521857566</v>
      </c>
      <c r="H202" s="150">
        <f t="shared" si="57"/>
        <v>32103.75886295969</v>
      </c>
      <c r="I202" s="150">
        <f t="shared" si="57"/>
        <v>29959.454484527938</v>
      </c>
      <c r="J202" s="150">
        <f t="shared" si="57"/>
        <v>27686.491843390286</v>
      </c>
      <c r="K202" s="150">
        <f t="shared" si="57"/>
        <v>25277.151443784365</v>
      </c>
      <c r="L202" s="150">
        <f t="shared" si="57"/>
        <v>22723.250620202092</v>
      </c>
      <c r="M202" s="150">
        <f t="shared" si="57"/>
        <v>20016.115747204894</v>
      </c>
      <c r="N202" s="150">
        <f t="shared" si="57"/>
        <v>17146.552781827864</v>
      </c>
      <c r="O202" s="150">
        <f t="shared" si="57"/>
        <v>14104.81603852819</v>
      </c>
      <c r="P202" s="150">
        <f t="shared" si="57"/>
        <v>10880.575090630562</v>
      </c>
      <c r="Q202" s="150">
        <f t="shared" si="57"/>
        <v>7462.879685859047</v>
      </c>
      <c r="R202" s="150">
        <f t="shared" si="57"/>
        <v>3840.1225568012705</v>
      </c>
      <c r="S202" s="150">
        <f t="shared" si="57"/>
        <v>0</v>
      </c>
      <c r="T202" s="150">
        <f t="shared" si="57"/>
        <v>0</v>
      </c>
      <c r="U202" s="150">
        <f t="shared" si="57"/>
        <v>0</v>
      </c>
      <c r="V202" s="150">
        <f t="shared" si="57"/>
        <v>0</v>
      </c>
      <c r="W202" s="150">
        <f t="shared" si="57"/>
        <v>0</v>
      </c>
      <c r="X202" s="150">
        <f t="shared" si="57"/>
        <v>0</v>
      </c>
      <c r="Y202" s="150">
        <f t="shared" si="57"/>
        <v>0</v>
      </c>
      <c r="Z202" s="150">
        <f t="shared" si="57"/>
        <v>0</v>
      </c>
      <c r="AA202" s="150">
        <f t="shared" si="57"/>
        <v>0</v>
      </c>
      <c r="AB202" s="150">
        <f t="shared" si="57"/>
        <v>0</v>
      </c>
      <c r="AC202" s="150">
        <f t="shared" si="57"/>
        <v>0</v>
      </c>
      <c r="AD202" s="150">
        <f t="shared" si="57"/>
        <v>0</v>
      </c>
      <c r="AE202" s="150">
        <f t="shared" si="57"/>
        <v>0</v>
      </c>
      <c r="AF202" s="150">
        <f t="shared" si="57"/>
        <v>0</v>
      </c>
      <c r="AG202" s="150">
        <f t="shared" si="57"/>
        <v>0</v>
      </c>
    </row>
    <row r="203" spans="2:33" ht="12.75">
      <c r="B203" s="153" t="s">
        <v>80</v>
      </c>
      <c r="D203" s="150">
        <f>+F24*uTotalCapitalCost*uSalesTax</f>
        <v>52800</v>
      </c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</row>
    <row r="204" spans="2:33" ht="12.75">
      <c r="B204" s="152" t="s">
        <v>150</v>
      </c>
      <c r="C204" s="150"/>
      <c r="D204" s="150">
        <f>D182</f>
        <v>-12158.755118376595</v>
      </c>
      <c r="E204" s="150">
        <f aca="true" t="shared" si="58" ref="E204:AG204">E182</f>
        <v>-22606.640754907476</v>
      </c>
      <c r="F204" s="150">
        <f t="shared" si="58"/>
        <v>-30624.288169235777</v>
      </c>
      <c r="G204" s="150">
        <f t="shared" si="58"/>
        <v>-33255.244374990965</v>
      </c>
      <c r="H204" s="150">
        <f t="shared" si="58"/>
        <v>-31623.328767919906</v>
      </c>
      <c r="I204" s="150">
        <f t="shared" si="58"/>
        <v>-38844.27216660188</v>
      </c>
      <c r="J204" s="150">
        <f t="shared" si="58"/>
        <v>-38422.76749921961</v>
      </c>
      <c r="K204" s="150">
        <f t="shared" si="58"/>
        <v>-36694.317328745776</v>
      </c>
      <c r="L204" s="150">
        <f t="shared" si="58"/>
        <v>-34930.03980852327</v>
      </c>
      <c r="M204" s="150">
        <f t="shared" si="58"/>
        <v>-33127.97545981704</v>
      </c>
      <c r="N204" s="150">
        <f t="shared" si="58"/>
        <v>-31286.077962494703</v>
      </c>
      <c r="O204" s="150">
        <f t="shared" si="58"/>
        <v>-29402.20994955196</v>
      </c>
      <c r="P204" s="150">
        <f t="shared" si="58"/>
        <v>-27474.1385957349</v>
      </c>
      <c r="Q204" s="150">
        <f t="shared" si="58"/>
        <v>-25499.530990025385</v>
      </c>
      <c r="R204" s="150">
        <f t="shared" si="58"/>
        <v>-23475.949281244248</v>
      </c>
      <c r="S204" s="150">
        <f t="shared" si="58"/>
        <v>-21400.84558549112</v>
      </c>
      <c r="T204" s="150">
        <f t="shared" si="58"/>
        <v>-18986.619549861985</v>
      </c>
      <c r="U204" s="150">
        <f t="shared" si="58"/>
        <v>-16498.3278029597</v>
      </c>
      <c r="V204" s="150">
        <f t="shared" si="58"/>
        <v>-13932.033470949173</v>
      </c>
      <c r="W204" s="150">
        <f t="shared" si="58"/>
        <v>-11283.605103059612</v>
      </c>
      <c r="X204" s="150">
        <f t="shared" si="58"/>
        <v>-8548.706505488915</v>
      </c>
      <c r="Y204" s="150">
        <f t="shared" si="58"/>
        <v>-5722.786035036613</v>
      </c>
      <c r="Z204" s="150">
        <f t="shared" si="58"/>
        <v>-2801.06532330946</v>
      </c>
      <c r="AA204" s="150">
        <f t="shared" si="58"/>
        <v>221.47259924386978</v>
      </c>
      <c r="AB204" s="150">
        <f t="shared" si="58"/>
        <v>3350.0958118889916</v>
      </c>
      <c r="AC204" s="150">
        <f t="shared" si="58"/>
        <v>6590.336678939315</v>
      </c>
      <c r="AD204" s="150">
        <f t="shared" si="58"/>
        <v>9948.005727918253</v>
      </c>
      <c r="AE204" s="150">
        <f t="shared" si="58"/>
        <v>13429.206268567961</v>
      </c>
      <c r="AF204" s="150">
        <f t="shared" si="58"/>
        <v>17040.349792797002</v>
      </c>
      <c r="AG204" s="150">
        <f t="shared" si="58"/>
        <v>20788.17219784803</v>
      </c>
    </row>
    <row r="205" spans="2:33" ht="12.75">
      <c r="B205" s="152" t="s">
        <v>143</v>
      </c>
      <c r="C205" s="150"/>
      <c r="D205" s="150">
        <f>D185+D186+D196-D201-D202+D204-D203+D191</f>
        <v>161537.7465727176</v>
      </c>
      <c r="E205" s="150">
        <f aca="true" t="shared" si="59" ref="E205:AG205">E185+E196-E201-E202+E204</f>
        <v>300345.370029485</v>
      </c>
      <c r="F205" s="150">
        <f t="shared" si="59"/>
        <v>406865.54281984665</v>
      </c>
      <c r="G205" s="150">
        <f t="shared" si="59"/>
        <v>441819.67526773707</v>
      </c>
      <c r="H205" s="150">
        <f t="shared" si="59"/>
        <v>420138.510773793</v>
      </c>
      <c r="I205" s="150">
        <f t="shared" si="59"/>
        <v>516073.90164199634</v>
      </c>
      <c r="J205" s="150">
        <f t="shared" si="59"/>
        <v>510473.9110610605</v>
      </c>
      <c r="K205" s="150">
        <f t="shared" si="59"/>
        <v>487510.21593905095</v>
      </c>
      <c r="L205" s="150">
        <f t="shared" si="59"/>
        <v>464070.5288846662</v>
      </c>
      <c r="M205" s="150">
        <f t="shared" si="59"/>
        <v>440128.8168232835</v>
      </c>
      <c r="N205" s="150">
        <f t="shared" si="59"/>
        <v>415657.89293028676</v>
      </c>
      <c r="O205" s="150">
        <f t="shared" si="59"/>
        <v>390629.3607583332</v>
      </c>
      <c r="P205" s="150">
        <f t="shared" si="59"/>
        <v>365013.55562904937</v>
      </c>
      <c r="Q205" s="150">
        <f t="shared" si="59"/>
        <v>338779.48315319436</v>
      </c>
      <c r="R205" s="150">
        <f t="shared" si="59"/>
        <v>311894.7547365307</v>
      </c>
      <c r="S205" s="150">
        <f t="shared" si="59"/>
        <v>284325.51992152486</v>
      </c>
      <c r="T205" s="150">
        <f t="shared" si="59"/>
        <v>252250.8025910235</v>
      </c>
      <c r="U205" s="150">
        <f t="shared" si="59"/>
        <v>219192.06938217883</v>
      </c>
      <c r="V205" s="150">
        <f t="shared" si="59"/>
        <v>185097.016114039</v>
      </c>
      <c r="W205" s="150">
        <f t="shared" si="59"/>
        <v>149910.75351207767</v>
      </c>
      <c r="X205" s="150">
        <f t="shared" si="59"/>
        <v>113575.67214435273</v>
      </c>
      <c r="Y205" s="150">
        <f t="shared" si="59"/>
        <v>76031.30017977214</v>
      </c>
      <c r="Z205" s="150">
        <f t="shared" si="59"/>
        <v>37214.153581111386</v>
      </c>
      <c r="AA205" s="150">
        <f t="shared" si="59"/>
        <v>-2942.4216756685555</v>
      </c>
      <c r="AB205" s="150">
        <f t="shared" si="59"/>
        <v>-44508.41578652517</v>
      </c>
      <c r="AC205" s="150">
        <f t="shared" si="59"/>
        <v>-87557.33016305088</v>
      </c>
      <c r="AD205" s="150">
        <f t="shared" si="59"/>
        <v>-132166.36181377104</v>
      </c>
      <c r="AE205" s="150">
        <f t="shared" si="59"/>
        <v>-178416.59756811717</v>
      </c>
      <c r="AF205" s="150">
        <f t="shared" si="59"/>
        <v>-226393.21867573156</v>
      </c>
      <c r="AG205" s="150">
        <f t="shared" si="59"/>
        <v>-276185.7163428381</v>
      </c>
    </row>
    <row r="206" spans="2:33" ht="12.75">
      <c r="B206" s="152" t="s">
        <v>145</v>
      </c>
      <c r="C206" s="150"/>
      <c r="D206" s="150">
        <f>IF(uFedFixedTaxableFed="x",uFedFixed,0)+IF(uStateFixedTaxalbeFed="x",uStateFixed,0)+IF(uFixedUtilityTaxableFed="x",uUtilityFixed,0)+IF(uOtherFixedTaxableFed="x",uOtherFixed,0)+IF(uFedBuyDownTaxableFed="x",uFedBuyDown,0)+IF(uStateBuyDownTaxableFed="x",uStateBuyDown,0)+IF(uUtilityBuyDownTaxableFed="x",uUtilityBuyDown,0)+IF(uOtherBuyDownTaxableFed="x",uOtherBuyDown,0)+D185+IF(uFedPBITaxalbeFed="x",D114,0)+IF(uStatePBITaxableFed="x",D119,0)+IF(uUtilityPBITaxableFed="x",D122,0)+IF(uOtherPBITaxableFed="x",D125,0)-D201-D202-D203+D204</f>
        <v>161537.7465727176</v>
      </c>
      <c r="E206" s="150">
        <f aca="true" t="shared" si="60" ref="E206:AG206">+E185+IF(uFedPBITaxalbeFed="x",E114,0)+IF(uStatePBITaxableFed="x",E119,0)+IF(uUtilityPBITaxableFed="x",E122,0)+IF(uOtherPBITaxableFed="x",E125,0)-E201-E202+E204</f>
        <v>300345.370029485</v>
      </c>
      <c r="F206" s="150">
        <f t="shared" si="60"/>
        <v>406865.54281984665</v>
      </c>
      <c r="G206" s="150">
        <f t="shared" si="60"/>
        <v>441819.67526773707</v>
      </c>
      <c r="H206" s="150">
        <f t="shared" si="60"/>
        <v>420138.510773793</v>
      </c>
      <c r="I206" s="150">
        <f t="shared" si="60"/>
        <v>516073.90164199634</v>
      </c>
      <c r="J206" s="150">
        <f t="shared" si="60"/>
        <v>510473.9110610605</v>
      </c>
      <c r="K206" s="150">
        <f t="shared" si="60"/>
        <v>487510.21593905095</v>
      </c>
      <c r="L206" s="150">
        <f t="shared" si="60"/>
        <v>464070.5288846662</v>
      </c>
      <c r="M206" s="150">
        <f t="shared" si="60"/>
        <v>440128.8168232835</v>
      </c>
      <c r="N206" s="150">
        <f t="shared" si="60"/>
        <v>415657.89293028676</v>
      </c>
      <c r="O206" s="150">
        <f t="shared" si="60"/>
        <v>390629.3607583332</v>
      </c>
      <c r="P206" s="150">
        <f t="shared" si="60"/>
        <v>365013.55562904937</v>
      </c>
      <c r="Q206" s="150">
        <f t="shared" si="60"/>
        <v>338779.48315319436</v>
      </c>
      <c r="R206" s="150">
        <f t="shared" si="60"/>
        <v>311894.7547365307</v>
      </c>
      <c r="S206" s="150">
        <f t="shared" si="60"/>
        <v>284325.51992152486</v>
      </c>
      <c r="T206" s="150">
        <f t="shared" si="60"/>
        <v>252250.8025910235</v>
      </c>
      <c r="U206" s="150">
        <f t="shared" si="60"/>
        <v>219192.06938217883</v>
      </c>
      <c r="V206" s="150">
        <f t="shared" si="60"/>
        <v>185097.016114039</v>
      </c>
      <c r="W206" s="150">
        <f t="shared" si="60"/>
        <v>149910.75351207767</v>
      </c>
      <c r="X206" s="150">
        <f t="shared" si="60"/>
        <v>113575.67214435273</v>
      </c>
      <c r="Y206" s="150">
        <f t="shared" si="60"/>
        <v>76031.30017977214</v>
      </c>
      <c r="Z206" s="150">
        <f t="shared" si="60"/>
        <v>37214.153581111386</v>
      </c>
      <c r="AA206" s="150">
        <f t="shared" si="60"/>
        <v>-2942.4216756685555</v>
      </c>
      <c r="AB206" s="150">
        <f t="shared" si="60"/>
        <v>-44508.41578652517</v>
      </c>
      <c r="AC206" s="150">
        <f t="shared" si="60"/>
        <v>-87557.33016305088</v>
      </c>
      <c r="AD206" s="150">
        <f t="shared" si="60"/>
        <v>-132166.36181377104</v>
      </c>
      <c r="AE206" s="150">
        <f t="shared" si="60"/>
        <v>-178416.59756811717</v>
      </c>
      <c r="AF206" s="150">
        <f t="shared" si="60"/>
        <v>-226393.21867573156</v>
      </c>
      <c r="AG206" s="150">
        <f t="shared" si="60"/>
        <v>-276185.7163428381</v>
      </c>
    </row>
    <row r="207" spans="2:33" ht="12.75">
      <c r="B207" s="152" t="s">
        <v>146</v>
      </c>
      <c r="C207" s="150"/>
      <c r="D207" s="150">
        <f aca="true" t="shared" si="61" ref="D207:AG207">+D206*uFederalTax</f>
        <v>45230.569040360926</v>
      </c>
      <c r="E207" s="150">
        <f t="shared" si="61"/>
        <v>84096.70360825582</v>
      </c>
      <c r="F207" s="150">
        <f t="shared" si="61"/>
        <v>113922.35198955708</v>
      </c>
      <c r="G207" s="150">
        <f t="shared" si="61"/>
        <v>123709.5090749664</v>
      </c>
      <c r="H207" s="150">
        <f t="shared" si="61"/>
        <v>117638.78301666204</v>
      </c>
      <c r="I207" s="150">
        <f t="shared" si="61"/>
        <v>144500.69245975898</v>
      </c>
      <c r="J207" s="150">
        <f t="shared" si="61"/>
        <v>142932.69509709696</v>
      </c>
      <c r="K207" s="150">
        <f t="shared" si="61"/>
        <v>136502.86046293427</v>
      </c>
      <c r="L207" s="150">
        <f t="shared" si="61"/>
        <v>129939.74808770655</v>
      </c>
      <c r="M207" s="150">
        <f t="shared" si="61"/>
        <v>123236.0687105194</v>
      </c>
      <c r="N207" s="150">
        <f t="shared" si="61"/>
        <v>116384.2100204803</v>
      </c>
      <c r="O207" s="150">
        <f t="shared" si="61"/>
        <v>109376.2210123333</v>
      </c>
      <c r="P207" s="150">
        <f t="shared" si="61"/>
        <v>102203.79557613384</v>
      </c>
      <c r="Q207" s="150">
        <f t="shared" si="61"/>
        <v>94858.25528289443</v>
      </c>
      <c r="R207" s="150">
        <f t="shared" si="61"/>
        <v>87330.5313262286</v>
      </c>
      <c r="S207" s="150">
        <f t="shared" si="61"/>
        <v>79611.14557802696</v>
      </c>
      <c r="T207" s="150">
        <f t="shared" si="61"/>
        <v>70630.2247254866</v>
      </c>
      <c r="U207" s="150">
        <f t="shared" si="61"/>
        <v>61373.77942701008</v>
      </c>
      <c r="V207" s="150">
        <f t="shared" si="61"/>
        <v>51827.164511930925</v>
      </c>
      <c r="W207" s="150">
        <f t="shared" si="61"/>
        <v>41975.010983381755</v>
      </c>
      <c r="X207" s="150">
        <f t="shared" si="61"/>
        <v>31801.18820041877</v>
      </c>
      <c r="Y207" s="150">
        <f t="shared" si="61"/>
        <v>21288.7640503362</v>
      </c>
      <c r="Z207" s="150">
        <f t="shared" si="61"/>
        <v>10419.963002711189</v>
      </c>
      <c r="AA207" s="150">
        <f t="shared" si="61"/>
        <v>-823.8780691871956</v>
      </c>
      <c r="AB207" s="150">
        <f t="shared" si="61"/>
        <v>-12462.356420227048</v>
      </c>
      <c r="AC207" s="150">
        <f t="shared" si="61"/>
        <v>-24516.052445654248</v>
      </c>
      <c r="AD207" s="150">
        <f t="shared" si="61"/>
        <v>-37006.58130785589</v>
      </c>
      <c r="AE207" s="150">
        <f t="shared" si="61"/>
        <v>-49956.647319072814</v>
      </c>
      <c r="AF207" s="150">
        <f t="shared" si="61"/>
        <v>-63390.10122920485</v>
      </c>
      <c r="AG207" s="150">
        <f t="shared" si="61"/>
        <v>-77332.00057599467</v>
      </c>
    </row>
    <row r="208" spans="2:33" ht="12.75">
      <c r="B208" s="152" t="s">
        <v>147</v>
      </c>
      <c r="C208" s="150"/>
      <c r="D208" s="150">
        <f>D113</f>
        <v>0</v>
      </c>
      <c r="E208" s="150">
        <f aca="true" t="shared" si="62" ref="E208:AG208">E113</f>
        <v>0</v>
      </c>
      <c r="F208" s="150">
        <f t="shared" si="62"/>
        <v>0</v>
      </c>
      <c r="G208" s="150">
        <f t="shared" si="62"/>
        <v>0</v>
      </c>
      <c r="H208" s="150">
        <f t="shared" si="62"/>
        <v>0</v>
      </c>
      <c r="I208" s="150">
        <f t="shared" si="62"/>
        <v>0</v>
      </c>
      <c r="J208" s="150">
        <f t="shared" si="62"/>
        <v>0</v>
      </c>
      <c r="K208" s="150">
        <f t="shared" si="62"/>
        <v>0</v>
      </c>
      <c r="L208" s="150">
        <f t="shared" si="62"/>
        <v>0</v>
      </c>
      <c r="M208" s="150">
        <f t="shared" si="62"/>
        <v>0</v>
      </c>
      <c r="N208" s="150">
        <f t="shared" si="62"/>
        <v>0</v>
      </c>
      <c r="O208" s="150">
        <f t="shared" si="62"/>
        <v>0</v>
      </c>
      <c r="P208" s="150">
        <f t="shared" si="62"/>
        <v>0</v>
      </c>
      <c r="Q208" s="150">
        <f t="shared" si="62"/>
        <v>0</v>
      </c>
      <c r="R208" s="150">
        <f t="shared" si="62"/>
        <v>0</v>
      </c>
      <c r="S208" s="150">
        <f t="shared" si="62"/>
        <v>0</v>
      </c>
      <c r="T208" s="150">
        <f t="shared" si="62"/>
        <v>0</v>
      </c>
      <c r="U208" s="150">
        <f t="shared" si="62"/>
        <v>0</v>
      </c>
      <c r="V208" s="150">
        <f t="shared" si="62"/>
        <v>0</v>
      </c>
      <c r="W208" s="150">
        <f t="shared" si="62"/>
        <v>0</v>
      </c>
      <c r="X208" s="150">
        <f t="shared" si="62"/>
        <v>0</v>
      </c>
      <c r="Y208" s="150">
        <f t="shared" si="62"/>
        <v>0</v>
      </c>
      <c r="Z208" s="150">
        <f t="shared" si="62"/>
        <v>0</v>
      </c>
      <c r="AA208" s="150">
        <f t="shared" si="62"/>
        <v>0</v>
      </c>
      <c r="AB208" s="150">
        <f t="shared" si="62"/>
        <v>0</v>
      </c>
      <c r="AC208" s="150">
        <f t="shared" si="62"/>
        <v>0</v>
      </c>
      <c r="AD208" s="150">
        <f t="shared" si="62"/>
        <v>0</v>
      </c>
      <c r="AE208" s="150">
        <f t="shared" si="62"/>
        <v>0</v>
      </c>
      <c r="AF208" s="150">
        <f t="shared" si="62"/>
        <v>0</v>
      </c>
      <c r="AG208" s="150">
        <f t="shared" si="62"/>
        <v>0</v>
      </c>
    </row>
    <row r="209" spans="2:33" ht="12.75">
      <c r="B209" s="153" t="s">
        <v>148</v>
      </c>
      <c r="C209" s="150"/>
      <c r="D209" s="150">
        <f>uFedITCAmount</f>
        <v>0</v>
      </c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</row>
    <row r="210" spans="2:33" ht="12.75">
      <c r="B210" s="153" t="s">
        <v>149</v>
      </c>
      <c r="C210" s="150"/>
      <c r="D210" s="150">
        <f>+D208+D209-D207</f>
        <v>-45230.569040360926</v>
      </c>
      <c r="E210" s="150">
        <f aca="true" t="shared" si="63" ref="E210:AG210">+E208-E207</f>
        <v>-84096.70360825582</v>
      </c>
      <c r="F210" s="150">
        <f t="shared" si="63"/>
        <v>-113922.35198955708</v>
      </c>
      <c r="G210" s="150">
        <f t="shared" si="63"/>
        <v>-123709.5090749664</v>
      </c>
      <c r="H210" s="150">
        <f t="shared" si="63"/>
        <v>-117638.78301666204</v>
      </c>
      <c r="I210" s="150">
        <f t="shared" si="63"/>
        <v>-144500.69245975898</v>
      </c>
      <c r="J210" s="150">
        <f t="shared" si="63"/>
        <v>-142932.69509709696</v>
      </c>
      <c r="K210" s="150">
        <f t="shared" si="63"/>
        <v>-136502.86046293427</v>
      </c>
      <c r="L210" s="150">
        <f t="shared" si="63"/>
        <v>-129939.74808770655</v>
      </c>
      <c r="M210" s="150">
        <f t="shared" si="63"/>
        <v>-123236.0687105194</v>
      </c>
      <c r="N210" s="150">
        <f t="shared" si="63"/>
        <v>-116384.2100204803</v>
      </c>
      <c r="O210" s="150">
        <f t="shared" si="63"/>
        <v>-109376.2210123333</v>
      </c>
      <c r="P210" s="150">
        <f t="shared" si="63"/>
        <v>-102203.79557613384</v>
      </c>
      <c r="Q210" s="150">
        <f t="shared" si="63"/>
        <v>-94858.25528289443</v>
      </c>
      <c r="R210" s="150">
        <f t="shared" si="63"/>
        <v>-87330.5313262286</v>
      </c>
      <c r="S210" s="150">
        <f t="shared" si="63"/>
        <v>-79611.14557802696</v>
      </c>
      <c r="T210" s="150">
        <f t="shared" si="63"/>
        <v>-70630.2247254866</v>
      </c>
      <c r="U210" s="150">
        <f t="shared" si="63"/>
        <v>-61373.77942701008</v>
      </c>
      <c r="V210" s="150">
        <f t="shared" si="63"/>
        <v>-51827.164511930925</v>
      </c>
      <c r="W210" s="150">
        <f t="shared" si="63"/>
        <v>-41975.010983381755</v>
      </c>
      <c r="X210" s="150">
        <f t="shared" si="63"/>
        <v>-31801.18820041877</v>
      </c>
      <c r="Y210" s="150">
        <f t="shared" si="63"/>
        <v>-21288.7640503362</v>
      </c>
      <c r="Z210" s="150">
        <f t="shared" si="63"/>
        <v>-10419.963002711189</v>
      </c>
      <c r="AA210" s="150">
        <f t="shared" si="63"/>
        <v>823.8780691871956</v>
      </c>
      <c r="AB210" s="150">
        <f t="shared" si="63"/>
        <v>12462.356420227048</v>
      </c>
      <c r="AC210" s="150">
        <f t="shared" si="63"/>
        <v>24516.052445654248</v>
      </c>
      <c r="AD210" s="150">
        <f t="shared" si="63"/>
        <v>37006.58130785589</v>
      </c>
      <c r="AE210" s="150">
        <f t="shared" si="63"/>
        <v>49956.647319072814</v>
      </c>
      <c r="AF210" s="150">
        <f t="shared" si="63"/>
        <v>63390.10122920485</v>
      </c>
      <c r="AG210" s="150">
        <f t="shared" si="63"/>
        <v>77332.00057599467</v>
      </c>
    </row>
    <row r="211" spans="2:33" ht="12.75">
      <c r="B211" s="146" t="s">
        <v>142</v>
      </c>
      <c r="C211" s="150"/>
      <c r="D211" s="150">
        <f>+D182+D210</f>
        <v>-57389.32415873752</v>
      </c>
      <c r="E211" s="150">
        <f aca="true" t="shared" si="64" ref="E211:AG211">+E182+E210</f>
        <v>-106703.3443631633</v>
      </c>
      <c r="F211" s="150">
        <f t="shared" si="64"/>
        <v>-144546.64015879284</v>
      </c>
      <c r="G211" s="150">
        <f t="shared" si="64"/>
        <v>-156964.75344995735</v>
      </c>
      <c r="H211" s="150">
        <f t="shared" si="64"/>
        <v>-149262.11178458194</v>
      </c>
      <c r="I211" s="150">
        <f t="shared" si="64"/>
        <v>-183344.96462636086</v>
      </c>
      <c r="J211" s="150">
        <f t="shared" si="64"/>
        <v>-181355.4625963166</v>
      </c>
      <c r="K211" s="150">
        <f t="shared" si="64"/>
        <v>-173197.17779168003</v>
      </c>
      <c r="L211" s="150">
        <f t="shared" si="64"/>
        <v>-164869.78789622983</v>
      </c>
      <c r="M211" s="150">
        <f t="shared" si="64"/>
        <v>-156364.04417033645</v>
      </c>
      <c r="N211" s="150">
        <f t="shared" si="64"/>
        <v>-147670.28798297502</v>
      </c>
      <c r="O211" s="150">
        <f t="shared" si="64"/>
        <v>-138778.43096188526</v>
      </c>
      <c r="P211" s="150">
        <f t="shared" si="64"/>
        <v>-129677.93417186874</v>
      </c>
      <c r="Q211" s="150">
        <f t="shared" si="64"/>
        <v>-120357.78627291982</v>
      </c>
      <c r="R211" s="150">
        <f t="shared" si="64"/>
        <v>-110806.48060747285</v>
      </c>
      <c r="S211" s="150">
        <f t="shared" si="64"/>
        <v>-101011.99116351808</v>
      </c>
      <c r="T211" s="150">
        <f t="shared" si="64"/>
        <v>-89616.84427534859</v>
      </c>
      <c r="U211" s="150">
        <f t="shared" si="64"/>
        <v>-77872.10722996978</v>
      </c>
      <c r="V211" s="150">
        <f t="shared" si="64"/>
        <v>-65759.1979828801</v>
      </c>
      <c r="W211" s="150">
        <f t="shared" si="64"/>
        <v>-53258.61608644137</v>
      </c>
      <c r="X211" s="150">
        <f t="shared" si="64"/>
        <v>-40349.89470590768</v>
      </c>
      <c r="Y211" s="150">
        <f t="shared" si="64"/>
        <v>-27011.550085372815</v>
      </c>
      <c r="Z211" s="150">
        <f t="shared" si="64"/>
        <v>-13221.028326020649</v>
      </c>
      <c r="AA211" s="150">
        <f t="shared" si="64"/>
        <v>1045.3506684310653</v>
      </c>
      <c r="AB211" s="150">
        <f t="shared" si="64"/>
        <v>15812.45223211604</v>
      </c>
      <c r="AC211" s="150">
        <f t="shared" si="64"/>
        <v>31106.389124593563</v>
      </c>
      <c r="AD211" s="150">
        <f t="shared" si="64"/>
        <v>46954.587035774144</v>
      </c>
      <c r="AE211" s="150">
        <f t="shared" si="64"/>
        <v>63385.85358764078</v>
      </c>
      <c r="AF211" s="150">
        <f t="shared" si="64"/>
        <v>80430.45102200186</v>
      </c>
      <c r="AG211" s="150">
        <f t="shared" si="64"/>
        <v>98120.1727738427</v>
      </c>
    </row>
    <row r="212" spans="2:33" ht="12.75">
      <c r="B212" s="146" t="s">
        <v>141</v>
      </c>
      <c r="C212" s="28">
        <f>-C149+C182+C210</f>
        <v>-658900</v>
      </c>
      <c r="D212" s="150">
        <f aca="true" t="shared" si="65" ref="D212:AG212">(D145+D182+D210-D155+D114+D119+D122+D125)</f>
        <v>602029.0123622011</v>
      </c>
      <c r="E212" s="150">
        <f t="shared" si="65"/>
        <v>528870.0113408644</v>
      </c>
      <c r="F212" s="150">
        <f t="shared" si="65"/>
        <v>466712.9364451029</v>
      </c>
      <c r="G212" s="150">
        <f t="shared" si="65"/>
        <v>429484.4685444728</v>
      </c>
      <c r="H212" s="150">
        <f t="shared" si="65"/>
        <v>411851.1014499351</v>
      </c>
      <c r="I212" s="150">
        <f t="shared" si="65"/>
        <v>351876.13849660987</v>
      </c>
      <c r="J212" s="150">
        <f t="shared" si="65"/>
        <v>327385.54263719835</v>
      </c>
      <c r="K212" s="150">
        <f t="shared" si="65"/>
        <v>308442.34174974554</v>
      </c>
      <c r="L212" s="150">
        <f t="shared" si="65"/>
        <v>289011.8662470062</v>
      </c>
      <c r="M212" s="150">
        <f t="shared" si="65"/>
        <v>269066.6986898135</v>
      </c>
      <c r="N212" s="150">
        <f t="shared" si="65"/>
        <v>248578.07052147886</v>
      </c>
      <c r="O212" s="150">
        <f t="shared" si="65"/>
        <v>227515.79061437256</v>
      </c>
      <c r="P212" s="150">
        <f t="shared" si="65"/>
        <v>205848.1699733906</v>
      </c>
      <c r="Q212" s="150">
        <f t="shared" si="65"/>
        <v>183541.94238600347</v>
      </c>
      <c r="R212" s="150">
        <f t="shared" si="65"/>
        <v>160562.18079694785</v>
      </c>
      <c r="S212" s="150">
        <f t="shared" si="65"/>
        <v>204714.3743434979</v>
      </c>
      <c r="T212" s="150">
        <f t="shared" si="65"/>
        <v>181620.5778655369</v>
      </c>
      <c r="U212" s="150">
        <f t="shared" si="65"/>
        <v>157818.28995516876</v>
      </c>
      <c r="V212" s="150">
        <f t="shared" si="65"/>
        <v>133269.85160210807</v>
      </c>
      <c r="W212" s="150">
        <f t="shared" si="65"/>
        <v>107935.74252869592</v>
      </c>
      <c r="X212" s="150">
        <f t="shared" si="65"/>
        <v>81774.48394393397</v>
      </c>
      <c r="Y212" s="150">
        <f t="shared" si="65"/>
        <v>54742.53612943593</v>
      </c>
      <c r="Z212" s="150">
        <f t="shared" si="65"/>
        <v>26794.190578400197</v>
      </c>
      <c r="AA212" s="150">
        <f t="shared" si="65"/>
        <v>-2118.54360648136</v>
      </c>
      <c r="AB212" s="150">
        <f t="shared" si="65"/>
        <v>-32046.05936629812</v>
      </c>
      <c r="AC212" s="150">
        <f t="shared" si="65"/>
        <v>-63041.27771739663</v>
      </c>
      <c r="AD212" s="150">
        <f t="shared" si="65"/>
        <v>-95159.78050591514</v>
      </c>
      <c r="AE212" s="150">
        <f t="shared" si="65"/>
        <v>-128459.95024904436</v>
      </c>
      <c r="AF212" s="150">
        <f t="shared" si="65"/>
        <v>-163003.1174465267</v>
      </c>
      <c r="AG212" s="150">
        <f t="shared" si="65"/>
        <v>-198853.7157668434</v>
      </c>
    </row>
    <row r="213" spans="2:33" ht="12.75">
      <c r="B213" s="146" t="s">
        <v>203</v>
      </c>
      <c r="C213" s="28">
        <f>-C149+C182+C210</f>
        <v>-658900</v>
      </c>
      <c r="D213" s="150">
        <f>(-D143+D182+D210-D155+D114+D119+D122+D125)</f>
        <v>-456877.489328893</v>
      </c>
      <c r="E213" s="150">
        <f aca="true" t="shared" si="66" ref="E213:AG213">(-E143+E182+E210-E155+E114+E119+E122+E125)</f>
        <v>-519447.42533331877</v>
      </c>
      <c r="F213" s="150">
        <f t="shared" si="66"/>
        <v>-571121.3258623384</v>
      </c>
      <c r="G213" s="150">
        <f t="shared" si="66"/>
        <v>-597971.4511398938</v>
      </c>
      <c r="H213" s="150">
        <f t="shared" si="66"/>
        <v>-605330.2590375879</v>
      </c>
      <c r="I213" s="150">
        <f t="shared" si="66"/>
        <v>-655133.408386038</v>
      </c>
      <c r="J213" s="150">
        <f t="shared" si="66"/>
        <v>-669553.9087766231</v>
      </c>
      <c r="K213" s="150">
        <f t="shared" si="66"/>
        <v>-678527.7151499375</v>
      </c>
      <c r="L213" s="150">
        <f t="shared" si="66"/>
        <v>-688088.4900836799</v>
      </c>
      <c r="M213" s="150">
        <f t="shared" si="66"/>
        <v>-698262.6540775659</v>
      </c>
      <c r="N213" s="150">
        <f t="shared" si="66"/>
        <v>-709077.9887182268</v>
      </c>
      <c r="O213" s="150">
        <f t="shared" si="66"/>
        <v>-720563.708032936</v>
      </c>
      <c r="P213" s="150">
        <f t="shared" si="66"/>
        <v>-732750.533687445</v>
      </c>
      <c r="Q213" s="150">
        <f t="shared" si="66"/>
        <v>-745670.7742382236</v>
      </c>
      <c r="R213" s="150">
        <f t="shared" si="66"/>
        <v>-759358.4086610369</v>
      </c>
      <c r="S213" s="150">
        <f t="shared" si="66"/>
        <v>-706007.0092199071</v>
      </c>
      <c r="T213" s="150">
        <f t="shared" si="66"/>
        <v>-719993.5918622339</v>
      </c>
      <c r="U213" s="150">
        <f t="shared" si="66"/>
        <v>-734779.7380753245</v>
      </c>
      <c r="V213" s="150">
        <f t="shared" si="66"/>
        <v>-750402.19614808</v>
      </c>
      <c r="W213" s="150">
        <f t="shared" si="66"/>
        <v>-766899.5847439903</v>
      </c>
      <c r="X213" s="150">
        <f t="shared" si="66"/>
        <v>-784312.4900560254</v>
      </c>
      <c r="Y213" s="150">
        <f t="shared" si="66"/>
        <v>-802683.568130524</v>
      </c>
      <c r="Z213" s="150">
        <f t="shared" si="66"/>
        <v>-822057.65263896</v>
      </c>
      <c r="AA213" s="150">
        <f t="shared" si="66"/>
        <v>-842481.8683916681</v>
      </c>
      <c r="AB213" s="150">
        <f t="shared" si="66"/>
        <v>-864005.7509036327</v>
      </c>
      <c r="AC213" s="150">
        <f t="shared" si="66"/>
        <v>-886681.372339358</v>
      </c>
      <c r="AD213" s="150">
        <f t="shared" si="66"/>
        <v>-910563.474181657</v>
      </c>
      <c r="AE213" s="150">
        <f t="shared" si="66"/>
        <v>-935709.6069880287</v>
      </c>
      <c r="AF213" s="150">
        <f t="shared" si="66"/>
        <v>-962180.2776181212</v>
      </c>
      <c r="AG213" s="150">
        <f t="shared" si="66"/>
        <v>-990039.1043367218</v>
      </c>
    </row>
    <row r="214" spans="2:33" ht="12.75">
      <c r="B214" s="146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</row>
    <row r="215" spans="2:33" ht="12.75">
      <c r="B215" s="146" t="s">
        <v>137</v>
      </c>
      <c r="D215" s="154">
        <f>IF(D129&gt;uLoanTerm,"",IF(D155&lt;&gt;0,D145/D155,"N/A"))</f>
        <v>10.719889317610162</v>
      </c>
      <c r="E215" s="154">
        <f aca="true" t="shared" si="67" ref="E215:AG215">IF(E129&gt;uLoanTerm,"",IF(E155&lt;&gt;0,E145/E155,"N/A"))</f>
        <v>10.368412020900879</v>
      </c>
      <c r="F215" s="154">
        <f t="shared" si="67"/>
        <v>10.010024592682008</v>
      </c>
      <c r="G215" s="154">
        <f t="shared" si="67"/>
        <v>9.644317593985274</v>
      </c>
      <c r="H215" s="154">
        <f t="shared" si="67"/>
        <v>9.270862402860882</v>
      </c>
      <c r="I215" s="154">
        <f t="shared" si="67"/>
        <v>8.88921022465274</v>
      </c>
      <c r="J215" s="154">
        <f t="shared" si="67"/>
        <v>8.498891050389346</v>
      </c>
      <c r="K215" s="154">
        <f t="shared" si="67"/>
        <v>8.099412560513384</v>
      </c>
      <c r="L215" s="154">
        <f t="shared" si="67"/>
        <v>7.690258971022693</v>
      </c>
      <c r="M215" s="154">
        <f t="shared" si="67"/>
        <v>7.2708898189366975</v>
      </c>
      <c r="N215" s="154">
        <f t="shared" si="67"/>
        <v>6.840738683835046</v>
      </c>
      <c r="O215" s="154">
        <f t="shared" si="67"/>
        <v>6.39921184203883</v>
      </c>
      <c r="P215" s="154">
        <f t="shared" si="67"/>
        <v>5.945686849818598</v>
      </c>
      <c r="Q215" s="154">
        <f t="shared" si="67"/>
        <v>5.479511051817256</v>
      </c>
      <c r="R215" s="154">
        <f t="shared" si="67"/>
        <v>5.000000010668862</v>
      </c>
      <c r="S215" s="154">
        <f t="shared" si="67"/>
      </c>
      <c r="T215" s="154">
        <f t="shared" si="67"/>
      </c>
      <c r="U215" s="154">
        <f t="shared" si="67"/>
      </c>
      <c r="V215" s="154">
        <f t="shared" si="67"/>
      </c>
      <c r="W215" s="154">
        <f t="shared" si="67"/>
      </c>
      <c r="X215" s="154">
        <f t="shared" si="67"/>
      </c>
      <c r="Y215" s="154">
        <f t="shared" si="67"/>
      </c>
      <c r="Z215" s="154">
        <f t="shared" si="67"/>
      </c>
      <c r="AA215" s="154">
        <f t="shared" si="67"/>
      </c>
      <c r="AB215" s="154">
        <f t="shared" si="67"/>
      </c>
      <c r="AC215" s="154">
        <f t="shared" si="67"/>
      </c>
      <c r="AD215" s="154">
        <f t="shared" si="67"/>
      </c>
      <c r="AE215" s="154">
        <f t="shared" si="67"/>
      </c>
      <c r="AF215" s="154">
        <f t="shared" si="67"/>
      </c>
      <c r="AG215" s="154">
        <f t="shared" si="67"/>
      </c>
    </row>
    <row r="216" ht="12.75">
      <c r="B216" s="12"/>
    </row>
    <row r="217" ht="12.75">
      <c r="B217" s="12"/>
    </row>
    <row r="218" spans="2:4" ht="12.75">
      <c r="B218" s="12"/>
      <c r="D218" s="150"/>
    </row>
    <row r="219" ht="12.75">
      <c r="B219" s="12"/>
    </row>
    <row r="220" spans="2:4" ht="12.75">
      <c r="B220" s="12"/>
      <c r="D220" s="150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</sheetData>
  <sheetProtection/>
  <protectedRanges>
    <protectedRange sqref="C16:C17 F15 C35:C36 C26:C28 C30:C31 C23 C19:C21 C33" name="Inputs"/>
    <protectedRange sqref="F19 F21" name="Inputs_1"/>
    <protectedRange sqref="F28 F30 F32 F34" name="Inputs_2"/>
    <protectedRange sqref="C48" name="Inputs_3"/>
    <protectedRange sqref="B66:B69 B79:B80" name="Inputs_1_1"/>
  </protectedRanges>
  <mergeCells count="8">
    <mergeCell ref="B63:B64"/>
    <mergeCell ref="C63:I64"/>
    <mergeCell ref="J63:K63"/>
    <mergeCell ref="L63:O63"/>
    <mergeCell ref="B7:F7"/>
    <mergeCell ref="B12:F12"/>
    <mergeCell ref="B46:F46"/>
    <mergeCell ref="B49:F49"/>
  </mergeCells>
  <conditionalFormatting sqref="D67">
    <cfRule type="expression" priority="1" dxfId="0" stopIfTrue="1">
      <formula>$B$67="Fixed"</formula>
    </cfRule>
  </conditionalFormatting>
  <conditionalFormatting sqref="D68">
    <cfRule type="expression" priority="2" dxfId="0" stopIfTrue="1">
      <formula>$B$68="Fixed"</formula>
    </cfRule>
  </conditionalFormatting>
  <conditionalFormatting sqref="D69">
    <cfRule type="expression" priority="3" dxfId="0" stopIfTrue="1">
      <formula>$B$69="Fixed"</formula>
    </cfRule>
  </conditionalFormatting>
  <conditionalFormatting sqref="D79">
    <cfRule type="expression" priority="4" dxfId="0" stopIfTrue="1">
      <formula>$B$79="Fixed"</formula>
    </cfRule>
  </conditionalFormatting>
  <conditionalFormatting sqref="D80">
    <cfRule type="expression" priority="5" dxfId="0" stopIfTrue="1">
      <formula>$B$80="Fixed"</formula>
    </cfRule>
  </conditionalFormatting>
  <conditionalFormatting sqref="D66">
    <cfRule type="expression" priority="6" dxfId="0" stopIfTrue="1">
      <formula>$B$66="Fixed"</formula>
    </cfRule>
  </conditionalFormatting>
  <dataValidations count="3">
    <dataValidation type="list" allowBlank="1" showInputMessage="1" showErrorMessage="1" sqref="C37">
      <formula1>"yes,no"</formula1>
    </dataValidation>
    <dataValidation type="list" allowBlank="1" showInputMessage="1" showErrorMessage="1" sqref="B79:B80 B66:B69">
      <formula1>"Percent w/ Maximum, Fixed"</formula1>
    </dataValidation>
    <dataValidation type="list" allowBlank="1" showInputMessage="1" showErrorMessage="1" sqref="C24 C30:C31 D25:D27">
      <formula1>"None,MACRS (MidQuarter),MACRS (HalfYear)"</formula1>
    </dataValidation>
  </dataValidations>
  <hyperlinks>
    <hyperlink ref="E71" r:id="rId1" display="$/@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48"/>
  <sheetViews>
    <sheetView workbookViewId="0" topLeftCell="A1">
      <selection activeCell="B4" sqref="A4:B4"/>
    </sheetView>
  </sheetViews>
  <sheetFormatPr defaultColWidth="9.140625" defaultRowHeight="12.75"/>
  <cols>
    <col min="1" max="1" width="16.140625" style="0" customWidth="1"/>
    <col min="2" max="2" width="60.57421875" style="0" customWidth="1"/>
  </cols>
  <sheetData>
    <row r="1" ht="12.75">
      <c r="B1" s="63"/>
    </row>
    <row r="3" spans="1:2" ht="12.75">
      <c r="A3" s="3" t="s">
        <v>187</v>
      </c>
      <c r="B3" t="s">
        <v>188</v>
      </c>
    </row>
    <row r="4" spans="1:2" ht="12.75">
      <c r="A4" s="163">
        <v>-1</v>
      </c>
      <c r="B4" s="162" t="e">
        <f aca="true" t="shared" si="0" ref="B4:B45">NPV(A4,uCashflow)+cashflow_0</f>
        <v>#DIV/0!</v>
      </c>
    </row>
    <row r="5" spans="1:2" ht="12.75">
      <c r="A5" s="163">
        <v>-0.95</v>
      </c>
      <c r="B5" s="162">
        <f t="shared" si="0"/>
        <v>-2.2262675271797653E+44</v>
      </c>
    </row>
    <row r="6" spans="1:2" ht="12.75">
      <c r="A6" s="163">
        <v>-0.9</v>
      </c>
      <c r="B6" s="162">
        <f t="shared" si="0"/>
        <v>-2.1654041018047954E+35</v>
      </c>
    </row>
    <row r="7" spans="1:2" ht="12.75">
      <c r="A7" s="163">
        <v>-0.85</v>
      </c>
      <c r="B7" s="162">
        <f t="shared" si="0"/>
        <v>-1.1814798102790742E+30</v>
      </c>
    </row>
    <row r="8" spans="1:2" ht="12.75">
      <c r="A8" s="163">
        <v>-0.8</v>
      </c>
      <c r="B8" s="162">
        <f t="shared" si="0"/>
        <v>-2.2115626585454037E+26</v>
      </c>
    </row>
    <row r="9" spans="1:2" ht="12.75">
      <c r="A9" s="163">
        <v>-0.75</v>
      </c>
      <c r="B9" s="162">
        <f t="shared" si="0"/>
        <v>-2.8753314727714782E+23</v>
      </c>
    </row>
    <row r="10" spans="1:2" ht="12.75">
      <c r="A10" s="163">
        <v>-0.7</v>
      </c>
      <c r="B10" s="162">
        <f t="shared" si="0"/>
        <v>-1.2747676306482473E+21</v>
      </c>
    </row>
    <row r="11" spans="1:2" ht="12.75">
      <c r="A11" s="163">
        <v>-0.65</v>
      </c>
      <c r="B11" s="162">
        <f t="shared" si="0"/>
        <v>-1.3186268939401748E+19</v>
      </c>
    </row>
    <row r="12" spans="1:2" ht="12.75">
      <c r="A12" s="163">
        <v>-0.6</v>
      </c>
      <c r="B12" s="162">
        <f t="shared" si="0"/>
        <v>-2.5372639432652323E+17</v>
      </c>
    </row>
    <row r="13" spans="1:2" ht="12.75">
      <c r="A13" s="163">
        <v>-0.55</v>
      </c>
      <c r="B13" s="162">
        <f t="shared" si="0"/>
        <v>-7845803025307427</v>
      </c>
    </row>
    <row r="14" spans="1:2" ht="12.75">
      <c r="A14" s="163">
        <v>-0.5</v>
      </c>
      <c r="B14" s="162">
        <f t="shared" si="0"/>
        <v>-352726479103989.3</v>
      </c>
    </row>
    <row r="15" spans="1:2" ht="12.75">
      <c r="A15" s="163">
        <v>-0.45</v>
      </c>
      <c r="B15" s="162">
        <f t="shared" si="0"/>
        <v>-21453225783857.484</v>
      </c>
    </row>
    <row r="16" spans="1:2" ht="12.75">
      <c r="A16" s="163">
        <v>-0.399999999999999</v>
      </c>
      <c r="B16" s="162">
        <f t="shared" si="0"/>
        <v>-1671920374635.1682</v>
      </c>
    </row>
    <row r="17" spans="1:2" ht="12.75">
      <c r="A17" s="163">
        <v>-0.349999999999999</v>
      </c>
      <c r="B17" s="162">
        <f t="shared" si="0"/>
        <v>-159838699064.1123</v>
      </c>
    </row>
    <row r="18" spans="1:2" ht="12.75">
      <c r="A18" s="163">
        <v>-0.299999999999999</v>
      </c>
      <c r="B18" s="162">
        <f t="shared" si="0"/>
        <v>-18027138748.167675</v>
      </c>
    </row>
    <row r="19" spans="1:2" ht="12.75">
      <c r="A19" s="163">
        <v>-0.249999999999999</v>
      </c>
      <c r="B19" s="162">
        <f t="shared" si="0"/>
        <v>-2295199490.704116</v>
      </c>
    </row>
    <row r="20" spans="1:2" ht="12.75">
      <c r="A20" s="163">
        <v>-0.199999999999999</v>
      </c>
      <c r="B20" s="162">
        <f t="shared" si="0"/>
        <v>-305773839.2088612</v>
      </c>
    </row>
    <row r="21" spans="1:3" ht="12.75">
      <c r="A21" s="163">
        <v>-0.149999999999999</v>
      </c>
      <c r="B21" s="162">
        <f t="shared" si="0"/>
        <v>-33067648.60395398</v>
      </c>
      <c r="C21" s="12"/>
    </row>
    <row r="22" spans="1:2" ht="12.75">
      <c r="A22" s="163">
        <v>-0.099999999999999</v>
      </c>
      <c r="B22" s="162">
        <f t="shared" si="0"/>
        <v>3259560.5137769314</v>
      </c>
    </row>
    <row r="23" spans="1:2" ht="12.75">
      <c r="A23" s="163">
        <v>-0.049999999999999</v>
      </c>
      <c r="B23" s="162">
        <f t="shared" si="0"/>
        <v>5984473.6904359935</v>
      </c>
    </row>
    <row r="24" spans="1:2" ht="12.75">
      <c r="A24" s="163">
        <v>0</v>
      </c>
      <c r="B24" s="162">
        <f t="shared" si="0"/>
        <v>4617863.8745434135</v>
      </c>
    </row>
    <row r="25" spans="1:2" ht="12.75">
      <c r="A25" s="163">
        <v>0.05</v>
      </c>
      <c r="B25" s="162">
        <f t="shared" si="0"/>
        <v>3297067.99223106</v>
      </c>
    </row>
    <row r="26" spans="1:2" ht="12.75">
      <c r="A26" s="163">
        <v>0.1</v>
      </c>
      <c r="B26" s="162">
        <f t="shared" si="0"/>
        <v>2389209.4657784915</v>
      </c>
    </row>
    <row r="27" spans="1:2" ht="12.75">
      <c r="A27" s="163">
        <v>0.15</v>
      </c>
      <c r="B27" s="162">
        <f t="shared" si="0"/>
        <v>1783595.018707354</v>
      </c>
    </row>
    <row r="28" spans="1:2" ht="12.75">
      <c r="A28" s="163">
        <v>0.2</v>
      </c>
      <c r="B28" s="162">
        <f t="shared" si="0"/>
        <v>1367425.3143603231</v>
      </c>
    </row>
    <row r="29" spans="1:2" ht="12.75">
      <c r="A29" s="163">
        <v>0.25</v>
      </c>
      <c r="B29" s="162">
        <f t="shared" si="0"/>
        <v>1069261.9142057032</v>
      </c>
    </row>
    <row r="30" spans="1:2" ht="12.75">
      <c r="A30" s="163">
        <v>0.3</v>
      </c>
      <c r="B30" s="162">
        <f t="shared" si="0"/>
        <v>846945.2728134021</v>
      </c>
    </row>
    <row r="31" spans="1:2" ht="12.75">
      <c r="A31" s="163">
        <v>0.35</v>
      </c>
      <c r="B31" s="162">
        <f t="shared" si="0"/>
        <v>675379.6830929569</v>
      </c>
    </row>
    <row r="32" spans="1:2" ht="12.75">
      <c r="A32" s="163">
        <v>0.4</v>
      </c>
      <c r="B32" s="162">
        <f t="shared" si="0"/>
        <v>539137.7085741977</v>
      </c>
    </row>
    <row r="33" spans="1:2" ht="12.75">
      <c r="A33" s="163">
        <v>0.45</v>
      </c>
      <c r="B33" s="162">
        <f t="shared" si="0"/>
        <v>428365.57274886756</v>
      </c>
    </row>
    <row r="34" spans="1:2" ht="12.75">
      <c r="A34" s="163">
        <v>0.5</v>
      </c>
      <c r="B34" s="162">
        <f t="shared" si="0"/>
        <v>336528.32959440036</v>
      </c>
    </row>
    <row r="35" spans="1:2" ht="12.75">
      <c r="A35" s="163">
        <v>0.55</v>
      </c>
      <c r="B35" s="162">
        <f t="shared" si="0"/>
        <v>259140.2317905462</v>
      </c>
    </row>
    <row r="36" spans="1:2" ht="12.75">
      <c r="A36" s="163">
        <v>0.6</v>
      </c>
      <c r="B36" s="162">
        <f t="shared" si="0"/>
        <v>193026.61515786662</v>
      </c>
    </row>
    <row r="37" spans="1:2" ht="12.75">
      <c r="A37" s="163">
        <v>0.65</v>
      </c>
      <c r="B37" s="162">
        <f t="shared" si="0"/>
        <v>135879.76882788423</v>
      </c>
    </row>
    <row r="38" spans="1:2" ht="12.75">
      <c r="A38" s="163">
        <v>0.7</v>
      </c>
      <c r="B38" s="162">
        <f t="shared" si="0"/>
        <v>85982.56952451146</v>
      </c>
    </row>
    <row r="39" spans="1:2" ht="12.75">
      <c r="A39" s="163">
        <v>0.75</v>
      </c>
      <c r="B39" s="162">
        <f t="shared" si="0"/>
        <v>42031.02780775889</v>
      </c>
    </row>
    <row r="40" spans="1:4" ht="12.75">
      <c r="A40" s="163">
        <v>0.8</v>
      </c>
      <c r="B40" s="162">
        <f t="shared" si="0"/>
        <v>3017.0331710954197</v>
      </c>
      <c r="C40" s="55"/>
      <c r="D40" s="55"/>
    </row>
    <row r="41" spans="1:4" ht="12.75">
      <c r="A41" s="163">
        <v>0.85</v>
      </c>
      <c r="B41" s="162">
        <f t="shared" si="0"/>
        <v>-31851.154638210195</v>
      </c>
      <c r="C41" s="55"/>
      <c r="D41" s="55"/>
    </row>
    <row r="42" spans="1:4" ht="12.75">
      <c r="A42" s="163">
        <v>0.9</v>
      </c>
      <c r="B42" s="162">
        <f t="shared" si="0"/>
        <v>-63204.08747837262</v>
      </c>
      <c r="C42" s="55"/>
      <c r="D42" s="55"/>
    </row>
    <row r="43" spans="1:4" ht="12.75">
      <c r="A43" s="163">
        <v>0.95</v>
      </c>
      <c r="B43" s="162">
        <f t="shared" si="0"/>
        <v>-91550.23475249612</v>
      </c>
      <c r="C43" s="55"/>
      <c r="D43" s="55"/>
    </row>
    <row r="44" spans="1:4" ht="12.75">
      <c r="A44" s="163">
        <v>1</v>
      </c>
      <c r="B44" s="162">
        <f t="shared" si="0"/>
        <v>-117304.22152549063</v>
      </c>
      <c r="C44" s="57"/>
      <c r="D44" s="57"/>
    </row>
    <row r="45" spans="1:4" ht="12.75">
      <c r="A45" s="163">
        <f>uActualIRR</f>
        <v>0.8041154674423769</v>
      </c>
      <c r="B45" s="162">
        <f t="shared" si="0"/>
        <v>0</v>
      </c>
      <c r="C45" s="55"/>
      <c r="D45" s="55"/>
    </row>
    <row r="46" spans="3:4" ht="12.75">
      <c r="C46" s="55"/>
      <c r="D46" s="55"/>
    </row>
    <row r="47" spans="3:4" ht="12.75">
      <c r="C47" s="55"/>
      <c r="D47" s="55"/>
    </row>
    <row r="48" spans="1:4" ht="12.75">
      <c r="A48" s="58"/>
      <c r="B48" s="58"/>
      <c r="C48" s="55"/>
      <c r="D48" s="5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Preferred Customer</cp:lastModifiedBy>
  <cp:lastPrinted>2006-11-13T23:17:12Z</cp:lastPrinted>
  <dcterms:created xsi:type="dcterms:W3CDTF">2005-08-17T04:34:40Z</dcterms:created>
  <dcterms:modified xsi:type="dcterms:W3CDTF">2008-05-27T11:46:44Z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