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65" yWindow="65386" windowWidth="7860" windowHeight="8925" tabRatio="646" firstSheet="1" activeTab="1"/>
  </bookViews>
  <sheets>
    <sheet name="User's Guide" sheetId="1" r:id="rId1"/>
    <sheet name="Activity Description" sheetId="2" r:id="rId2"/>
    <sheet name="CB_DATA_" sheetId="3" state="veryHidden" r:id="rId3"/>
    <sheet name="ERR &amp; Sensitivity Analysis" sheetId="4" r:id="rId4"/>
    <sheet name="ERR Summary" sheetId="5" r:id="rId5"/>
    <sheet name="Cohorts Analysis" sheetId="6" r:id="rId6"/>
    <sheet name="Cost Benefit Analysis" sheetId="7" r:id="rId7"/>
    <sheet name="SumBenefitCost" sheetId="8" r:id="rId8"/>
    <sheet name="Projects" sheetId="9" r:id="rId9"/>
    <sheet name="Project Cost" sheetId="10" r:id="rId10"/>
    <sheet name="Assumptions" sheetId="11" r:id="rId11"/>
    <sheet name="Education Model" sheetId="12" r:id="rId12"/>
    <sheet name="Age Earning Profiles" sheetId="13" r:id="rId13"/>
  </sheets>
  <externalReferences>
    <externalReference r:id="rId16"/>
  </externalReferences>
  <definedNames>
    <definedName name="CB_42228f207a204d8cbc5b3cf37666426d" localSheetId="3" hidden="1">'ERR &amp; Sensitivity Analysis'!$D$14</definedName>
    <definedName name="CB_4475386969424cdf91f67febbdf9cabd" localSheetId="3" hidden="1">'ERR &amp; Sensitivity Analysis'!$D$13</definedName>
    <definedName name="CB_9a0b915f105b4cf08573f3d2f4530a7f" localSheetId="3" hidden="1">'ERR &amp; Sensitivity Analysis'!$D$18</definedName>
    <definedName name="CBWorkbookPriority" hidden="1">-171253745</definedName>
    <definedName name="CBx_31ba49dbe0f44fe1a5b61f1c61c8f0ee" localSheetId="2" hidden="1">"'ERR &amp; Sensitivity Analysis'!$A$1"</definedName>
    <definedName name="CBx_47e63a1f4c484daa9a781235d79c7d94" localSheetId="2" hidden="1">"'CB_DATA_'!$A$1"</definedName>
    <definedName name="CBx_Sheet_Guid" localSheetId="2" hidden="1">"'47e63a1f-4c48-4daa-9a78-1235d79c7d94"</definedName>
    <definedName name="CBx_Sheet_Guid" localSheetId="3" hidden="1">"'31ba49db-e0f4-4fe1-a5b6-1f1c61c8f0ee"</definedName>
    <definedName name="Cost">'[1]Cost Assumptions'!$C$22:$E$22</definedName>
    <definedName name="Inv06">'[1]Cost Assumptions'!$H$32</definedName>
    <definedName name="Inv07">'[1]Cost Assumptions'!$I$32</definedName>
    <definedName name="Maint08">'[1]Cost Assumptions'!$G$40:$N$40</definedName>
    <definedName name="_xlnm.Print_Area" localSheetId="6">'Cost Benefit Analysis'!$A$1:$AN$44</definedName>
    <definedName name="_xlnm.Print_Area" localSheetId="8">'Projects'!$A$1:$G$14</definedName>
  </definedNames>
  <calcPr fullCalcOnLoad="1"/>
</workbook>
</file>

<file path=xl/sharedStrings.xml><?xml version="1.0" encoding="utf-8"?>
<sst xmlns="http://schemas.openxmlformats.org/spreadsheetml/2006/main" count="311" uniqueCount="169">
  <si>
    <t xml:space="preserve"> </t>
  </si>
  <si>
    <t>(million RwF)</t>
  </si>
  <si>
    <t>Projected Revenue Requirement</t>
  </si>
  <si>
    <t>Social Infrastructure Development Project</t>
  </si>
  <si>
    <t>Education Projects</t>
  </si>
  <si>
    <t>Cost</t>
  </si>
  <si>
    <t>Project</t>
  </si>
  <si>
    <t>Education Completed</t>
  </si>
  <si>
    <t>Illiterate</t>
  </si>
  <si>
    <t>Primary</t>
  </si>
  <si>
    <t>Middle</t>
  </si>
  <si>
    <t>Secondary</t>
  </si>
  <si>
    <t>Age</t>
  </si>
  <si>
    <t>Years of Age</t>
  </si>
  <si>
    <t>(cedi per day)</t>
  </si>
  <si>
    <t>College</t>
  </si>
  <si>
    <t>Baseline</t>
  </si>
  <si>
    <t>Benefits</t>
  </si>
  <si>
    <t>Costs</t>
  </si>
  <si>
    <t>Age in Years</t>
  </si>
  <si>
    <t>Project Costs</t>
  </si>
  <si>
    <t>Total Costs</t>
  </si>
  <si>
    <t>Education Model</t>
  </si>
  <si>
    <t>Primary School</t>
  </si>
  <si>
    <t>University (Vocational)</t>
  </si>
  <si>
    <t>Dropout Rate (%)</t>
  </si>
  <si>
    <t>Graduated</t>
  </si>
  <si>
    <t>Baseline Wages</t>
  </si>
  <si>
    <t>With Project</t>
  </si>
  <si>
    <t xml:space="preserve">Starting Enrollment </t>
  </si>
  <si>
    <t>Wages by Year and Education</t>
  </si>
  <si>
    <t>Net Benefits</t>
  </si>
  <si>
    <t>With Project Wages</t>
  </si>
  <si>
    <t>Net Project Benefits</t>
  </si>
  <si>
    <t>Economic Rate of Return</t>
  </si>
  <si>
    <t xml:space="preserve">Economic </t>
  </si>
  <si>
    <t>Rate of Return</t>
  </si>
  <si>
    <r>
      <t xml:space="preserve">1   </t>
    </r>
    <r>
      <rPr>
        <sz val="12"/>
        <rFont val="CG Times"/>
        <family val="1"/>
      </rPr>
      <t>EMPRETEC Ghana Foundation Salary Survey, (DIC), 2005</t>
    </r>
  </si>
  <si>
    <t>Operating Cost of School</t>
  </si>
  <si>
    <t>Cost of Individual Projects</t>
  </si>
  <si>
    <t>(US$)</t>
  </si>
  <si>
    <t>Total Cost</t>
  </si>
  <si>
    <t>Capacity</t>
  </si>
  <si>
    <t>Kindergarden</t>
  </si>
  <si>
    <t>Junior</t>
  </si>
  <si>
    <t>Percent Primary Graduate to Enter JSS</t>
  </si>
  <si>
    <t>Percent (of total entering) Graduating Primary School</t>
  </si>
  <si>
    <t>Percent (total entering JSS) Graduating JSS</t>
  </si>
  <si>
    <t>Percent (total entering SSS) Graduating SSS</t>
  </si>
  <si>
    <t xml:space="preserve">Percent JSS to Enter SSS </t>
  </si>
  <si>
    <t>Percent SSS to Enter Advance Education</t>
  </si>
  <si>
    <t>Percent (total entering Advance Education) Graduating Advance Education</t>
  </si>
  <si>
    <t>Males</t>
  </si>
  <si>
    <t>Females</t>
  </si>
  <si>
    <t>Education Flow Statistics</t>
  </si>
  <si>
    <t>Total Actual Students</t>
  </si>
  <si>
    <t>Utilization Rate</t>
  </si>
  <si>
    <t>Project Student Population</t>
  </si>
  <si>
    <t>Junior Secondary</t>
  </si>
  <si>
    <t xml:space="preserve">During </t>
  </si>
  <si>
    <t>After Graduation</t>
  </si>
  <si>
    <t>Leaving School at Different Levels</t>
  </si>
  <si>
    <t>Workforce Profile</t>
  </si>
  <si>
    <t xml:space="preserve">     In School</t>
  </si>
  <si>
    <t xml:space="preserve">     Employment</t>
  </si>
  <si>
    <t xml:space="preserve">     Dropouts</t>
  </si>
  <si>
    <t xml:space="preserve">     Leave School After Graduation</t>
  </si>
  <si>
    <t>JSS</t>
  </si>
  <si>
    <t>SSS</t>
  </si>
  <si>
    <t>End of SSS</t>
  </si>
  <si>
    <t>End of JSS</t>
  </si>
  <si>
    <t>End of Advanced</t>
  </si>
  <si>
    <t>Opportunity Cost</t>
  </si>
  <si>
    <t>Advance</t>
  </si>
  <si>
    <t>TSS</t>
  </si>
  <si>
    <t>Senior</t>
  </si>
  <si>
    <t>Senior Secondary</t>
  </si>
  <si>
    <t>Increased Enrollment Due to Investment at Primary Level</t>
  </si>
  <si>
    <r>
      <t>Age Daily Earnings Profiles</t>
    </r>
    <r>
      <rPr>
        <b/>
        <vertAlign val="superscript"/>
        <sz val="18"/>
        <rFont val="CG Times"/>
        <family val="1"/>
      </rPr>
      <t>1,2</t>
    </r>
  </si>
  <si>
    <t>Annex Table 5.B.5</t>
  </si>
  <si>
    <t>Table 5.1</t>
  </si>
  <si>
    <t>Social Infratstructure Investment Project</t>
  </si>
  <si>
    <t>Education Investment Summary</t>
  </si>
  <si>
    <t>Projected Cohort Analysis</t>
  </si>
  <si>
    <t>Tables Used for Calculation</t>
  </si>
  <si>
    <t>Last updated:  6/22/2006</t>
  </si>
  <si>
    <t>Ghana: Education</t>
  </si>
  <si>
    <t>Project name</t>
  </si>
  <si>
    <t>Rural Services Development Project</t>
  </si>
  <si>
    <t>Support for Community Services</t>
  </si>
  <si>
    <t>Education</t>
  </si>
  <si>
    <t>Spreadsheet version</t>
  </si>
  <si>
    <t>Investment memo, final</t>
  </si>
  <si>
    <t>Date</t>
  </si>
  <si>
    <t>Amount of MCC funds</t>
  </si>
  <si>
    <t>$75.0 million total for Support for Community Services Activity</t>
  </si>
  <si>
    <t>Project description</t>
  </si>
  <si>
    <t xml:space="preserve">The Community Services Activity is designed to complement the Agriculture Project by providing educational, water and sanitation and rural electrification infrastructure in the Intervention Zones and by enhancing the capacity of local governments to deliver the related services.  Specific sub-projects and locations will be identified during Compact implementation. </t>
  </si>
  <si>
    <t>Benefit streams included in ERR</t>
  </si>
  <si>
    <t>Differential earnings based on years of education completed</t>
  </si>
  <si>
    <t>Compact hypothesized to improve matriculation and schooling completion rates from primary to higher vocational education</t>
  </si>
  <si>
    <t>Costs included in ERR (other than costs borne by MCC)</t>
  </si>
  <si>
    <t>Recurrent operational costs of institutions</t>
  </si>
  <si>
    <t>Opportunity costs of income forgone for individuals while engaged in study</t>
  </si>
  <si>
    <t>Estimated ERR and time horizon</t>
  </si>
  <si>
    <t>Activity Description</t>
  </si>
  <si>
    <t>Worksheets in this file</t>
  </si>
  <si>
    <t>One should read this sheet first, as it offers a summary of the activity, a list of components, and states the economic rationale for the project.</t>
  </si>
  <si>
    <t>Summary</t>
  </si>
  <si>
    <t>Projects</t>
  </si>
  <si>
    <t>Project Cost</t>
  </si>
  <si>
    <t>Assumptions</t>
  </si>
  <si>
    <t>Age Earning Profiles</t>
  </si>
  <si>
    <t>Sum Benefit Cost</t>
  </si>
  <si>
    <t>Cost Benefit Analysis</t>
  </si>
  <si>
    <t>Cohorts Analysis</t>
  </si>
  <si>
    <t>The Community Services Activity is designed to complement the Agriculture Project by providing educational, water and sanitation and rural electrification infrastructure in the Intervention Zones and by enhancing the capacity of local governments to deliver the related services. These interventions are part of a larger effort by the Government to expand the provision of basic community services throughout Ghana, and are specifically expected to enhance the sustainability of the Agriculture Project by providing the necessary infrastructure to improve health of communities, to enhance skill development through access to education, and to facilitate small-scale post-harvest processing of agricultural products. Availability of funding to the districts in the Intervention Zones will be a function of population, relative poverty and actual investment performance under the Agriculture Project. Specific investments will be driven by the demands of local communities, prioritized through a broad-based, inclusive process to enhance community ownership and strengthen sustainability.</t>
  </si>
  <si>
    <t>Components</t>
  </si>
  <si>
    <t xml:space="preserve">     1.  Consistency with the agreed norms of the Ministry of Education, Science and Sports, Ghana Educational Service.</t>
  </si>
  <si>
    <t xml:space="preserve">     2.  Community commitment to the construction through contributions of cash or other property (including land or raw material) or labor.</t>
  </si>
  <si>
    <r>
      <t xml:space="preserve">     3.  Adequate provision for operating costs (including staffing, as well as the operation and maintenance, of the facilities) and cost recovery 
           mechanisms adopted by MiDA (Millennium Development Authority)</t>
    </r>
    <r>
      <rPr>
        <vertAlign val="superscript"/>
        <sz val="8"/>
        <rFont val="Arial"/>
        <family val="2"/>
      </rPr>
      <t>1</t>
    </r>
    <r>
      <rPr>
        <sz val="10"/>
        <rFont val="Arial"/>
        <family val="2"/>
      </rPr>
      <t xml:space="preserve"> with approval of MCC.</t>
    </r>
  </si>
  <si>
    <t xml:space="preserve">     4.  Location within a district in which the Agriculture Project is being implemented.</t>
  </si>
  <si>
    <t xml:space="preserve">     5.  Meeting criteria satisfying cost effectiveness.</t>
  </si>
  <si>
    <t xml:space="preserve">     6.  Not creating any adverse environmental or social impact under the standards adopted by MiDA with the approval of MCC.</t>
  </si>
  <si>
    <t>Economic Rationale</t>
  </si>
  <si>
    <t xml:space="preserve">     The analysis follows the flow of students through the school system for a given baseline and with program enrollment of students. Changes in enrolment induce incremental improvements in long-term earnings among participants but opportunity costs are incurred as well in the meantime. The analysis models this dynamic in tracking both the opportunity cost of a student being in school and the actual benefit (wage) earned when he/she leaves school is determined. Starting with the baseline, a school will have a certain number of students start school each year. During the following years, a student can drop out, graduate and join the workforce, or continue studying.</t>
  </si>
  <si>
    <r>
      <t>1</t>
    </r>
    <r>
      <rPr>
        <sz val="10"/>
        <rFont val="Arial"/>
        <family val="2"/>
      </rPr>
      <t xml:space="preserve">  Through an act of its Parliament, the Government of Ghana (GoG) created the Millennium Development Authority (MiDA), a public corporation 
    that will serve as the accountable entity for the implementation of the Program under the Compact. MiDA will be governed by an independent 
    board of directors consisting of six representatives of key ministries of the GoG, two representatives of the private sector, and one representative 
    from the non-governmental organization (NGO) community. A chief executive officer will manage the day-to-day activities of MiDA, supported by 
    key officers in the areas of operations, agriculture, infrastructure, procurement, financial services, land administration, and administration and 
    finance.</t>
    </r>
  </si>
  <si>
    <t>ERR Summary</t>
  </si>
  <si>
    <t>ERR &amp; Sensitivity Analysis</t>
  </si>
  <si>
    <t>0 - 10%</t>
  </si>
  <si>
    <t>Totals</t>
  </si>
  <si>
    <t>A brief summary of the project's key parameters and ERR calculations.</t>
  </si>
  <si>
    <t>ERR and sensitivity analysis</t>
  </si>
  <si>
    <t>Description of key parameters</t>
  </si>
  <si>
    <t>Parameter values</t>
  </si>
  <si>
    <t>Values used in ERR computation</t>
  </si>
  <si>
    <t>Economic rate of return (ERR):</t>
  </si>
  <si>
    <t>Parameter type</t>
  </si>
  <si>
    <t>User Input</t>
  </si>
  <si>
    <t>MCC Estimate</t>
  </si>
  <si>
    <t>Plausible Range</t>
  </si>
  <si>
    <t>Actual costs as a percentage of estimated costs</t>
  </si>
  <si>
    <t>80 - 120%</t>
  </si>
  <si>
    <t>Actual benefits as a percentage of estimated benefits</t>
  </si>
  <si>
    <t>Specific</t>
  </si>
  <si>
    <t>All summary parameters set to initial values?</t>
  </si>
  <si>
    <t xml:space="preserve">   More Info</t>
  </si>
  <si>
    <t>Cost Scenario</t>
  </si>
  <si>
    <t>Benefit Scenario</t>
  </si>
  <si>
    <r>
      <t>Change the "</t>
    </r>
    <r>
      <rPr>
        <sz val="10"/>
        <color indexed="12"/>
        <rFont val="Arial"/>
        <family val="2"/>
      </rPr>
      <t>User Input</t>
    </r>
    <r>
      <rPr>
        <sz val="10"/>
        <rFont val="Arial"/>
        <family val="2"/>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2"/>
      </rPr>
      <t>" button at right.  Be sure to reset all summary parameters to their original values ("MCC Estimate" values) before changing specific parameters.</t>
    </r>
  </si>
  <si>
    <r>
      <t xml:space="preserve">   </t>
    </r>
    <r>
      <rPr>
        <u val="single"/>
        <sz val="10"/>
        <color indexed="12"/>
        <rFont val="Arial"/>
        <family val="2"/>
      </rPr>
      <t>Activity Description</t>
    </r>
  </si>
  <si>
    <r>
      <t xml:space="preserve">   </t>
    </r>
    <r>
      <rPr>
        <u val="single"/>
        <sz val="10"/>
        <color indexed="12"/>
        <rFont val="Arial"/>
        <family val="2"/>
      </rPr>
      <t>User's Guide</t>
    </r>
  </si>
  <si>
    <t>MCC Estimated ERR (as of 6/22/2006):</t>
  </si>
  <si>
    <t>Increased enrollment due to investment at primary level</t>
  </si>
  <si>
    <t>Utilization rate of schools (percent of school capacity)</t>
  </si>
  <si>
    <t>Specifically, the Education sub-activity will provide funding for rehabilitation and construction of educational facilities in the form of primary, junior secondary and senior secondary schools, as well as vocational and technical institutions.  Funding for schools will be conditioned on:</t>
  </si>
  <si>
    <t xml:space="preserve">     The evaluation of investment options in education took into account the investment itself, the operational costs associated with the school, out-of-pocket costs to households of school attendance, and the opportunity cost of the child attending school (as opposed to working). The quantifiable benefits estimated in the analysis were the stream of higher annual income after the school years have ended. The investments in primary schools amount to approximately USD 90,000 while junior secondary schools (JSS) are about one-third more expensive. Both would enroll about 178 students each, utilizing about 90% of capacity. Compared to the primary and junior secondary schools, the cost of senior secondary schools (SSS) is more than ten times as expensive.</t>
  </si>
  <si>
    <t>70 - 95%</t>
  </si>
  <si>
    <t>12.1% over 35 years</t>
  </si>
  <si>
    <t>Lists the costs and ERR of each type of school under consideration for investment.</t>
  </si>
  <si>
    <t>Estimates the annual gain in wages for the beneficiary students and estimates resulting ERR over a 35-year time period.</t>
  </si>
  <si>
    <t>Estimates the annual economic costs and benefits of constructing or rehabilitating and operating the schools funded by the activity.</t>
  </si>
  <si>
    <t>Estimates the annual economic costs and benefits of the schools during the 5-year life of the compact.</t>
  </si>
  <si>
    <t>Lists the number of each type of school contained in the analysis.</t>
  </si>
  <si>
    <t>Shows the cost, size and utilization rate of each type of school under consideration.</t>
  </si>
  <si>
    <t>Describes the statistical assumptions about gender composition and completion rates for the planned schools.</t>
  </si>
  <si>
    <t>Contains the enrollments and graduation rates used in the analysis model.</t>
  </si>
  <si>
    <t>Based on a wage survey in Ghana, this sheet shows the average earning potential of workers according to their education level.</t>
  </si>
  <si>
    <t>Schools Per District</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</si>
</sst>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 #,##0_-;\-* #,##0_-;_-* &quot;-&quot;_-;_-@_-"/>
    <numFmt numFmtId="178" formatCode="_-&quot;L.&quot;\ * #,##0.00_-;\-&quot;L.&quot;\ * #,##0.00_-;_-&quot;L.&quot;\ * &quot;-&quot;??_-;_-@_-"/>
    <numFmt numFmtId="179" formatCode="_-* #,##0.00_-;\-* #,##0.00_-;_-* &quot;-&quot;??_-;_-@_-"/>
    <numFmt numFmtId="180" formatCode="0.0%"/>
    <numFmt numFmtId="181" formatCode="_-* #,##0_-;\-* #,##0_-;_-* &quot;-&quot;??_-;_-@_-"/>
    <numFmt numFmtId="182" formatCode="0.0"/>
    <numFmt numFmtId="183" formatCode="0.000"/>
    <numFmt numFmtId="184" formatCode="_-* #,##0.0_-;\-* #,##0.0_-;_-* &quot;-&quot;??_-;_-@_-"/>
    <numFmt numFmtId="185" formatCode="_-* #,##0.000_-;\-* #,##0.000_-;_-* &quot;-&quot;??_-;_-@_-"/>
    <numFmt numFmtId="186" formatCode="#,##0.0"/>
    <numFmt numFmtId="187" formatCode="#,##0.000"/>
    <numFmt numFmtId="188" formatCode="0.000%"/>
    <numFmt numFmtId="189" formatCode="#,##0_ ;\-#,##0\ "/>
    <numFmt numFmtId="190" formatCode="0.0000%"/>
    <numFmt numFmtId="191" formatCode="0.00;[Red]0.00"/>
    <numFmt numFmtId="192" formatCode="#,##0.000000;[Red]\-#,##0.000000"/>
    <numFmt numFmtId="193" formatCode="_(* #,##0_);_(* \(#,##0\);_(* &quot;-&quot;??_);_(@_)"/>
    <numFmt numFmtId="194" formatCode="&quot;Yes&quot;;&quot;Yes&quot;;&quot;No&quot;"/>
    <numFmt numFmtId="195" formatCode="&quot;True&quot;;&quot;True&quot;;&quot;False&quot;"/>
    <numFmt numFmtId="196" formatCode="&quot;On&quot;;&quot;On&quot;;&quot;Off&quot;"/>
    <numFmt numFmtId="197" formatCode="&quot;$&quot;#,##0;\-&quot;$&quot;#,##0"/>
    <numFmt numFmtId="198" formatCode="&quot;$&quot;#,##0;[Red]\-&quot;$&quot;#,##0"/>
    <numFmt numFmtId="199" formatCode="&quot;$&quot;#,##0.00;\-&quot;$&quot;#,##0.00"/>
    <numFmt numFmtId="200" formatCode="&quot;$&quot;#,##0.00;[Red]\-&quot;$&quot;#,##0.00"/>
    <numFmt numFmtId="201" formatCode="_-&quot;$&quot;* #,##0_-;\-&quot;$&quot;* #,##0_-;_-&quot;$&quot;* &quot;-&quot;_-;_-@_-"/>
    <numFmt numFmtId="202" formatCode="_-&quot;$&quot;* #,##0.00_-;\-&quot;$&quot;* #,##0.00_-;_-&quot;$&quot;* &quot;-&quot;??_-;_-@_-"/>
    <numFmt numFmtId="203" formatCode="0_);[Red]\(0\)"/>
    <numFmt numFmtId="204" formatCode="_(* #,##0.0_);_(* \(#,##0.0\);_(* &quot;-&quot;??_);_(@_)"/>
    <numFmt numFmtId="205" formatCode="_-* #,##0.0000_L_e_k_-;\-* #,##0.0000_L_e_k_-;_-* &quot;-&quot;??_L_e_k_-;_-@_-"/>
    <numFmt numFmtId="206" formatCode="_-* #,##0.0_L_e_k_-;\-* #,##0.0_L_e_k_-;_-* &quot;-&quot;?_L_e_k_-;_-@_-"/>
    <numFmt numFmtId="207" formatCode="0.00000000"/>
    <numFmt numFmtId="208" formatCode="0_);\(0\)"/>
    <numFmt numFmtId="209" formatCode="0.0000000"/>
    <numFmt numFmtId="210" formatCode="0.000000"/>
    <numFmt numFmtId="211" formatCode="0.00000"/>
    <numFmt numFmtId="212" formatCode="0.0000"/>
    <numFmt numFmtId="213" formatCode="#,##0.0_);\(#,##0.0\)"/>
    <numFmt numFmtId="214" formatCode="#,##0.000_);\(#,##0.000\)"/>
    <numFmt numFmtId="215" formatCode="0.00_);\(0.00\)"/>
    <numFmt numFmtId="216" formatCode="#,##0.0000"/>
    <numFmt numFmtId="217" formatCode="#,##0.00000"/>
    <numFmt numFmtId="218" formatCode="&quot;$&quot;#,##0"/>
  </numFmts>
  <fonts count="78">
    <font>
      <sz val="12"/>
      <name val="Times New Roman"/>
      <family val="0"/>
    </font>
    <font>
      <u val="single"/>
      <sz val="10"/>
      <color indexed="36"/>
      <name val="Arial"/>
      <family val="0"/>
    </font>
    <font>
      <u val="single"/>
      <sz val="10"/>
      <color indexed="12"/>
      <name val="Arial"/>
      <family val="0"/>
    </font>
    <font>
      <sz val="10"/>
      <name val="Arial"/>
      <family val="0"/>
    </font>
    <font>
      <b/>
      <sz val="14"/>
      <name val="Tahoma"/>
      <family val="2"/>
    </font>
    <font>
      <sz val="8"/>
      <name val="Tahoma"/>
      <family val="2"/>
    </font>
    <font>
      <b/>
      <sz val="8"/>
      <name val="Tahoma"/>
      <family val="2"/>
    </font>
    <font>
      <b/>
      <sz val="8"/>
      <color indexed="8"/>
      <name val="Tahoma"/>
      <family val="2"/>
    </font>
    <font>
      <sz val="8"/>
      <color indexed="8"/>
      <name val="Tahoma"/>
      <family val="2"/>
    </font>
    <font>
      <sz val="24"/>
      <name val="Tahoma"/>
      <family val="2"/>
    </font>
    <font>
      <sz val="12"/>
      <name val="CG Times"/>
      <family val="1"/>
    </font>
    <font>
      <b/>
      <sz val="14"/>
      <name val="CG Times"/>
      <family val="1"/>
    </font>
    <font>
      <b/>
      <sz val="12"/>
      <name val="CG Times"/>
      <family val="1"/>
    </font>
    <font>
      <b/>
      <sz val="18"/>
      <name val="CG Times"/>
      <family val="1"/>
    </font>
    <font>
      <sz val="14"/>
      <name val="CG Times"/>
      <family val="1"/>
    </font>
    <font>
      <b/>
      <sz val="16"/>
      <name val="CG Times"/>
      <family val="1"/>
    </font>
    <font>
      <sz val="24"/>
      <name val="Arial"/>
      <family val="2"/>
    </font>
    <font>
      <b/>
      <sz val="24"/>
      <name val="Arial"/>
      <family val="2"/>
    </font>
    <font>
      <sz val="24"/>
      <name val="CG Times"/>
      <family val="0"/>
    </font>
    <font>
      <sz val="16"/>
      <name val="CG Times"/>
      <family val="1"/>
    </font>
    <font>
      <b/>
      <sz val="16"/>
      <name val="Arial"/>
      <family val="2"/>
    </font>
    <font>
      <b/>
      <u val="single"/>
      <sz val="14"/>
      <name val="CG Times"/>
      <family val="1"/>
    </font>
    <font>
      <u val="single"/>
      <sz val="14"/>
      <name val="CG Times"/>
      <family val="1"/>
    </font>
    <font>
      <sz val="14"/>
      <name val="Arial"/>
      <family val="2"/>
    </font>
    <font>
      <b/>
      <i/>
      <sz val="14"/>
      <name val="Arial"/>
      <family val="2"/>
    </font>
    <font>
      <b/>
      <sz val="14"/>
      <name val="Arial"/>
      <family val="0"/>
    </font>
    <font>
      <b/>
      <sz val="12"/>
      <name val="Arial"/>
      <family val="2"/>
    </font>
    <font>
      <b/>
      <u val="single"/>
      <sz val="18"/>
      <name val="CG Times"/>
      <family val="1"/>
    </font>
    <font>
      <vertAlign val="superscript"/>
      <sz val="12"/>
      <name val="CG Times"/>
      <family val="1"/>
    </font>
    <font>
      <b/>
      <vertAlign val="superscript"/>
      <sz val="14"/>
      <name val="CG Times"/>
      <family val="1"/>
    </font>
    <font>
      <b/>
      <sz val="10"/>
      <color indexed="8"/>
      <name val="Tahoma"/>
      <family val="2"/>
    </font>
    <font>
      <b/>
      <sz val="10"/>
      <name val="Tahoma"/>
      <family val="2"/>
    </font>
    <font>
      <i/>
      <sz val="14"/>
      <name val="Arial"/>
      <family val="2"/>
    </font>
    <font>
      <b/>
      <sz val="14"/>
      <name val="Times New Roman"/>
      <family val="1"/>
    </font>
    <font>
      <sz val="14"/>
      <name val="Times New Roman"/>
      <family val="1"/>
    </font>
    <font>
      <sz val="16"/>
      <name val="Times New Roman"/>
      <family val="1"/>
    </font>
    <font>
      <b/>
      <sz val="16"/>
      <name val="Times New Roman"/>
      <family val="1"/>
    </font>
    <font>
      <b/>
      <sz val="12"/>
      <name val="Times New Roman"/>
      <family val="1"/>
    </font>
    <font>
      <b/>
      <sz val="18"/>
      <name val="Times New Roman"/>
      <family val="1"/>
    </font>
    <font>
      <b/>
      <sz val="10"/>
      <name val="Times New Roman"/>
      <family val="1"/>
    </font>
    <font>
      <vertAlign val="superscript"/>
      <sz val="8"/>
      <color indexed="8"/>
      <name val="Tahoma"/>
      <family val="2"/>
    </font>
    <font>
      <b/>
      <sz val="12"/>
      <color indexed="8"/>
      <name val="CG Times"/>
      <family val="1"/>
    </font>
    <font>
      <sz val="12"/>
      <color indexed="8"/>
      <name val="CG Times"/>
      <family val="1"/>
    </font>
    <font>
      <sz val="8"/>
      <name val="CG Times"/>
      <family val="1"/>
    </font>
    <font>
      <b/>
      <sz val="8"/>
      <name val="CG Times"/>
      <family val="1"/>
    </font>
    <font>
      <b/>
      <sz val="8"/>
      <color indexed="8"/>
      <name val="CG Times"/>
      <family val="1"/>
    </font>
    <font>
      <b/>
      <sz val="10"/>
      <color indexed="8"/>
      <name val="CG Times"/>
      <family val="1"/>
    </font>
    <font>
      <b/>
      <sz val="10"/>
      <name val="CG Times"/>
      <family val="1"/>
    </font>
    <font>
      <sz val="8"/>
      <color indexed="8"/>
      <name val="CG Times"/>
      <family val="1"/>
    </font>
    <font>
      <sz val="10"/>
      <name val="CG Times"/>
      <family val="1"/>
    </font>
    <font>
      <b/>
      <vertAlign val="superscript"/>
      <sz val="18"/>
      <name val="CG Times"/>
      <family val="1"/>
    </font>
    <font>
      <b/>
      <sz val="11"/>
      <name val="Tahoma"/>
      <family val="2"/>
    </font>
    <font>
      <b/>
      <sz val="13"/>
      <name val="Times New Roman"/>
      <family val="1"/>
    </font>
    <font>
      <b/>
      <u val="single"/>
      <sz val="13"/>
      <name val="Times New Roman"/>
      <family val="1"/>
    </font>
    <font>
      <sz val="13"/>
      <name val="Times New Roman"/>
      <family val="1"/>
    </font>
    <font>
      <sz val="13"/>
      <color indexed="8"/>
      <name val="Times New Roman"/>
      <family val="1"/>
    </font>
    <font>
      <sz val="13"/>
      <name val="CG Times"/>
      <family val="0"/>
    </font>
    <font>
      <sz val="10"/>
      <color indexed="17"/>
      <name val="Arial"/>
      <family val="2"/>
    </font>
    <font>
      <b/>
      <sz val="10"/>
      <name val="Arial"/>
      <family val="2"/>
    </font>
    <font>
      <vertAlign val="superscript"/>
      <sz val="8"/>
      <name val="Arial"/>
      <family val="2"/>
    </font>
    <font>
      <sz val="8"/>
      <color indexed="17"/>
      <name val="Arial"/>
      <family val="0"/>
    </font>
    <font>
      <b/>
      <sz val="10"/>
      <color indexed="12"/>
      <name val="Arial"/>
      <family val="2"/>
    </font>
    <font>
      <b/>
      <sz val="10"/>
      <color indexed="32"/>
      <name val="Arial"/>
      <family val="2"/>
    </font>
    <font>
      <sz val="10"/>
      <color indexed="12"/>
      <name val="Arial"/>
      <family val="2"/>
    </font>
    <font>
      <sz val="10"/>
      <color indexed="23"/>
      <name val="Arial"/>
      <family val="2"/>
    </font>
    <font>
      <b/>
      <sz val="10"/>
      <color indexed="55"/>
      <name val="Arial"/>
      <family val="2"/>
    </font>
    <font>
      <sz val="10"/>
      <color indexed="9"/>
      <name val="Arial"/>
      <family val="2"/>
    </font>
    <font>
      <b/>
      <sz val="10"/>
      <color indexed="9"/>
      <name val="Arial"/>
      <family val="2"/>
    </font>
    <font>
      <b/>
      <sz val="14"/>
      <color indexed="9"/>
      <name val="CG Times"/>
      <family val="1"/>
    </font>
    <font>
      <sz val="8"/>
      <name val="Times New Roman"/>
      <family val="0"/>
    </font>
    <font>
      <sz val="12"/>
      <color indexed="12"/>
      <name val="CG Times"/>
      <family val="1"/>
    </font>
    <font>
      <sz val="8"/>
      <color indexed="12"/>
      <name val="CG Times"/>
      <family val="1"/>
    </font>
    <font>
      <sz val="8"/>
      <color indexed="12"/>
      <name val="Tahoma"/>
      <family val="2"/>
    </font>
    <font>
      <sz val="13"/>
      <color indexed="12"/>
      <name val="Times New Roman"/>
      <family val="1"/>
    </font>
    <font>
      <u val="single"/>
      <sz val="12"/>
      <name val="Times New Roman"/>
      <family val="1"/>
    </font>
    <font>
      <b/>
      <sz val="18"/>
      <name val="Arial"/>
      <family val="2"/>
    </font>
    <font>
      <sz val="8"/>
      <name val="Arial"/>
      <family val="0"/>
    </font>
    <font>
      <b/>
      <sz val="8"/>
      <name val="Arial"/>
      <family val="0"/>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10"/>
        <bgColor indexed="64"/>
      </patternFill>
    </fill>
  </fills>
  <borders count="47">
    <border>
      <left/>
      <right/>
      <top/>
      <bottom/>
      <diagonal/>
    </border>
    <border>
      <left style="thick"/>
      <right>
        <color indexed="63"/>
      </right>
      <top>
        <color indexed="63"/>
      </top>
      <bottom>
        <color indexed="63"/>
      </bottom>
    </border>
    <border>
      <left>
        <color indexed="63"/>
      </left>
      <right>
        <color indexed="63"/>
      </right>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style="double"/>
      <right style="thin"/>
      <top>
        <color indexed="63"/>
      </top>
      <bottom style="thin"/>
    </border>
    <border>
      <left>
        <color indexed="63"/>
      </left>
      <right style="double"/>
      <top>
        <color indexed="63"/>
      </top>
      <bottom style="thin"/>
    </border>
    <border>
      <left style="double"/>
      <right style="thin"/>
      <top style="thin"/>
      <bottom style="thin"/>
    </border>
    <border>
      <left>
        <color indexed="63"/>
      </left>
      <right style="double"/>
      <top style="thin"/>
      <bottom style="thin"/>
    </border>
    <border>
      <left style="thin"/>
      <right style="double"/>
      <top style="thin"/>
      <bottom style="thin"/>
    </border>
    <border>
      <left>
        <color indexed="63"/>
      </left>
      <right style="double"/>
      <top>
        <color indexed="63"/>
      </top>
      <bottom>
        <color indexed="63"/>
      </bottom>
    </border>
    <border>
      <left style="double"/>
      <right style="thin"/>
      <top style="thin"/>
      <bottom>
        <color indexed="63"/>
      </bottom>
    </border>
    <border>
      <left style="double"/>
      <right style="thin"/>
      <top>
        <color indexed="63"/>
      </top>
      <bottom>
        <color indexed="63"/>
      </bottom>
    </border>
    <border>
      <left style="thin"/>
      <right>
        <color indexed="63"/>
      </right>
      <top>
        <color indexed="63"/>
      </top>
      <bottom>
        <color indexed="63"/>
      </bottom>
    </border>
    <border>
      <left>
        <color indexed="63"/>
      </left>
      <right style="double"/>
      <top>
        <color indexed="63"/>
      </top>
      <bottom style="double"/>
    </border>
    <border>
      <left style="thin"/>
      <right style="thin"/>
      <top style="thin"/>
      <bottom style="mediu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style="thin"/>
      <top>
        <color indexed="63"/>
      </top>
      <bottom style="double"/>
    </border>
    <border>
      <left style="double"/>
      <right>
        <color indexed="63"/>
      </right>
      <top style="double"/>
      <bottom style="thin"/>
    </border>
    <border>
      <left style="double"/>
      <right>
        <color indexed="63"/>
      </right>
      <top>
        <color indexed="63"/>
      </top>
      <bottom>
        <color indexed="63"/>
      </bottom>
    </border>
    <border>
      <left style="double"/>
      <right>
        <color indexed="63"/>
      </right>
      <top style="thin"/>
      <bottom style="double"/>
    </border>
    <border>
      <left style="medium"/>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47">
    <xf numFmtId="0" fontId="0" fillId="0" borderId="0" xfId="0" applyAlignment="1">
      <alignment/>
    </xf>
    <xf numFmtId="0" fontId="10" fillId="0" borderId="1" xfId="0" applyFont="1" applyBorder="1" applyAlignment="1">
      <alignment/>
    </xf>
    <xf numFmtId="0" fontId="10" fillId="0" borderId="0" xfId="0" applyFont="1" applyBorder="1" applyAlignment="1">
      <alignment horizontal="center"/>
    </xf>
    <xf numFmtId="0" fontId="10" fillId="0" borderId="0" xfId="0" applyFont="1" applyBorder="1" applyAlignment="1">
      <alignment/>
    </xf>
    <xf numFmtId="0" fontId="10" fillId="0" borderId="0" xfId="0" applyFont="1" applyAlignment="1">
      <alignment/>
    </xf>
    <xf numFmtId="0" fontId="11" fillId="0" borderId="0" xfId="0" applyFont="1" applyBorder="1" applyAlignment="1">
      <alignment/>
    </xf>
    <xf numFmtId="0" fontId="12" fillId="0" borderId="0" xfId="0" applyFont="1" applyBorder="1" applyAlignment="1">
      <alignment horizontal="center"/>
    </xf>
    <xf numFmtId="0" fontId="10" fillId="0" borderId="0" xfId="0" applyFont="1" applyBorder="1" applyAlignment="1">
      <alignment horizontal="left"/>
    </xf>
    <xf numFmtId="9" fontId="10" fillId="0" borderId="0" xfId="22" applyFont="1" applyBorder="1" applyAlignment="1">
      <alignment horizontal="center"/>
    </xf>
    <xf numFmtId="3" fontId="10" fillId="0" borderId="0" xfId="0" applyNumberFormat="1" applyFont="1" applyBorder="1" applyAlignment="1">
      <alignment horizontal="center"/>
    </xf>
    <xf numFmtId="0" fontId="14" fillId="0" borderId="0" xfId="0" applyFont="1" applyBorder="1" applyAlignment="1">
      <alignment/>
    </xf>
    <xf numFmtId="0" fontId="10" fillId="0" borderId="0" xfId="0" applyFont="1" applyAlignment="1">
      <alignment horizontal="center"/>
    </xf>
    <xf numFmtId="186" fontId="10" fillId="0" borderId="0" xfId="0" applyNumberFormat="1" applyFont="1" applyBorder="1" applyAlignment="1">
      <alignment horizontal="center"/>
    </xf>
    <xf numFmtId="3" fontId="10" fillId="0" borderId="0" xfId="0" applyNumberFormat="1" applyFont="1" applyBorder="1" applyAlignment="1">
      <alignment/>
    </xf>
    <xf numFmtId="0" fontId="11" fillId="0" borderId="2" xfId="0" applyFont="1" applyBorder="1" applyAlignment="1">
      <alignment/>
    </xf>
    <xf numFmtId="0" fontId="10" fillId="0" borderId="2" xfId="0" applyFont="1" applyBorder="1" applyAlignment="1">
      <alignment horizontal="center"/>
    </xf>
    <xf numFmtId="0" fontId="11" fillId="0" borderId="0" xfId="0" applyFont="1" applyAlignment="1">
      <alignment/>
    </xf>
    <xf numFmtId="3" fontId="14" fillId="0" borderId="0" xfId="0" applyNumberFormat="1" applyFont="1" applyBorder="1" applyAlignment="1">
      <alignment/>
    </xf>
    <xf numFmtId="0" fontId="14" fillId="0" borderId="0" xfId="0" applyFont="1" applyAlignment="1">
      <alignment/>
    </xf>
    <xf numFmtId="10" fontId="10" fillId="0" borderId="0" xfId="22" applyNumberFormat="1" applyFont="1" applyBorder="1" applyAlignment="1">
      <alignment horizontal="center"/>
    </xf>
    <xf numFmtId="37" fontId="0" fillId="0" borderId="0" xfId="0" applyNumberFormat="1" applyAlignment="1">
      <alignment/>
    </xf>
    <xf numFmtId="0" fontId="13" fillId="0" borderId="0" xfId="0" applyFont="1" applyBorder="1" applyAlignment="1">
      <alignment horizontal="centerContinuous"/>
    </xf>
    <xf numFmtId="10" fontId="10" fillId="0" borderId="0" xfId="22" applyNumberFormat="1" applyFont="1" applyAlignment="1">
      <alignment horizontal="center"/>
    </xf>
    <xf numFmtId="0" fontId="6" fillId="0" borderId="0" xfId="0" applyFont="1" applyFill="1" applyBorder="1" applyAlignment="1">
      <alignment horizontal="center" vertical="center"/>
    </xf>
    <xf numFmtId="37" fontId="10" fillId="0" borderId="0" xfId="0" applyNumberFormat="1" applyFont="1" applyBorder="1" applyAlignment="1">
      <alignment horizontal="center"/>
    </xf>
    <xf numFmtId="37" fontId="10" fillId="0" borderId="0" xfId="0" applyNumberFormat="1" applyFont="1" applyAlignment="1">
      <alignment/>
    </xf>
    <xf numFmtId="0" fontId="17" fillId="0" borderId="0" xfId="0" applyFont="1" applyBorder="1" applyAlignment="1" applyProtection="1">
      <alignment horizontal="centerContinuous"/>
      <protection locked="0"/>
    </xf>
    <xf numFmtId="0" fontId="16" fillId="0" borderId="0" xfId="0" applyFont="1" applyBorder="1" applyAlignment="1">
      <alignment horizontal="centerContinuous"/>
    </xf>
    <xf numFmtId="0" fontId="16" fillId="0" borderId="0" xfId="0" applyFont="1" applyAlignment="1">
      <alignment/>
    </xf>
    <xf numFmtId="37" fontId="16" fillId="0" borderId="0" xfId="0" applyNumberFormat="1" applyFont="1" applyAlignment="1">
      <alignment/>
    </xf>
    <xf numFmtId="0" fontId="18" fillId="0" borderId="0" xfId="0" applyFont="1" applyBorder="1" applyAlignment="1" applyProtection="1">
      <alignment horizontal="centerContinuous"/>
      <protection locked="0"/>
    </xf>
    <xf numFmtId="0" fontId="18" fillId="0" borderId="0" xfId="0" applyFont="1" applyAlignment="1">
      <alignment/>
    </xf>
    <xf numFmtId="37" fontId="18" fillId="0" borderId="0" xfId="0" applyNumberFormat="1" applyFont="1" applyAlignment="1">
      <alignment/>
    </xf>
    <xf numFmtId="0" fontId="20" fillId="0" borderId="0" xfId="0" applyFont="1" applyBorder="1" applyAlignment="1" applyProtection="1">
      <alignment horizontal="centerContinuous"/>
      <protection locked="0"/>
    </xf>
    <xf numFmtId="0" fontId="19" fillId="0" borderId="0" xfId="0" applyFont="1" applyBorder="1" applyAlignment="1">
      <alignment horizontal="centerContinuous"/>
    </xf>
    <xf numFmtId="0" fontId="19" fillId="0" borderId="0" xfId="0" applyFont="1" applyAlignment="1">
      <alignment/>
    </xf>
    <xf numFmtId="37" fontId="19" fillId="0" borderId="0" xfId="0" applyNumberFormat="1" applyFont="1" applyAlignment="1">
      <alignment/>
    </xf>
    <xf numFmtId="0" fontId="21" fillId="0" borderId="0" xfId="0" applyFont="1" applyBorder="1" applyAlignment="1">
      <alignment/>
    </xf>
    <xf numFmtId="0" fontId="22" fillId="0" borderId="0" xfId="0" applyFont="1" applyBorder="1" applyAlignment="1">
      <alignment/>
    </xf>
    <xf numFmtId="0" fontId="21" fillId="0" borderId="0"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xf>
    <xf numFmtId="37" fontId="12" fillId="0" borderId="0" xfId="0" applyNumberFormat="1" applyFont="1" applyAlignment="1">
      <alignment horizontal="center"/>
    </xf>
    <xf numFmtId="1" fontId="12" fillId="0" borderId="0" xfId="0" applyNumberFormat="1" applyFont="1" applyAlignment="1">
      <alignment horizontal="center"/>
    </xf>
    <xf numFmtId="3" fontId="12" fillId="0" borderId="0" xfId="0" applyNumberFormat="1" applyFont="1" applyBorder="1" applyAlignment="1">
      <alignment horizontal="center"/>
    </xf>
    <xf numFmtId="0" fontId="13" fillId="0" borderId="0" xfId="0" applyFont="1" applyBorder="1" applyAlignment="1">
      <alignment horizontal="center"/>
    </xf>
    <xf numFmtId="0" fontId="13" fillId="0" borderId="0" xfId="0" applyFont="1" applyAlignment="1">
      <alignment horizontal="center"/>
    </xf>
    <xf numFmtId="37" fontId="13" fillId="0" borderId="0" xfId="0" applyNumberFormat="1" applyFont="1" applyAlignment="1">
      <alignment horizontal="center"/>
    </xf>
    <xf numFmtId="3" fontId="12" fillId="0" borderId="0" xfId="0" applyNumberFormat="1" applyFont="1" applyBorder="1" applyAlignment="1">
      <alignment horizontal="center"/>
    </xf>
    <xf numFmtId="3" fontId="12" fillId="0" borderId="0" xfId="0" applyNumberFormat="1" applyFont="1" applyAlignment="1">
      <alignment horizontal="center"/>
    </xf>
    <xf numFmtId="37" fontId="10" fillId="0" borderId="0" xfId="0" applyNumberFormat="1" applyFont="1" applyAlignment="1">
      <alignment horizontal="center"/>
    </xf>
    <xf numFmtId="39" fontId="10" fillId="0" borderId="0" xfId="15" applyNumberFormat="1" applyFont="1" applyBorder="1" applyAlignment="1">
      <alignment horizontal="center"/>
    </xf>
    <xf numFmtId="5" fontId="10" fillId="0" borderId="0" xfId="15" applyNumberFormat="1" applyFont="1" applyBorder="1" applyAlignment="1">
      <alignment horizontal="center"/>
    </xf>
    <xf numFmtId="37" fontId="10" fillId="0" borderId="0" xfId="22" applyNumberFormat="1" applyFont="1" applyAlignment="1">
      <alignment horizontal="center"/>
    </xf>
    <xf numFmtId="10" fontId="10" fillId="0" borderId="0" xfId="22" applyNumberFormat="1" applyFont="1" applyAlignment="1">
      <alignment/>
    </xf>
    <xf numFmtId="37" fontId="10" fillId="0" borderId="0" xfId="22" applyNumberFormat="1" applyFont="1" applyBorder="1" applyAlignment="1">
      <alignment horizontal="center"/>
    </xf>
    <xf numFmtId="0" fontId="10" fillId="0" borderId="0" xfId="0" applyFont="1" applyFill="1" applyBorder="1" applyAlignment="1">
      <alignment horizontal="center"/>
    </xf>
    <xf numFmtId="0" fontId="27" fillId="0" borderId="0" xfId="0" applyFont="1" applyBorder="1" applyAlignment="1">
      <alignment horizontal="left"/>
    </xf>
    <xf numFmtId="0" fontId="27" fillId="0" borderId="0" xfId="0" applyFont="1" applyBorder="1" applyAlignment="1">
      <alignment horizontal="center"/>
    </xf>
    <xf numFmtId="3" fontId="27" fillId="0" borderId="0" xfId="0" applyNumberFormat="1" applyFont="1" applyBorder="1" applyAlignment="1">
      <alignment horizontal="left"/>
    </xf>
    <xf numFmtId="3" fontId="21" fillId="0" borderId="0" xfId="0" applyNumberFormat="1" applyFont="1" applyBorder="1" applyAlignment="1">
      <alignment horizontal="center"/>
    </xf>
    <xf numFmtId="0" fontId="25" fillId="0" borderId="0" xfId="0" applyFont="1" applyBorder="1" applyAlignment="1">
      <alignment/>
    </xf>
    <xf numFmtId="3" fontId="11" fillId="0" borderId="0" xfId="0" applyNumberFormat="1" applyFont="1" applyBorder="1" applyAlignment="1">
      <alignment/>
    </xf>
    <xf numFmtId="0" fontId="14" fillId="0" borderId="2" xfId="0" applyFont="1" applyBorder="1" applyAlignment="1">
      <alignment/>
    </xf>
    <xf numFmtId="0" fontId="26" fillId="0" borderId="0" xfId="0" applyFont="1" applyBorder="1" applyAlignment="1">
      <alignment/>
    </xf>
    <xf numFmtId="214" fontId="10" fillId="0" borderId="0" xfId="0" applyNumberFormat="1" applyFont="1" applyAlignment="1">
      <alignment horizontal="center"/>
    </xf>
    <xf numFmtId="39" fontId="10" fillId="0" borderId="0" xfId="0" applyNumberFormat="1" applyFont="1" applyAlignment="1">
      <alignment horizontal="center"/>
    </xf>
    <xf numFmtId="10" fontId="11" fillId="0" borderId="0" xfId="22" applyNumberFormat="1" applyFont="1" applyAlignment="1">
      <alignment/>
    </xf>
    <xf numFmtId="0" fontId="23" fillId="0" borderId="0" xfId="0" applyFont="1" applyBorder="1" applyAlignment="1">
      <alignment/>
    </xf>
    <xf numFmtId="0" fontId="14" fillId="0" borderId="0" xfId="0" applyFont="1" applyBorder="1" applyAlignment="1">
      <alignment/>
    </xf>
    <xf numFmtId="0" fontId="23" fillId="0" borderId="0" xfId="0" applyFont="1" applyBorder="1" applyAlignment="1">
      <alignment/>
    </xf>
    <xf numFmtId="37" fontId="14" fillId="0" borderId="0" xfId="0" applyNumberFormat="1" applyFont="1" applyBorder="1" applyAlignment="1">
      <alignment horizontal="center"/>
    </xf>
    <xf numFmtId="37" fontId="12" fillId="0" borderId="0" xfId="0" applyNumberFormat="1" applyFont="1" applyBorder="1" applyAlignment="1">
      <alignment horizontal="center"/>
    </xf>
    <xf numFmtId="0" fontId="25" fillId="0" borderId="0" xfId="0" applyFont="1" applyBorder="1" applyAlignment="1">
      <alignment/>
    </xf>
    <xf numFmtId="37" fontId="12" fillId="0" borderId="0" xfId="0" applyNumberFormat="1" applyFont="1" applyAlignment="1">
      <alignment/>
    </xf>
    <xf numFmtId="0" fontId="12" fillId="0" borderId="0" xfId="0" applyFont="1" applyAlignment="1">
      <alignment/>
    </xf>
    <xf numFmtId="0" fontId="6" fillId="0" borderId="0" xfId="0" applyFont="1" applyFill="1" applyBorder="1" applyAlignment="1">
      <alignment horizontal="center" vertical="center" wrapText="1"/>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7" fillId="0" borderId="0" xfId="0" applyFont="1" applyFill="1" applyBorder="1" applyAlignment="1">
      <alignment horizontal="center" vertical="center" wrapText="1"/>
    </xf>
    <xf numFmtId="0" fontId="6" fillId="0" borderId="0" xfId="0"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8" fillId="0" borderId="0" xfId="0" applyFont="1" applyFill="1" applyBorder="1" applyAlignment="1">
      <alignment horizontal="center" vertical="center"/>
    </xf>
    <xf numFmtId="3" fontId="7" fillId="0" borderId="0"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9" fillId="0" borderId="1" xfId="0" applyFont="1" applyFill="1" applyBorder="1" applyAlignment="1">
      <alignment vertical="center"/>
    </xf>
    <xf numFmtId="0" fontId="9" fillId="0" borderId="6" xfId="0" applyFont="1" applyFill="1" applyBorder="1" applyAlignment="1">
      <alignment vertical="center"/>
    </xf>
    <xf numFmtId="0" fontId="5" fillId="0" borderId="1"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8" xfId="0" applyFont="1" applyFill="1" applyBorder="1" applyAlignment="1">
      <alignment horizontal="center" vertical="center"/>
    </xf>
    <xf numFmtId="0" fontId="5" fillId="0" borderId="9" xfId="0" applyFont="1" applyFill="1" applyBorder="1" applyAlignment="1">
      <alignment vertical="center"/>
    </xf>
    <xf numFmtId="0" fontId="10" fillId="0" borderId="0" xfId="0" applyFont="1" applyBorder="1" applyAlignment="1">
      <alignment horizontal="centerContinuous"/>
    </xf>
    <xf numFmtId="0" fontId="15" fillId="0" borderId="0" xfId="0" applyFont="1" applyBorder="1" applyAlignment="1">
      <alignment horizontal="centerContinuous"/>
    </xf>
    <xf numFmtId="0" fontId="12" fillId="0" borderId="0" xfId="0" applyFont="1" applyBorder="1" applyAlignment="1">
      <alignment horizontal="left" vertical="center" indent="1"/>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indent="1"/>
    </xf>
    <xf numFmtId="0" fontId="12" fillId="0" borderId="0" xfId="0" applyFont="1" applyFill="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xf>
    <xf numFmtId="186" fontId="10" fillId="0" borderId="0" xfId="15" applyNumberFormat="1" applyFont="1" applyFill="1" applyBorder="1" applyAlignment="1">
      <alignment horizontal="center"/>
    </xf>
    <xf numFmtId="187" fontId="10" fillId="0" borderId="0" xfId="15" applyNumberFormat="1" applyFont="1" applyFill="1" applyBorder="1" applyAlignment="1">
      <alignment horizontal="center"/>
    </xf>
    <xf numFmtId="0" fontId="10" fillId="0" borderId="2" xfId="0" applyFont="1" applyBorder="1" applyAlignment="1">
      <alignment horizontal="left"/>
    </xf>
    <xf numFmtId="0" fontId="10" fillId="0" borderId="2" xfId="0" applyFont="1" applyBorder="1" applyAlignment="1">
      <alignment/>
    </xf>
    <xf numFmtId="3" fontId="10" fillId="0" borderId="0" xfId="22" applyNumberFormat="1" applyFont="1" applyAlignment="1">
      <alignment horizontal="center"/>
    </xf>
    <xf numFmtId="3" fontId="10" fillId="0" borderId="0" xfId="0" applyNumberFormat="1" applyFont="1" applyFill="1" applyAlignment="1">
      <alignment horizontal="center"/>
    </xf>
    <xf numFmtId="39" fontId="10" fillId="0" borderId="0" xfId="0" applyNumberFormat="1" applyFont="1" applyBorder="1" applyAlignment="1">
      <alignment horizontal="center"/>
    </xf>
    <xf numFmtId="39" fontId="12" fillId="0" borderId="0" xfId="15" applyNumberFormat="1" applyFont="1" applyBorder="1" applyAlignment="1">
      <alignment horizontal="center"/>
    </xf>
    <xf numFmtId="9" fontId="14" fillId="0" borderId="0" xfId="22" applyFont="1" applyBorder="1" applyAlignment="1">
      <alignment horizontal="center"/>
    </xf>
    <xf numFmtId="0" fontId="8" fillId="0" borderId="2" xfId="0" applyFont="1" applyFill="1" applyBorder="1" applyAlignment="1">
      <alignment vertical="center"/>
    </xf>
    <xf numFmtId="1" fontId="8" fillId="0" borderId="2" xfId="0" applyNumberFormat="1" applyFont="1" applyFill="1" applyBorder="1" applyAlignment="1">
      <alignment horizontal="center" vertical="center"/>
    </xf>
    <xf numFmtId="186" fontId="8" fillId="0" borderId="0" xfId="0" applyNumberFormat="1" applyFont="1" applyFill="1" applyBorder="1" applyAlignment="1">
      <alignment horizontal="center" vertical="center"/>
    </xf>
    <xf numFmtId="186" fontId="5" fillId="0" borderId="0" xfId="0" applyNumberFormat="1" applyFont="1" applyFill="1" applyBorder="1" applyAlignment="1">
      <alignment horizontal="center" vertical="center"/>
    </xf>
    <xf numFmtId="0" fontId="28" fillId="0" borderId="0" xfId="0" applyFont="1" applyBorder="1" applyAlignment="1">
      <alignment horizontal="left"/>
    </xf>
    <xf numFmtId="0" fontId="24" fillId="0" borderId="0" xfId="0" applyFont="1" applyBorder="1" applyAlignment="1">
      <alignment horizontal="center"/>
    </xf>
    <xf numFmtId="213" fontId="14" fillId="0" borderId="0" xfId="0" applyNumberFormat="1" applyFont="1" applyBorder="1" applyAlignment="1">
      <alignment horizontal="center"/>
    </xf>
    <xf numFmtId="3" fontId="10" fillId="0" borderId="0" xfId="15" applyNumberFormat="1" applyFont="1" applyFill="1" applyBorder="1" applyAlignment="1">
      <alignment horizontal="center"/>
    </xf>
    <xf numFmtId="0" fontId="5" fillId="0" borderId="0" xfId="0" applyFont="1" applyFill="1" applyBorder="1" applyAlignment="1">
      <alignment horizontal="left" vertical="center"/>
    </xf>
    <xf numFmtId="213" fontId="14" fillId="0" borderId="0" xfId="21" applyNumberFormat="1" applyFont="1" applyFill="1" applyBorder="1" applyAlignment="1">
      <alignment horizontal="center" vertical="center"/>
      <protection/>
    </xf>
    <xf numFmtId="213" fontId="11" fillId="0" borderId="0" xfId="0" applyNumberFormat="1" applyFont="1" applyBorder="1" applyAlignment="1">
      <alignment horizontal="center"/>
    </xf>
    <xf numFmtId="213" fontId="10" fillId="0" borderId="0" xfId="0" applyNumberFormat="1" applyFont="1" applyBorder="1" applyAlignment="1">
      <alignment horizontal="center"/>
    </xf>
    <xf numFmtId="0" fontId="29" fillId="0" borderId="0" xfId="0" applyFont="1" applyBorder="1" applyAlignment="1">
      <alignment/>
    </xf>
    <xf numFmtId="3" fontId="30" fillId="0" borderId="0" xfId="0" applyNumberFormat="1" applyFont="1" applyFill="1" applyBorder="1" applyAlignment="1">
      <alignment horizontal="center" vertical="center"/>
    </xf>
    <xf numFmtId="3" fontId="31" fillId="0" borderId="0" xfId="0" applyNumberFormat="1" applyFont="1" applyFill="1" applyBorder="1" applyAlignment="1">
      <alignment vertical="center"/>
    </xf>
    <xf numFmtId="0" fontId="30" fillId="0" borderId="0" xfId="0" applyFont="1" applyFill="1" applyBorder="1" applyAlignment="1">
      <alignment horizontal="center" vertical="center"/>
    </xf>
    <xf numFmtId="3" fontId="31" fillId="0" borderId="0" xfId="0" applyNumberFormat="1" applyFont="1" applyFill="1" applyBorder="1" applyAlignment="1">
      <alignment horizontal="center" vertical="center"/>
    </xf>
    <xf numFmtId="0" fontId="10" fillId="0" borderId="0" xfId="0" applyFont="1" applyBorder="1" applyAlignment="1" quotePrefix="1">
      <alignment horizontal="left"/>
    </xf>
    <xf numFmtId="0" fontId="12" fillId="0" borderId="0" xfId="0" applyFont="1" applyFill="1" applyBorder="1" applyAlignment="1">
      <alignment horizontal="left"/>
    </xf>
    <xf numFmtId="9" fontId="10" fillId="0" borderId="0" xfId="22" applyFont="1" applyFill="1" applyBorder="1" applyAlignment="1">
      <alignment horizontal="center"/>
    </xf>
    <xf numFmtId="9" fontId="8" fillId="0" borderId="0" xfId="22" applyFont="1" applyFill="1" applyBorder="1" applyAlignment="1">
      <alignment horizontal="center" vertical="center"/>
    </xf>
    <xf numFmtId="0" fontId="12" fillId="0" borderId="0" xfId="0" applyFont="1" applyBorder="1" applyAlignment="1">
      <alignment/>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182" fontId="10" fillId="0" borderId="0" xfId="0" applyNumberFormat="1" applyFont="1" applyBorder="1" applyAlignment="1">
      <alignment/>
    </xf>
    <xf numFmtId="186" fontId="10" fillId="0" borderId="0" xfId="0" applyNumberFormat="1" applyFont="1" applyBorder="1" applyAlignment="1">
      <alignment/>
    </xf>
    <xf numFmtId="186" fontId="25" fillId="0" borderId="0" xfId="0" applyNumberFormat="1" applyFont="1" applyBorder="1" applyAlignment="1">
      <alignment/>
    </xf>
    <xf numFmtId="186" fontId="23" fillId="0" borderId="0" xfId="0" applyNumberFormat="1" applyFont="1" applyBorder="1" applyAlignment="1">
      <alignment/>
    </xf>
    <xf numFmtId="186" fontId="14" fillId="0" borderId="0" xfId="0" applyNumberFormat="1" applyFont="1" applyBorder="1" applyAlignment="1">
      <alignment horizontal="center"/>
    </xf>
    <xf numFmtId="186" fontId="10" fillId="0" borderId="0" xfId="0" applyNumberFormat="1" applyFont="1" applyAlignment="1">
      <alignment/>
    </xf>
    <xf numFmtId="0" fontId="32" fillId="0" borderId="0" xfId="0" applyFont="1" applyBorder="1" applyAlignment="1">
      <alignment horizontal="center"/>
    </xf>
    <xf numFmtId="0" fontId="0" fillId="0" borderId="0" xfId="0" applyFont="1" applyAlignment="1">
      <alignment/>
    </xf>
    <xf numFmtId="37" fontId="0" fillId="0" borderId="0" xfId="0" applyNumberFormat="1" applyFont="1" applyAlignment="1">
      <alignment/>
    </xf>
    <xf numFmtId="0" fontId="35" fillId="0" borderId="1" xfId="0" applyFont="1" applyBorder="1" applyAlignment="1">
      <alignment/>
    </xf>
    <xf numFmtId="0" fontId="35" fillId="0" borderId="0" xfId="0" applyFont="1" applyBorder="1" applyAlignment="1">
      <alignment horizontal="centerContinuous"/>
    </xf>
    <xf numFmtId="0" fontId="35" fillId="0" borderId="6" xfId="0" applyFont="1" applyBorder="1" applyAlignment="1">
      <alignment/>
    </xf>
    <xf numFmtId="0" fontId="35" fillId="0" borderId="0" xfId="0" applyFont="1" applyAlignment="1">
      <alignment/>
    </xf>
    <xf numFmtId="37" fontId="35" fillId="0" borderId="0" xfId="0" applyNumberFormat="1" applyFont="1" applyAlignment="1">
      <alignment/>
    </xf>
    <xf numFmtId="37" fontId="0" fillId="0" borderId="0" xfId="0" applyNumberFormat="1" applyFont="1" applyBorder="1" applyAlignment="1">
      <alignment horizontal="center"/>
    </xf>
    <xf numFmtId="0" fontId="33" fillId="0" borderId="0" xfId="0" applyFont="1" applyAlignment="1">
      <alignment/>
    </xf>
    <xf numFmtId="0" fontId="34" fillId="0" borderId="0" xfId="0" applyFont="1" applyAlignment="1">
      <alignment/>
    </xf>
    <xf numFmtId="0" fontId="38" fillId="0" borderId="0" xfId="0" applyFont="1" applyBorder="1" applyAlignment="1">
      <alignment horizontal="left"/>
    </xf>
    <xf numFmtId="3" fontId="0" fillId="0" borderId="0" xfId="0" applyNumberFormat="1" applyFont="1" applyBorder="1" applyAlignment="1">
      <alignment horizontal="center"/>
    </xf>
    <xf numFmtId="37" fontId="0" fillId="0" borderId="0" xfId="22" applyNumberFormat="1" applyFont="1" applyAlignment="1">
      <alignment horizontal="center"/>
    </xf>
    <xf numFmtId="37" fontId="0" fillId="0" borderId="0" xfId="0" applyNumberFormat="1" applyFont="1" applyAlignment="1">
      <alignment horizontal="center"/>
    </xf>
    <xf numFmtId="10" fontId="0" fillId="0" borderId="0" xfId="22" applyNumberFormat="1" applyFont="1" applyAlignment="1">
      <alignment/>
    </xf>
    <xf numFmtId="10" fontId="0" fillId="0" borderId="0" xfId="22" applyNumberFormat="1" applyFont="1" applyBorder="1" applyAlignment="1">
      <alignment horizontal="center"/>
    </xf>
    <xf numFmtId="37" fontId="0" fillId="0" borderId="0" xfId="22" applyNumberFormat="1" applyFont="1" applyBorder="1" applyAlignment="1">
      <alignment horizontal="center"/>
    </xf>
    <xf numFmtId="10" fontId="0" fillId="0" borderId="0" xfId="22" applyNumberFormat="1" applyFont="1" applyAlignment="1">
      <alignment horizontal="center"/>
    </xf>
    <xf numFmtId="0" fontId="39" fillId="0" borderId="0" xfId="0" applyFont="1" applyBorder="1" applyAlignment="1">
      <alignment/>
    </xf>
    <xf numFmtId="0" fontId="37" fillId="0" borderId="0" xfId="0" applyFont="1" applyBorder="1" applyAlignment="1">
      <alignment/>
    </xf>
    <xf numFmtId="0" fontId="40" fillId="0" borderId="0" xfId="0" applyFont="1" applyFill="1" applyBorder="1" applyAlignment="1">
      <alignment horizontal="left" vertical="center"/>
    </xf>
    <xf numFmtId="1" fontId="8" fillId="0" borderId="0" xfId="0" applyNumberFormat="1" applyFont="1" applyFill="1" applyBorder="1" applyAlignment="1">
      <alignment horizontal="left" vertical="center"/>
    </xf>
    <xf numFmtId="179" fontId="5" fillId="0" borderId="0" xfId="15" applyFont="1" applyFill="1" applyBorder="1" applyAlignment="1">
      <alignment horizontal="center" vertical="center"/>
    </xf>
    <xf numFmtId="0" fontId="41" fillId="0" borderId="0" xfId="0" applyFont="1" applyFill="1" applyBorder="1" applyAlignment="1">
      <alignment horizontal="center" vertical="center"/>
    </xf>
    <xf numFmtId="1" fontId="10" fillId="0" borderId="0" xfId="0" applyNumberFormat="1" applyFont="1" applyFill="1" applyBorder="1" applyAlignment="1">
      <alignment horizontal="center"/>
    </xf>
    <xf numFmtId="0" fontId="12" fillId="0" borderId="0" xfId="0" applyFont="1" applyBorder="1" applyAlignment="1">
      <alignment horizontal="centerContinuous" vertical="center"/>
    </xf>
    <xf numFmtId="3" fontId="41" fillId="0" borderId="0" xfId="0" applyNumberFormat="1" applyFont="1" applyFill="1" applyBorder="1" applyAlignment="1">
      <alignment horizontal="centerContinuous" vertical="center"/>
    </xf>
    <xf numFmtId="0" fontId="41" fillId="0" borderId="0" xfId="0" applyFont="1" applyFill="1" applyBorder="1" applyAlignment="1">
      <alignment horizontal="centerContinuous" vertical="center"/>
    </xf>
    <xf numFmtId="9" fontId="12" fillId="0" borderId="0" xfId="22" applyFont="1" applyFill="1" applyBorder="1" applyAlignment="1">
      <alignment horizontal="center"/>
    </xf>
    <xf numFmtId="1" fontId="12" fillId="0" borderId="0" xfId="0" applyNumberFormat="1" applyFont="1" applyFill="1" applyBorder="1" applyAlignment="1">
      <alignment horizontal="center"/>
    </xf>
    <xf numFmtId="3" fontId="42" fillId="0" borderId="0" xfId="0" applyNumberFormat="1" applyFont="1" applyFill="1" applyBorder="1" applyAlignment="1">
      <alignment horizontal="centerContinuous" vertical="center"/>
    </xf>
    <xf numFmtId="0" fontId="12" fillId="0" borderId="0" xfId="0" applyFont="1" applyBorder="1" applyAlignment="1">
      <alignment horizontal="left" vertical="center"/>
    </xf>
    <xf numFmtId="0" fontId="13" fillId="0" borderId="0" xfId="0" applyFont="1" applyBorder="1" applyAlignment="1">
      <alignment/>
    </xf>
    <xf numFmtId="3" fontId="10" fillId="0" borderId="0" xfId="0" applyNumberFormat="1" applyFont="1" applyFill="1" applyBorder="1" applyAlignment="1">
      <alignment horizontal="center"/>
    </xf>
    <xf numFmtId="3" fontId="10" fillId="0" borderId="0" xfId="0" applyNumberFormat="1" applyFont="1" applyFill="1" applyBorder="1" applyAlignment="1">
      <alignment/>
    </xf>
    <xf numFmtId="3" fontId="12" fillId="0" borderId="0" xfId="0" applyNumberFormat="1" applyFont="1" applyBorder="1" applyAlignment="1">
      <alignment/>
    </xf>
    <xf numFmtId="3" fontId="10" fillId="0" borderId="0" xfId="0" applyNumberFormat="1" applyFont="1" applyBorder="1" applyAlignment="1">
      <alignment horizontal="center" vertical="center"/>
    </xf>
    <xf numFmtId="3" fontId="10" fillId="0" borderId="0" xfId="22" applyNumberFormat="1" applyFont="1" applyFill="1" applyBorder="1" applyAlignment="1">
      <alignment horizontal="center"/>
    </xf>
    <xf numFmtId="0" fontId="11" fillId="0" borderId="0" xfId="0" applyFont="1" applyBorder="1" applyAlignment="1">
      <alignment horizontal="left"/>
    </xf>
    <xf numFmtId="1" fontId="10" fillId="0" borderId="0" xfId="0" applyNumberFormat="1" applyFont="1" applyBorder="1" applyAlignment="1">
      <alignment/>
    </xf>
    <xf numFmtId="3" fontId="10" fillId="0" borderId="0" xfId="0" applyNumberFormat="1" applyFont="1" applyBorder="1" applyAlignment="1">
      <alignment horizontal="right"/>
    </xf>
    <xf numFmtId="0" fontId="43" fillId="0" borderId="3" xfId="0" applyFont="1" applyFill="1" applyBorder="1" applyAlignment="1">
      <alignment vertical="center"/>
    </xf>
    <xf numFmtId="0" fontId="43" fillId="0" borderId="4" xfId="0" applyFont="1" applyFill="1" applyBorder="1" applyAlignment="1">
      <alignment horizontal="center" vertical="center"/>
    </xf>
    <xf numFmtId="0" fontId="43" fillId="0" borderId="4" xfId="0" applyFont="1" applyFill="1" applyBorder="1" applyAlignment="1">
      <alignment vertical="center"/>
    </xf>
    <xf numFmtId="0" fontId="43" fillId="0" borderId="5" xfId="0" applyFont="1" applyFill="1" applyBorder="1" applyAlignment="1">
      <alignment vertical="center"/>
    </xf>
    <xf numFmtId="0" fontId="43" fillId="0" borderId="0" xfId="0" applyFont="1" applyFill="1" applyBorder="1" applyAlignment="1">
      <alignment vertical="center"/>
    </xf>
    <xf numFmtId="0" fontId="18" fillId="0" borderId="1" xfId="0" applyFont="1" applyFill="1" applyBorder="1" applyAlignment="1">
      <alignment vertical="center"/>
    </xf>
    <xf numFmtId="0" fontId="11" fillId="0" borderId="0" xfId="0" applyFont="1" applyFill="1" applyBorder="1" applyAlignment="1">
      <alignment horizontal="centerContinuous" vertical="center"/>
    </xf>
    <xf numFmtId="0" fontId="18" fillId="0" borderId="0" xfId="0" applyFont="1" applyFill="1" applyBorder="1" applyAlignment="1">
      <alignment horizontal="centerContinuous" vertical="center"/>
    </xf>
    <xf numFmtId="0" fontId="18" fillId="0" borderId="6" xfId="0" applyFont="1" applyFill="1" applyBorder="1" applyAlignment="1">
      <alignment vertical="center"/>
    </xf>
    <xf numFmtId="0" fontId="18" fillId="0" borderId="0" xfId="0" applyFont="1" applyFill="1" applyBorder="1" applyAlignment="1">
      <alignment vertical="center"/>
    </xf>
    <xf numFmtId="0" fontId="43" fillId="0" borderId="1" xfId="0" applyFont="1" applyFill="1" applyBorder="1" applyAlignment="1">
      <alignment vertical="center"/>
    </xf>
    <xf numFmtId="0" fontId="43" fillId="0" borderId="0" xfId="0" applyFont="1" applyFill="1" applyBorder="1" applyAlignment="1">
      <alignment horizontal="center" vertical="center"/>
    </xf>
    <xf numFmtId="0" fontId="43" fillId="0" borderId="6" xfId="0" applyFont="1" applyFill="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4" fillId="0" borderId="0" xfId="0" applyFont="1" applyFill="1" applyBorder="1" applyAlignment="1">
      <alignment vertical="center"/>
    </xf>
    <xf numFmtId="0" fontId="46" fillId="0" borderId="0" xfId="0" applyFont="1" applyFill="1" applyBorder="1" applyAlignment="1">
      <alignment horizontal="center" vertical="center"/>
    </xf>
    <xf numFmtId="3" fontId="46" fillId="0" borderId="0" xfId="0" applyNumberFormat="1" applyFont="1" applyFill="1" applyBorder="1" applyAlignment="1">
      <alignment horizontal="centerContinuous" vertical="center"/>
    </xf>
    <xf numFmtId="3" fontId="46" fillId="0" borderId="0" xfId="0" applyNumberFormat="1" applyFont="1" applyFill="1" applyBorder="1" applyAlignment="1">
      <alignment horizontal="center" vertical="center"/>
    </xf>
    <xf numFmtId="3" fontId="47" fillId="0" borderId="0" xfId="0" applyNumberFormat="1" applyFont="1" applyFill="1" applyBorder="1" applyAlignment="1">
      <alignment vertical="center"/>
    </xf>
    <xf numFmtId="3" fontId="48" fillId="0" borderId="0" xfId="0" applyNumberFormat="1" applyFont="1" applyFill="1" applyBorder="1" applyAlignment="1">
      <alignment horizontal="center" vertical="center"/>
    </xf>
    <xf numFmtId="9" fontId="48" fillId="0" borderId="0" xfId="22" applyFont="1" applyFill="1" applyBorder="1" applyAlignment="1">
      <alignment horizontal="center" vertical="center"/>
    </xf>
    <xf numFmtId="3" fontId="44" fillId="0" borderId="0" xfId="0" applyNumberFormat="1" applyFont="1" applyFill="1" applyBorder="1" applyAlignment="1">
      <alignment vertical="center"/>
    </xf>
    <xf numFmtId="186" fontId="48" fillId="0" borderId="0" xfId="0" applyNumberFormat="1" applyFont="1" applyFill="1" applyBorder="1" applyAlignment="1">
      <alignment horizontal="center" vertical="center"/>
    </xf>
    <xf numFmtId="3" fontId="43" fillId="0" borderId="0" xfId="0" applyNumberFormat="1" applyFont="1" applyFill="1" applyBorder="1" applyAlignment="1">
      <alignment horizontal="center" vertical="center"/>
    </xf>
    <xf numFmtId="3" fontId="43" fillId="0" borderId="0" xfId="0" applyNumberFormat="1" applyFont="1" applyFill="1" applyBorder="1" applyAlignment="1">
      <alignment vertical="center"/>
    </xf>
    <xf numFmtId="9" fontId="43" fillId="0" borderId="0" xfId="22" applyFont="1" applyFill="1" applyBorder="1" applyAlignment="1">
      <alignment horizontal="center" vertical="center"/>
    </xf>
    <xf numFmtId="0" fontId="48" fillId="0" borderId="2" xfId="0" applyFont="1" applyFill="1" applyBorder="1" applyAlignment="1">
      <alignment vertical="center"/>
    </xf>
    <xf numFmtId="1" fontId="48" fillId="0" borderId="2" xfId="0" applyNumberFormat="1" applyFont="1" applyFill="1" applyBorder="1" applyAlignment="1">
      <alignment horizontal="center" vertical="center"/>
    </xf>
    <xf numFmtId="1" fontId="48" fillId="0" borderId="0" xfId="0" applyNumberFormat="1" applyFont="1" applyFill="1" applyBorder="1" applyAlignment="1">
      <alignment horizontal="center" vertical="center"/>
    </xf>
    <xf numFmtId="1" fontId="43" fillId="0" borderId="0" xfId="0" applyNumberFormat="1" applyFont="1" applyFill="1" applyBorder="1" applyAlignment="1">
      <alignment horizontal="center" vertical="center"/>
    </xf>
    <xf numFmtId="0" fontId="43" fillId="0" borderId="0" xfId="0" applyFont="1" applyFill="1" applyBorder="1" applyAlignment="1">
      <alignment horizontal="left" vertical="center"/>
    </xf>
    <xf numFmtId="0" fontId="43" fillId="0" borderId="7" xfId="0" applyFont="1" applyFill="1" applyBorder="1" applyAlignment="1">
      <alignment vertical="center"/>
    </xf>
    <xf numFmtId="0" fontId="43" fillId="0" borderId="8" xfId="0" applyFont="1" applyFill="1" applyBorder="1" applyAlignment="1">
      <alignment vertical="center"/>
    </xf>
    <xf numFmtId="0" fontId="43" fillId="0" borderId="8" xfId="0" applyFont="1" applyFill="1" applyBorder="1" applyAlignment="1">
      <alignment horizontal="center" vertical="center"/>
    </xf>
    <xf numFmtId="0" fontId="43" fillId="0" borderId="9" xfId="0" applyFont="1" applyFill="1" applyBorder="1" applyAlignment="1">
      <alignment vertical="center"/>
    </xf>
    <xf numFmtId="2" fontId="43" fillId="0" borderId="0" xfId="0" applyNumberFormat="1" applyFont="1" applyFill="1" applyBorder="1" applyAlignment="1">
      <alignment vertical="center"/>
    </xf>
    <xf numFmtId="1" fontId="43" fillId="0" borderId="0" xfId="0" applyNumberFormat="1" applyFont="1" applyFill="1" applyBorder="1" applyAlignment="1">
      <alignment vertical="center"/>
    </xf>
    <xf numFmtId="0" fontId="48" fillId="0" borderId="0" xfId="0" applyFont="1" applyFill="1" applyBorder="1" applyAlignment="1">
      <alignment horizontal="center" vertical="center"/>
    </xf>
    <xf numFmtId="0" fontId="47" fillId="0" borderId="0" xfId="0" applyFont="1" applyFill="1" applyBorder="1" applyAlignment="1">
      <alignment horizontal="center" vertical="center"/>
    </xf>
    <xf numFmtId="3" fontId="45" fillId="0" borderId="0" xfId="0" applyNumberFormat="1" applyFont="1" applyFill="1" applyBorder="1" applyAlignment="1">
      <alignment horizontal="center" vertical="center"/>
    </xf>
    <xf numFmtId="3" fontId="47" fillId="0" borderId="0" xfId="0" applyNumberFormat="1" applyFont="1" applyFill="1" applyBorder="1" applyAlignment="1">
      <alignment horizontal="center" vertical="center"/>
    </xf>
    <xf numFmtId="3" fontId="49" fillId="0" borderId="0" xfId="0" applyNumberFormat="1" applyFont="1" applyFill="1" applyBorder="1" applyAlignment="1">
      <alignment vertical="center"/>
    </xf>
    <xf numFmtId="3" fontId="12" fillId="0" borderId="0" xfId="15" applyNumberFormat="1" applyFont="1" applyFill="1" applyBorder="1" applyAlignment="1">
      <alignment horizontal="center"/>
    </xf>
    <xf numFmtId="0" fontId="51" fillId="0" borderId="0" xfId="0" applyFont="1" applyFill="1" applyBorder="1" applyAlignment="1">
      <alignment vertical="center"/>
    </xf>
    <xf numFmtId="0" fontId="35" fillId="0" borderId="3" xfId="0" applyFont="1" applyBorder="1" applyAlignment="1">
      <alignment/>
    </xf>
    <xf numFmtId="0" fontId="35" fillId="0" borderId="4" xfId="0" applyFont="1" applyBorder="1" applyAlignment="1">
      <alignment horizontal="center"/>
    </xf>
    <xf numFmtId="0" fontId="35" fillId="0" borderId="4" xfId="0" applyFont="1" applyBorder="1" applyAlignment="1">
      <alignment/>
    </xf>
    <xf numFmtId="0" fontId="35" fillId="0" borderId="5" xfId="0" applyFont="1" applyBorder="1" applyAlignment="1">
      <alignment/>
    </xf>
    <xf numFmtId="0" fontId="36" fillId="0" borderId="0" xfId="0" applyFont="1" applyBorder="1" applyAlignment="1">
      <alignment horizontal="centerContinuous"/>
    </xf>
    <xf numFmtId="0" fontId="35" fillId="0" borderId="0" xfId="0" applyFont="1" applyBorder="1" applyAlignment="1" applyProtection="1">
      <alignment horizontal="centerContinuous"/>
      <protection locked="0"/>
    </xf>
    <xf numFmtId="0" fontId="52" fillId="0" borderId="1" xfId="0" applyFont="1" applyBorder="1" applyAlignment="1">
      <alignment horizontal="center"/>
    </xf>
    <xf numFmtId="0" fontId="52" fillId="0" borderId="0" xfId="0" applyFont="1" applyBorder="1" applyAlignment="1">
      <alignment horizontal="left"/>
    </xf>
    <xf numFmtId="0" fontId="52" fillId="0" borderId="0" xfId="0" applyFont="1" applyBorder="1" applyAlignment="1">
      <alignment horizontal="center"/>
    </xf>
    <xf numFmtId="0" fontId="52" fillId="0" borderId="6" xfId="0" applyFont="1" applyBorder="1" applyAlignment="1">
      <alignment horizontal="center"/>
    </xf>
    <xf numFmtId="0" fontId="52" fillId="0" borderId="0" xfId="0" applyFont="1" applyAlignment="1">
      <alignment horizontal="center"/>
    </xf>
    <xf numFmtId="37" fontId="52" fillId="0" borderId="0" xfId="0" applyNumberFormat="1" applyFont="1" applyAlignment="1">
      <alignment horizontal="center"/>
    </xf>
    <xf numFmtId="0" fontId="53" fillId="0" borderId="0" xfId="0" applyFont="1" applyBorder="1" applyAlignment="1">
      <alignment horizontal="left"/>
    </xf>
    <xf numFmtId="1" fontId="52" fillId="0" borderId="0" xfId="0" applyNumberFormat="1" applyFont="1" applyAlignment="1">
      <alignment horizontal="center"/>
    </xf>
    <xf numFmtId="3" fontId="52" fillId="0" borderId="0" xfId="0" applyNumberFormat="1" applyFont="1" applyBorder="1" applyAlignment="1">
      <alignment horizontal="left"/>
    </xf>
    <xf numFmtId="3" fontId="54" fillId="0" borderId="0" xfId="0" applyNumberFormat="1" applyFont="1" applyBorder="1" applyAlignment="1">
      <alignment horizontal="center"/>
    </xf>
    <xf numFmtId="3" fontId="52" fillId="0" borderId="1" xfId="0" applyNumberFormat="1" applyFont="1" applyBorder="1" applyAlignment="1">
      <alignment horizontal="center"/>
    </xf>
    <xf numFmtId="3" fontId="54" fillId="0" borderId="0" xfId="0" applyNumberFormat="1" applyFont="1" applyBorder="1" applyAlignment="1">
      <alignment horizontal="left"/>
    </xf>
    <xf numFmtId="186" fontId="55" fillId="0" borderId="0" xfId="0" applyNumberFormat="1" applyFont="1" applyFill="1" applyBorder="1" applyAlignment="1">
      <alignment horizontal="center" vertical="center"/>
    </xf>
    <xf numFmtId="9" fontId="54" fillId="0" borderId="0" xfId="22" applyFont="1" applyBorder="1" applyAlignment="1">
      <alignment horizontal="center"/>
    </xf>
    <xf numFmtId="3" fontId="52" fillId="0" borderId="6" xfId="0" applyNumberFormat="1" applyFont="1" applyBorder="1" applyAlignment="1">
      <alignment horizontal="center"/>
    </xf>
    <xf numFmtId="3" fontId="52" fillId="0" borderId="0" xfId="0" applyNumberFormat="1" applyFont="1" applyAlignment="1">
      <alignment horizontal="center"/>
    </xf>
    <xf numFmtId="186" fontId="54" fillId="0" borderId="0" xfId="0" applyNumberFormat="1" applyFont="1" applyBorder="1" applyAlignment="1">
      <alignment horizontal="center"/>
    </xf>
    <xf numFmtId="0" fontId="54" fillId="0" borderId="1" xfId="0" applyFont="1" applyBorder="1" applyAlignment="1">
      <alignment/>
    </xf>
    <xf numFmtId="0" fontId="54" fillId="0" borderId="0" xfId="0" applyFont="1" applyBorder="1" applyAlignment="1">
      <alignment/>
    </xf>
    <xf numFmtId="0" fontId="54" fillId="0" borderId="0" xfId="0" applyFont="1" applyBorder="1" applyAlignment="1">
      <alignment horizontal="center"/>
    </xf>
    <xf numFmtId="37" fontId="54" fillId="0" borderId="6" xfId="0" applyNumberFormat="1" applyFont="1" applyBorder="1" applyAlignment="1">
      <alignment horizontal="center"/>
    </xf>
    <xf numFmtId="37" fontId="54" fillId="0" borderId="0" xfId="0" applyNumberFormat="1" applyFont="1" applyBorder="1" applyAlignment="1">
      <alignment horizontal="center"/>
    </xf>
    <xf numFmtId="0" fontId="54" fillId="0" borderId="0" xfId="0" applyFont="1" applyAlignment="1">
      <alignment/>
    </xf>
    <xf numFmtId="0" fontId="54" fillId="0" borderId="2" xfId="0" applyFont="1" applyBorder="1" applyAlignment="1">
      <alignment/>
    </xf>
    <xf numFmtId="39" fontId="54" fillId="0" borderId="0" xfId="15" applyNumberFormat="1" applyFont="1" applyBorder="1" applyAlignment="1">
      <alignment horizontal="center"/>
    </xf>
    <xf numFmtId="213" fontId="54" fillId="0" borderId="0" xfId="15" applyNumberFormat="1" applyFont="1" applyBorder="1" applyAlignment="1">
      <alignment horizontal="center"/>
    </xf>
    <xf numFmtId="5" fontId="54" fillId="0" borderId="0" xfId="15" applyNumberFormat="1" applyFont="1" applyBorder="1" applyAlignment="1">
      <alignment horizontal="center"/>
    </xf>
    <xf numFmtId="0" fontId="54" fillId="0" borderId="7" xfId="0" applyFont="1" applyBorder="1" applyAlignment="1">
      <alignment/>
    </xf>
    <xf numFmtId="0" fontId="54" fillId="0" borderId="8" xfId="0" applyFont="1" applyBorder="1" applyAlignment="1">
      <alignment/>
    </xf>
    <xf numFmtId="0" fontId="54" fillId="0" borderId="8" xfId="0" applyFont="1" applyBorder="1" applyAlignment="1">
      <alignment horizontal="center"/>
    </xf>
    <xf numFmtId="37" fontId="54" fillId="0" borderId="9" xfId="0" applyNumberFormat="1" applyFont="1" applyBorder="1" applyAlignment="1">
      <alignment horizontal="center"/>
    </xf>
    <xf numFmtId="0" fontId="54" fillId="0" borderId="0" xfId="0" applyFont="1" applyAlignment="1">
      <alignment horizontal="center"/>
    </xf>
    <xf numFmtId="186" fontId="11" fillId="0" borderId="0" xfId="0" applyNumberFormat="1" applyFont="1" applyBorder="1" applyAlignment="1">
      <alignment horizontal="center"/>
    </xf>
    <xf numFmtId="186" fontId="12" fillId="0" borderId="0" xfId="0" applyNumberFormat="1" applyFont="1" applyBorder="1" applyAlignment="1">
      <alignment horizontal="center"/>
    </xf>
    <xf numFmtId="186" fontId="12" fillId="0" borderId="0" xfId="0" applyNumberFormat="1" applyFont="1" applyAlignment="1">
      <alignment/>
    </xf>
    <xf numFmtId="213" fontId="11" fillId="0" borderId="0" xfId="0" applyNumberFormat="1" applyFont="1" applyBorder="1" applyAlignment="1">
      <alignment horizontal="center"/>
    </xf>
    <xf numFmtId="9" fontId="56" fillId="0" borderId="0" xfId="22" applyFont="1" applyBorder="1" applyAlignment="1">
      <alignment horizontal="center"/>
    </xf>
    <xf numFmtId="0" fontId="3" fillId="0" borderId="0" xfId="0" applyFont="1" applyAlignment="1">
      <alignment vertical="center" wrapText="1"/>
    </xf>
    <xf numFmtId="0" fontId="57" fillId="0" borderId="0" xfId="0" applyFont="1" applyAlignment="1">
      <alignment horizontal="right" vertical="center" wrapText="1"/>
    </xf>
    <xf numFmtId="0" fontId="58"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Alignment="1">
      <alignment horizontal="center" vertical="center" wrapText="1"/>
    </xf>
    <xf numFmtId="0" fontId="3" fillId="0" borderId="15" xfId="0" applyFont="1" applyBorder="1" applyAlignment="1">
      <alignment horizontal="left" vertical="center" wrapText="1"/>
    </xf>
    <xf numFmtId="14" fontId="3" fillId="0" borderId="16" xfId="0" applyNumberFormat="1" applyFont="1" applyBorder="1" applyAlignment="1">
      <alignment horizontal="left" vertical="center" wrapText="1"/>
    </xf>
    <xf numFmtId="0" fontId="3" fillId="0" borderId="15"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vertical="center" wrapText="1"/>
    </xf>
    <xf numFmtId="0" fontId="3" fillId="0" borderId="18" xfId="0" applyFont="1" applyBorder="1" applyAlignment="1">
      <alignment vertical="center" wrapText="1"/>
    </xf>
    <xf numFmtId="0" fontId="3" fillId="0" borderId="20" xfId="0" applyFont="1" applyBorder="1" applyAlignment="1">
      <alignment vertical="center" wrapText="1"/>
    </xf>
    <xf numFmtId="0" fontId="2" fillId="0" borderId="18" xfId="20" applyFont="1" applyBorder="1" applyAlignment="1">
      <alignment vertical="center" wrapText="1"/>
    </xf>
    <xf numFmtId="0" fontId="3" fillId="0" borderId="21" xfId="0" applyFont="1" applyBorder="1" applyAlignment="1">
      <alignment vertical="center"/>
    </xf>
    <xf numFmtId="2" fontId="2" fillId="0" borderId="18" xfId="20" applyBorder="1" applyAlignment="1">
      <alignment vertical="center" wrapText="1"/>
    </xf>
    <xf numFmtId="0" fontId="2" fillId="0" borderId="18" xfId="20" applyBorder="1" applyAlignment="1">
      <alignment vertical="center" wrapText="1"/>
    </xf>
    <xf numFmtId="0" fontId="3" fillId="0" borderId="22" xfId="0" applyFont="1" applyBorder="1" applyAlignment="1">
      <alignment vertical="center" wrapText="1"/>
    </xf>
    <xf numFmtId="0" fontId="20" fillId="0" borderId="0" xfId="0" applyFont="1" applyAlignment="1">
      <alignment vertical="center" wrapText="1"/>
    </xf>
    <xf numFmtId="0" fontId="58" fillId="0" borderId="0" xfId="0" applyFont="1" applyAlignment="1">
      <alignment vertical="center" wrapText="1"/>
    </xf>
    <xf numFmtId="0" fontId="3" fillId="0" borderId="0" xfId="0" applyFont="1" applyBorder="1" applyAlignment="1">
      <alignment horizontal="left" vertical="center" wrapText="1"/>
    </xf>
    <xf numFmtId="0" fontId="59" fillId="0" borderId="0" xfId="0" applyFont="1" applyAlignment="1">
      <alignment vertical="center" wrapText="1"/>
    </xf>
    <xf numFmtId="0" fontId="60" fillId="0" borderId="0" xfId="0" applyFont="1" applyAlignment="1">
      <alignment horizontal="right"/>
    </xf>
    <xf numFmtId="0" fontId="3" fillId="0" borderId="0" xfId="0" applyFont="1" applyAlignment="1">
      <alignment/>
    </xf>
    <xf numFmtId="0" fontId="20" fillId="0" borderId="0" xfId="0" applyFont="1" applyAlignment="1">
      <alignment/>
    </xf>
    <xf numFmtId="0" fontId="62" fillId="0" borderId="0" xfId="0" applyFont="1" applyAlignment="1">
      <alignment/>
    </xf>
    <xf numFmtId="0" fontId="23" fillId="0" borderId="0" xfId="0" applyFont="1" applyAlignment="1">
      <alignment/>
    </xf>
    <xf numFmtId="0" fontId="57" fillId="0" borderId="0" xfId="0" applyFont="1" applyAlignment="1">
      <alignment horizontal="right"/>
    </xf>
    <xf numFmtId="0" fontId="61" fillId="0" borderId="23" xfId="0" applyFont="1" applyBorder="1" applyAlignment="1">
      <alignment horizontal="center" vertical="center"/>
    </xf>
    <xf numFmtId="0" fontId="3" fillId="0" borderId="23" xfId="0" applyFont="1" applyBorder="1" applyAlignment="1">
      <alignment horizontal="center" vertical="center" wrapText="1"/>
    </xf>
    <xf numFmtId="0" fontId="64" fillId="0" borderId="24" xfId="0" applyFont="1" applyBorder="1" applyAlignment="1">
      <alignment horizontal="center" vertical="center" wrapText="1"/>
    </xf>
    <xf numFmtId="0" fontId="3" fillId="0" borderId="25" xfId="0" applyFont="1" applyBorder="1" applyAlignment="1">
      <alignment vertical="center" wrapText="1"/>
    </xf>
    <xf numFmtId="9" fontId="61" fillId="2" borderId="25" xfId="0" applyNumberFormat="1" applyFont="1" applyFill="1" applyBorder="1" applyAlignment="1">
      <alignment horizontal="center" vertical="center" wrapText="1"/>
    </xf>
    <xf numFmtId="9" fontId="3" fillId="0" borderId="25" xfId="0" applyNumberFormat="1" applyFont="1" applyBorder="1" applyAlignment="1">
      <alignment horizontal="center" vertical="center" wrapText="1"/>
    </xf>
    <xf numFmtId="0" fontId="3" fillId="0" borderId="26" xfId="0" applyFont="1" applyBorder="1" applyAlignment="1">
      <alignment horizontal="center" vertical="center" wrapText="1"/>
    </xf>
    <xf numFmtId="9" fontId="3" fillId="3" borderId="26" xfId="0" applyNumberFormat="1" applyFont="1" applyFill="1" applyBorder="1" applyAlignment="1">
      <alignment horizontal="center" vertical="center"/>
    </xf>
    <xf numFmtId="0" fontId="65" fillId="0" borderId="27" xfId="0" applyFont="1" applyFill="1" applyBorder="1" applyAlignment="1">
      <alignment horizontal="center" vertical="center" wrapText="1"/>
    </xf>
    <xf numFmtId="0" fontId="3" fillId="0" borderId="21" xfId="0" applyFont="1" applyFill="1" applyBorder="1" applyAlignment="1">
      <alignment vertical="center"/>
    </xf>
    <xf numFmtId="0" fontId="66" fillId="0" borderId="0" xfId="0" applyFont="1" applyAlignment="1">
      <alignment horizontal="center" vertical="center"/>
    </xf>
    <xf numFmtId="0" fontId="58" fillId="0" borderId="28" xfId="0" applyFont="1" applyBorder="1" applyAlignment="1">
      <alignment horizontal="left" vertical="center"/>
    </xf>
    <xf numFmtId="0" fontId="61" fillId="0" borderId="28" xfId="0" applyFont="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vertical="center"/>
    </xf>
    <xf numFmtId="0" fontId="3" fillId="0" borderId="24" xfId="0" applyFont="1" applyBorder="1" applyAlignment="1">
      <alignment vertical="center"/>
    </xf>
    <xf numFmtId="49" fontId="3" fillId="0" borderId="24" xfId="0" applyNumberFormat="1" applyFont="1" applyBorder="1" applyAlignment="1">
      <alignment horizontal="center" vertical="center"/>
    </xf>
    <xf numFmtId="0" fontId="58" fillId="0" borderId="30" xfId="0" applyFont="1" applyBorder="1" applyAlignment="1">
      <alignment vertical="center"/>
    </xf>
    <xf numFmtId="0" fontId="63" fillId="0" borderId="25" xfId="20" applyFont="1" applyBorder="1" applyAlignment="1">
      <alignment vertical="center"/>
    </xf>
    <xf numFmtId="0" fontId="63" fillId="0" borderId="27" xfId="20" applyFont="1" applyBorder="1" applyAlignment="1">
      <alignment vertical="center"/>
    </xf>
    <xf numFmtId="0" fontId="3" fillId="0" borderId="31" xfId="0" applyFont="1" applyBorder="1" applyAlignment="1">
      <alignment vertical="center"/>
    </xf>
    <xf numFmtId="0" fontId="3" fillId="0" borderId="27"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182" fontId="61" fillId="0" borderId="0" xfId="0" applyNumberFormat="1" applyFont="1" applyFill="1" applyBorder="1" applyAlignment="1">
      <alignment horizontal="center" vertical="center"/>
    </xf>
    <xf numFmtId="182" fontId="3" fillId="0" borderId="0" xfId="0" applyNumberFormat="1" applyFont="1" applyBorder="1" applyAlignment="1">
      <alignment horizontal="center" vertical="center"/>
    </xf>
    <xf numFmtId="0" fontId="3" fillId="0" borderId="0" xfId="0" applyFont="1" applyBorder="1" applyAlignment="1">
      <alignment horizontal="center" vertical="center"/>
    </xf>
    <xf numFmtId="182" fontId="3" fillId="0" borderId="0" xfId="0" applyNumberFormat="1" applyFont="1" applyFill="1" applyBorder="1" applyAlignment="1">
      <alignment horizontal="center" vertical="center"/>
    </xf>
    <xf numFmtId="0" fontId="58" fillId="0" borderId="0" xfId="0" applyFont="1" applyAlignment="1">
      <alignment/>
    </xf>
    <xf numFmtId="0" fontId="58" fillId="0" borderId="0" xfId="0" applyFont="1" applyAlignment="1">
      <alignment horizontal="right"/>
    </xf>
    <xf numFmtId="180" fontId="67" fillId="4" borderId="30" xfId="0" applyNumberFormat="1" applyFont="1" applyFill="1" applyBorder="1" applyAlignment="1">
      <alignment horizontal="center"/>
    </xf>
    <xf numFmtId="10" fontId="3" fillId="0" borderId="0" xfId="0" applyNumberFormat="1" applyFont="1" applyAlignment="1">
      <alignment/>
    </xf>
    <xf numFmtId="180" fontId="67" fillId="0" borderId="0" xfId="0" applyNumberFormat="1" applyFont="1" applyFill="1" applyBorder="1" applyAlignment="1">
      <alignment/>
    </xf>
    <xf numFmtId="0" fontId="58" fillId="0" borderId="0" xfId="0" applyFont="1" applyFill="1" applyBorder="1" applyAlignment="1">
      <alignment horizontal="right"/>
    </xf>
    <xf numFmtId="180" fontId="58" fillId="0" borderId="30" xfId="0" applyNumberFormat="1" applyFont="1" applyBorder="1" applyAlignment="1">
      <alignment horizontal="center"/>
    </xf>
    <xf numFmtId="0" fontId="2" fillId="0" borderId="11" xfId="20" applyFill="1" applyBorder="1" applyAlignment="1">
      <alignment vertical="center" wrapText="1"/>
    </xf>
    <xf numFmtId="0" fontId="3" fillId="0" borderId="11" xfId="0" applyFont="1" applyBorder="1" applyAlignment="1">
      <alignment vertical="center" wrapText="1"/>
    </xf>
    <xf numFmtId="9" fontId="68" fillId="4" borderId="0" xfId="22" applyFont="1" applyFill="1" applyBorder="1" applyAlignment="1">
      <alignment horizontal="center"/>
    </xf>
    <xf numFmtId="9" fontId="70" fillId="2" borderId="0" xfId="15" applyNumberFormat="1" applyFont="1" applyFill="1" applyBorder="1" applyAlignment="1">
      <alignment horizontal="center"/>
    </xf>
    <xf numFmtId="9" fontId="70" fillId="2" borderId="0" xfId="0" applyNumberFormat="1" applyFont="1" applyFill="1" applyBorder="1" applyAlignment="1">
      <alignment horizontal="center"/>
    </xf>
    <xf numFmtId="9" fontId="61" fillId="2" borderId="24" xfId="0" applyNumberFormat="1" applyFont="1" applyFill="1" applyBorder="1" applyAlignment="1">
      <alignment horizontal="center" vertical="center"/>
    </xf>
    <xf numFmtId="9" fontId="3" fillId="0" borderId="32" xfId="0" applyNumberFormat="1" applyFont="1" applyFill="1" applyBorder="1" applyAlignment="1">
      <alignment horizontal="center" vertical="center"/>
    </xf>
    <xf numFmtId="9" fontId="3" fillId="3" borderId="33" xfId="0" applyNumberFormat="1" applyFont="1" applyFill="1" applyBorder="1" applyAlignment="1">
      <alignment horizontal="center" vertical="center"/>
    </xf>
    <xf numFmtId="9" fontId="71" fillId="0" borderId="0" xfId="22" applyFont="1" applyFill="1" applyBorder="1" applyAlignment="1">
      <alignment horizontal="center" vertical="center"/>
    </xf>
    <xf numFmtId="9" fontId="72" fillId="0" borderId="0" xfId="22" applyFont="1" applyFill="1" applyBorder="1" applyAlignment="1">
      <alignment horizontal="center" vertical="center"/>
    </xf>
    <xf numFmtId="218" fontId="54" fillId="0" borderId="0" xfId="22" applyNumberFormat="1" applyFont="1" applyBorder="1" applyAlignment="1">
      <alignment horizontal="center"/>
    </xf>
    <xf numFmtId="218" fontId="54" fillId="0" borderId="0" xfId="0" applyNumberFormat="1" applyFont="1" applyBorder="1" applyAlignment="1">
      <alignment horizontal="center"/>
    </xf>
    <xf numFmtId="0" fontId="54" fillId="0" borderId="34" xfId="0" applyFont="1" applyBorder="1" applyAlignment="1">
      <alignment horizontal="center"/>
    </xf>
    <xf numFmtId="186" fontId="54" fillId="0" borderId="2" xfId="0" applyNumberFormat="1" applyFont="1" applyBorder="1" applyAlignment="1">
      <alignment horizontal="center"/>
    </xf>
    <xf numFmtId="3" fontId="54" fillId="0" borderId="2" xfId="0" applyNumberFormat="1" applyFont="1" applyBorder="1" applyAlignment="1">
      <alignment horizontal="center"/>
    </xf>
    <xf numFmtId="9" fontId="54" fillId="0" borderId="2" xfId="0" applyNumberFormat="1" applyFont="1" applyBorder="1" applyAlignment="1">
      <alignment horizontal="center"/>
    </xf>
    <xf numFmtId="3" fontId="73" fillId="0" borderId="0" xfId="0" applyNumberFormat="1" applyFont="1" applyBorder="1" applyAlignment="1">
      <alignment horizontal="center"/>
    </xf>
    <xf numFmtId="2" fontId="0" fillId="0" borderId="0" xfId="22" applyNumberFormat="1" applyFont="1" applyAlignment="1">
      <alignment/>
    </xf>
    <xf numFmtId="2" fontId="0" fillId="0" borderId="0" xfId="0" applyNumberFormat="1" applyFont="1" applyAlignment="1">
      <alignment/>
    </xf>
    <xf numFmtId="2" fontId="0" fillId="0" borderId="0" xfId="0" applyNumberFormat="1" applyFont="1" applyAlignment="1">
      <alignment horizontal="center"/>
    </xf>
    <xf numFmtId="0" fontId="74" fillId="0" borderId="0" xfId="0" applyFont="1" applyAlignment="1">
      <alignment/>
    </xf>
    <xf numFmtId="0" fontId="58" fillId="0" borderId="0" xfId="0" applyFont="1" applyFill="1" applyAlignment="1">
      <alignment vertical="center" wrapText="1"/>
    </xf>
    <xf numFmtId="0" fontId="10" fillId="0" borderId="35" xfId="0" applyFont="1" applyBorder="1" applyAlignment="1">
      <alignment/>
    </xf>
    <xf numFmtId="0" fontId="10" fillId="0" borderId="36" xfId="0" applyFont="1" applyBorder="1" applyAlignment="1">
      <alignment/>
    </xf>
    <xf numFmtId="0" fontId="10" fillId="0" borderId="37" xfId="0" applyFont="1" applyBorder="1" applyAlignment="1">
      <alignment/>
    </xf>
    <xf numFmtId="0" fontId="10" fillId="0" borderId="37" xfId="0" applyFont="1" applyFill="1" applyBorder="1" applyAlignment="1">
      <alignment/>
    </xf>
    <xf numFmtId="0" fontId="10" fillId="0" borderId="37" xfId="0" applyFont="1" applyFill="1" applyBorder="1" applyAlignment="1">
      <alignment horizontal="center"/>
    </xf>
    <xf numFmtId="0" fontId="10" fillId="0" borderId="37" xfId="0" applyFont="1" applyBorder="1" applyAlignment="1">
      <alignment horizontal="center"/>
    </xf>
    <xf numFmtId="0" fontId="10" fillId="0" borderId="38" xfId="0" applyFont="1" applyBorder="1" applyAlignment="1">
      <alignment/>
    </xf>
    <xf numFmtId="0" fontId="10" fillId="0" borderId="34" xfId="0" applyFont="1" applyBorder="1" applyAlignment="1">
      <alignment horizontal="left"/>
    </xf>
    <xf numFmtId="0" fontId="10" fillId="0" borderId="34" xfId="0" applyFont="1" applyBorder="1" applyAlignment="1">
      <alignment/>
    </xf>
    <xf numFmtId="0" fontId="10" fillId="0" borderId="34" xfId="0" applyFont="1" applyBorder="1" applyAlignment="1">
      <alignment horizontal="center"/>
    </xf>
    <xf numFmtId="0" fontId="10" fillId="0" borderId="39" xfId="0" applyFont="1" applyBorder="1" applyAlignment="1">
      <alignment horizontal="center"/>
    </xf>
    <xf numFmtId="0" fontId="9" fillId="0" borderId="36" xfId="0" applyFont="1" applyFill="1" applyBorder="1" applyAlignment="1">
      <alignment vertical="center"/>
    </xf>
    <xf numFmtId="0" fontId="9" fillId="0" borderId="37"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4" xfId="0" applyFont="1" applyFill="1" applyBorder="1" applyAlignment="1">
      <alignment vertical="center"/>
    </xf>
    <xf numFmtId="0" fontId="5" fillId="0" borderId="34" xfId="0" applyFont="1" applyFill="1" applyBorder="1" applyAlignment="1">
      <alignment horizontal="center" vertical="center"/>
    </xf>
    <xf numFmtId="0" fontId="5" fillId="0" borderId="39" xfId="0" applyFont="1" applyFill="1" applyBorder="1" applyAlignment="1">
      <alignment vertical="center"/>
    </xf>
    <xf numFmtId="0" fontId="0" fillId="0" borderId="2" xfId="0" applyBorder="1" applyAlignment="1">
      <alignment/>
    </xf>
    <xf numFmtId="0" fontId="0" fillId="0" borderId="35" xfId="0" applyBorder="1" applyAlignment="1">
      <alignment/>
    </xf>
    <xf numFmtId="0" fontId="16" fillId="0" borderId="36" xfId="0" applyFont="1" applyBorder="1" applyAlignment="1">
      <alignment/>
    </xf>
    <xf numFmtId="0" fontId="16" fillId="0" borderId="37" xfId="0" applyFont="1" applyBorder="1" applyAlignment="1">
      <alignment/>
    </xf>
    <xf numFmtId="0" fontId="18" fillId="0" borderId="36" xfId="0" applyFont="1" applyBorder="1" applyAlignment="1">
      <alignment/>
    </xf>
    <xf numFmtId="0" fontId="18" fillId="0" borderId="37" xfId="0" applyFont="1" applyBorder="1" applyAlignment="1">
      <alignment/>
    </xf>
    <xf numFmtId="0" fontId="19" fillId="0" borderId="36" xfId="0" applyFont="1" applyBorder="1" applyAlignment="1">
      <alignment/>
    </xf>
    <xf numFmtId="0" fontId="19" fillId="0" borderId="37" xfId="0" applyFont="1" applyBorder="1" applyAlignment="1">
      <alignment/>
    </xf>
    <xf numFmtId="0" fontId="12" fillId="0" borderId="36" xfId="0" applyFont="1" applyBorder="1" applyAlignment="1">
      <alignment horizontal="center"/>
    </xf>
    <xf numFmtId="0" fontId="12" fillId="0" borderId="37" xfId="0" applyFont="1" applyBorder="1" applyAlignment="1">
      <alignment horizontal="center"/>
    </xf>
    <xf numFmtId="0" fontId="13" fillId="0" borderId="36" xfId="0" applyFont="1" applyBorder="1" applyAlignment="1">
      <alignment horizontal="center"/>
    </xf>
    <xf numFmtId="0" fontId="13" fillId="0" borderId="37" xfId="0" applyFont="1" applyBorder="1" applyAlignment="1">
      <alignment horizontal="center"/>
    </xf>
    <xf numFmtId="3" fontId="12" fillId="0" borderId="36" xfId="0" applyNumberFormat="1" applyFont="1" applyBorder="1" applyAlignment="1">
      <alignment horizontal="center"/>
    </xf>
    <xf numFmtId="3" fontId="12" fillId="0" borderId="37" xfId="0" applyNumberFormat="1" applyFont="1" applyBorder="1" applyAlignment="1">
      <alignment horizontal="center"/>
    </xf>
    <xf numFmtId="37" fontId="10" fillId="0" borderId="37" xfId="0" applyNumberFormat="1" applyFont="1" applyBorder="1" applyAlignment="1">
      <alignment horizontal="center"/>
    </xf>
    <xf numFmtId="186" fontId="10" fillId="0" borderId="36" xfId="0" applyNumberFormat="1" applyFont="1" applyBorder="1" applyAlignment="1">
      <alignment/>
    </xf>
    <xf numFmtId="186" fontId="10" fillId="0" borderId="37" xfId="0" applyNumberFormat="1" applyFont="1" applyBorder="1" applyAlignment="1">
      <alignment horizontal="center"/>
    </xf>
    <xf numFmtId="0" fontId="12" fillId="0" borderId="36" xfId="0" applyFont="1" applyBorder="1" applyAlignment="1">
      <alignment/>
    </xf>
    <xf numFmtId="37" fontId="12" fillId="0" borderId="37" xfId="0" applyNumberFormat="1" applyFont="1" applyBorder="1" applyAlignment="1">
      <alignment horizontal="center"/>
    </xf>
    <xf numFmtId="0" fontId="11" fillId="0" borderId="34" xfId="0" applyFont="1" applyBorder="1" applyAlignment="1">
      <alignment/>
    </xf>
    <xf numFmtId="0" fontId="14" fillId="0" borderId="34" xfId="0" applyFont="1" applyBorder="1" applyAlignment="1">
      <alignment/>
    </xf>
    <xf numFmtId="37" fontId="10" fillId="0" borderId="39" xfId="0" applyNumberFormat="1" applyFont="1" applyBorder="1" applyAlignment="1">
      <alignment horizontal="center"/>
    </xf>
    <xf numFmtId="186" fontId="11" fillId="0" borderId="36" xfId="0" applyNumberFormat="1" applyFont="1" applyBorder="1" applyAlignment="1">
      <alignment horizontal="center"/>
    </xf>
    <xf numFmtId="186" fontId="12" fillId="0" borderId="37" xfId="0" applyNumberFormat="1" applyFont="1" applyBorder="1" applyAlignment="1">
      <alignment horizontal="center"/>
    </xf>
    <xf numFmtId="0" fontId="12" fillId="0" borderId="36" xfId="0" applyFont="1" applyBorder="1" applyAlignment="1">
      <alignment/>
    </xf>
    <xf numFmtId="2" fontId="3" fillId="0" borderId="18" xfId="20" applyFont="1" applyBorder="1" applyAlignment="1">
      <alignment vertical="center" wrapText="1"/>
    </xf>
    <xf numFmtId="0" fontId="3" fillId="0" borderId="18" xfId="20" applyFont="1" applyBorder="1" applyAlignment="1">
      <alignment vertical="center" wrapText="1"/>
    </xf>
    <xf numFmtId="0" fontId="58" fillId="0" borderId="0" xfId="0" applyFont="1" applyFill="1" applyAlignment="1">
      <alignment horizontal="left" vertical="center" wrapText="1"/>
    </xf>
    <xf numFmtId="0" fontId="3" fillId="0" borderId="27" xfId="0" applyFont="1" applyBorder="1" applyAlignment="1">
      <alignment vertical="center"/>
    </xf>
    <xf numFmtId="0" fontId="3" fillId="0" borderId="20" xfId="0" applyFont="1" applyBorder="1" applyAlignment="1">
      <alignment horizontal="left" vertical="top" wrapText="1"/>
    </xf>
    <xf numFmtId="0" fontId="3" fillId="0" borderId="40" xfId="0" applyFont="1" applyBorder="1" applyAlignment="1">
      <alignment horizontal="left" vertical="top" wrapText="1"/>
    </xf>
    <xf numFmtId="0" fontId="20" fillId="0" borderId="0" xfId="0" applyFont="1" applyAlignment="1">
      <alignment horizontal="center"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15" xfId="0" applyFont="1" applyBorder="1" applyAlignment="1">
      <alignment vertical="center" wrapText="1"/>
    </xf>
    <xf numFmtId="0" fontId="3" fillId="0" borderId="19" xfId="0" applyFont="1" applyBorder="1" applyAlignment="1">
      <alignment horizontal="left" vertical="center" wrapText="1"/>
    </xf>
    <xf numFmtId="0" fontId="3" fillId="0" borderId="13" xfId="0" applyFont="1" applyBorder="1" applyAlignment="1">
      <alignment horizontal="left" vertical="center" wrapText="1"/>
    </xf>
    <xf numFmtId="0" fontId="58" fillId="0" borderId="0" xfId="0" applyFont="1" applyFill="1" applyAlignment="1">
      <alignment horizontal="left" vertical="center" wrapText="1"/>
    </xf>
    <xf numFmtId="0" fontId="3" fillId="0" borderId="0" xfId="0" applyFont="1" applyAlignment="1">
      <alignment horizontal="left" wrapText="1"/>
    </xf>
    <xf numFmtId="0" fontId="58" fillId="0" borderId="30" xfId="0" applyFont="1" applyBorder="1" applyAlignment="1">
      <alignment horizontal="left" vertical="center"/>
    </xf>
    <xf numFmtId="0" fontId="58" fillId="0" borderId="23" xfId="0" applyFont="1" applyBorder="1" applyAlignment="1">
      <alignment horizontal="left" vertical="center"/>
    </xf>
    <xf numFmtId="0" fontId="58" fillId="0" borderId="30" xfId="0" applyFont="1" applyBorder="1" applyAlignment="1">
      <alignment horizontal="center" vertical="center"/>
    </xf>
    <xf numFmtId="0" fontId="75" fillId="0" borderId="44" xfId="0" applyFont="1" applyFill="1" applyBorder="1" applyAlignment="1">
      <alignment horizontal="left" vertical="center" wrapText="1"/>
    </xf>
    <xf numFmtId="0" fontId="75" fillId="0" borderId="2" xfId="0" applyFont="1" applyFill="1" applyBorder="1" applyAlignment="1">
      <alignment horizontal="left" vertical="center" wrapText="1"/>
    </xf>
    <xf numFmtId="0" fontId="26" fillId="0" borderId="44"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58" fillId="0" borderId="44" xfId="0" applyFont="1" applyFill="1" applyBorder="1" applyAlignment="1">
      <alignment horizontal="left" vertical="center" wrapText="1"/>
    </xf>
    <xf numFmtId="0" fontId="58" fillId="0" borderId="2" xfId="0" applyFont="1" applyFill="1" applyBorder="1" applyAlignment="1">
      <alignment horizontal="left" vertical="center" wrapText="1"/>
    </xf>
    <xf numFmtId="0" fontId="58" fillId="0" borderId="35" xfId="0" applyFont="1" applyFill="1" applyBorder="1" applyAlignment="1">
      <alignment horizontal="left" vertical="center" wrapText="1"/>
    </xf>
    <xf numFmtId="0" fontId="12" fillId="0" borderId="0" xfId="0" applyFont="1" applyBorder="1" applyAlignment="1">
      <alignment horizontal="center" vertical="center"/>
    </xf>
    <xf numFmtId="0" fontId="41" fillId="0" borderId="0" xfId="0" applyFont="1" applyFill="1" applyBorder="1" applyAlignment="1">
      <alignment horizontal="center" vertical="center"/>
    </xf>
    <xf numFmtId="0" fontId="25" fillId="0" borderId="44" xfId="0" applyFont="1" applyFill="1" applyBorder="1" applyAlignment="1">
      <alignment horizontal="left" vertical="center" wrapText="1"/>
    </xf>
    <xf numFmtId="0" fontId="25" fillId="0" borderId="2" xfId="0" applyFont="1" applyFill="1" applyBorder="1" applyAlignment="1">
      <alignment horizontal="left" vertical="center" wrapText="1"/>
    </xf>
    <xf numFmtId="1" fontId="6" fillId="0" borderId="0" xfId="0" applyNumberFormat="1" applyFont="1" applyFill="1" applyBorder="1" applyAlignment="1">
      <alignment vertical="center"/>
    </xf>
    <xf numFmtId="9" fontId="61" fillId="2" borderId="27" xfId="0" applyNumberFormat="1" applyFont="1" applyFill="1" applyBorder="1" applyAlignment="1">
      <alignment horizontal="center" vertical="center"/>
    </xf>
    <xf numFmtId="9" fontId="3" fillId="0" borderId="45" xfId="0" applyNumberFormat="1" applyFont="1" applyBorder="1" applyAlignment="1">
      <alignment horizontal="center" vertical="center"/>
    </xf>
    <xf numFmtId="9" fontId="3" fillId="3" borderId="46" xfId="0" applyNumberFormat="1" applyFont="1" applyFill="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FinStatRel8" xfId="21"/>
    <cellStyle name="Percent" xfId="22"/>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Undiscounted net annual benefits of Education Activity</a:t>
            </a:r>
          </a:p>
        </c:rich>
      </c:tx>
      <c:layout/>
      <c:spPr>
        <a:noFill/>
        <a:ln>
          <a:noFill/>
        </a:ln>
      </c:spPr>
    </c:title>
    <c:plotArea>
      <c:layout/>
      <c:areaChart>
        <c:grouping val="standard"/>
        <c:varyColors val="0"/>
        <c:ser>
          <c:idx val="0"/>
          <c:order val="0"/>
          <c:spPr>
            <a:solidFill>
              <a:srgbClr val="0066CC"/>
            </a:solidFill>
          </c:spPr>
          <c:extLst>
            <c:ext xmlns:c14="http://schemas.microsoft.com/office/drawing/2007/8/2/chart" uri="{6F2FDCE9-48DA-4B69-8628-5D25D57E5C99}">
              <c14:invertSolidFillFmt>
                <c14:spPr>
                  <a:solidFill>
                    <a:srgbClr val="FFFFFF"/>
                  </a:solidFill>
                </c14:spPr>
              </c14:invertSolidFillFmt>
            </c:ext>
          </c:extLst>
          <c:val>
            <c:numRef>
              <c:f>'Cohorts Analysis'!$D$160:$AL$160</c:f>
              <c:numCache>
                <c:ptCount val="35"/>
                <c:pt idx="0">
                  <c:v>-14793.969056633903</c:v>
                </c:pt>
                <c:pt idx="1">
                  <c:v>-89.46446208163127</c:v>
                </c:pt>
                <c:pt idx="2">
                  <c:v>-121.91865809710373</c:v>
                </c:pt>
                <c:pt idx="3">
                  <c:v>-155.58543892940452</c:v>
                </c:pt>
                <c:pt idx="4">
                  <c:v>107.22014492268545</c:v>
                </c:pt>
                <c:pt idx="5">
                  <c:v>324.7804449929922</c:v>
                </c:pt>
                <c:pt idx="6">
                  <c:v>539.3406965730896</c:v>
                </c:pt>
                <c:pt idx="7">
                  <c:v>750.90089966298</c:v>
                </c:pt>
                <c:pt idx="8">
                  <c:v>959.4610542626679</c:v>
                </c:pt>
                <c:pt idx="9">
                  <c:v>1623.4363568291064</c:v>
                </c:pt>
                <c:pt idx="10">
                  <c:v>2068.479356239237</c:v>
                </c:pt>
                <c:pt idx="11">
                  <c:v>2513.52235564938</c:v>
                </c:pt>
                <c:pt idx="12">
                  <c:v>2958.5653550595307</c:v>
                </c:pt>
                <c:pt idx="13">
                  <c:v>3403.608354469681</c:v>
                </c:pt>
                <c:pt idx="14">
                  <c:v>3946.397785837944</c:v>
                </c:pt>
                <c:pt idx="15">
                  <c:v>4489.187217206207</c:v>
                </c:pt>
                <c:pt idx="16">
                  <c:v>5031.976648574448</c:v>
                </c:pt>
                <c:pt idx="17">
                  <c:v>5574.766079942667</c:v>
                </c:pt>
                <c:pt idx="18">
                  <c:v>6117.5555113109585</c:v>
                </c:pt>
                <c:pt idx="19">
                  <c:v>6464.38842606415</c:v>
                </c:pt>
                <c:pt idx="20">
                  <c:v>7098.91234133199</c:v>
                </c:pt>
                <c:pt idx="21">
                  <c:v>7433.808795514487</c:v>
                </c:pt>
                <c:pt idx="22">
                  <c:v>8057.364749303539</c:v>
                </c:pt>
                <c:pt idx="23">
                  <c:v>7393.416230910181</c:v>
                </c:pt>
                <c:pt idx="24">
                  <c:v>7810.3480126187205</c:v>
                </c:pt>
                <c:pt idx="25">
                  <c:v>8299.980771756498</c:v>
                </c:pt>
                <c:pt idx="26">
                  <c:v>8792.613579384517</c:v>
                </c:pt>
                <c:pt idx="27">
                  <c:v>9288.24643550269</c:v>
                </c:pt>
                <c:pt idx="28">
                  <c:v>4566.035006816353</c:v>
                </c:pt>
                <c:pt idx="29">
                  <c:v>4846.607896093745</c:v>
                </c:pt>
                <c:pt idx="30">
                  <c:v>5346.113088527432</c:v>
                </c:pt>
                <c:pt idx="31">
                  <c:v>5845.618280961178</c:v>
                </c:pt>
                <c:pt idx="32">
                  <c:v>6345.123473394924</c:v>
                </c:pt>
                <c:pt idx="33">
                  <c:v>5693.603060711612</c:v>
                </c:pt>
                <c:pt idx="34">
                  <c:v>6095.361821187136</c:v>
                </c:pt>
              </c:numCache>
            </c:numRef>
          </c:val>
        </c:ser>
        <c:axId val="30472668"/>
        <c:axId val="5818557"/>
      </c:areaChart>
      <c:catAx>
        <c:axId val="30472668"/>
        <c:scaling>
          <c:orientation val="minMax"/>
        </c:scaling>
        <c:axPos val="b"/>
        <c:title>
          <c:tx>
            <c:rich>
              <a:bodyPr vert="horz" rot="0" anchor="ctr"/>
              <a:lstStyle/>
              <a:p>
                <a:pPr algn="ctr">
                  <a:defRPr/>
                </a:pPr>
                <a:r>
                  <a:rPr lang="en-US" cap="none" sz="1000" b="1" i="0" u="none" baseline="0"/>
                  <a:t>Year</a:t>
                </a:r>
              </a:p>
            </c:rich>
          </c:tx>
          <c:layout/>
          <c:overlay val="0"/>
          <c:spPr>
            <a:noFill/>
            <a:ln>
              <a:noFill/>
            </a:ln>
          </c:spPr>
        </c:title>
        <c:delete val="0"/>
        <c:numFmt formatCode="General" sourceLinked="1"/>
        <c:majorTickMark val="out"/>
        <c:minorTickMark val="none"/>
        <c:tickLblPos val="nextTo"/>
        <c:crossAx val="5818557"/>
        <c:crosses val="autoZero"/>
        <c:auto val="1"/>
        <c:lblOffset val="100"/>
        <c:noMultiLvlLbl val="0"/>
      </c:catAx>
      <c:valAx>
        <c:axId val="5818557"/>
        <c:scaling>
          <c:orientation val="minMax"/>
        </c:scaling>
        <c:axPos val="l"/>
        <c:majorGridlines/>
        <c:delete val="0"/>
        <c:numFmt formatCode="General" sourceLinked="1"/>
        <c:majorTickMark val="out"/>
        <c:minorTickMark val="none"/>
        <c:tickLblPos val="nextTo"/>
        <c:crossAx val="30472668"/>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Distribution of ERR Given Uncertainty in Key Parameters</a:t>
            </a:r>
            <a:r>
              <a:rPr lang="en-US" cap="none" sz="1000" b="1" i="0" u="none" baseline="0"/>
              <a:t>
</a:t>
            </a:r>
            <a:r>
              <a:rPr lang="en-US" cap="none" sz="800" b="1" i="0" u="none" baseline="0"/>
              <a:t>(as of 6/22/2006)</a:t>
            </a:r>
            <a:r>
              <a:rPr lang="en-US" cap="none" sz="1000" b="1" i="0" u="none" baseline="0"/>
              <a:t>:</a:t>
            </a:r>
          </a:p>
        </c:rich>
      </c:tx>
      <c:layout>
        <c:manualLayout>
          <c:xMode val="factor"/>
          <c:yMode val="factor"/>
          <c:x val="0.015"/>
          <c:y val="-0.006"/>
        </c:manualLayout>
      </c:layout>
      <c:spPr>
        <a:noFill/>
        <a:ln>
          <a:noFill/>
        </a:ln>
      </c:spPr>
    </c:title>
    <c:plotArea>
      <c:layout>
        <c:manualLayout>
          <c:xMode val="edge"/>
          <c:yMode val="edge"/>
          <c:x val="0.053"/>
          <c:y val="0.14075"/>
          <c:w val="0.93025"/>
          <c:h val="0.82875"/>
        </c:manualLayout>
      </c:layout>
      <c:barChart>
        <c:barDir val="col"/>
        <c:grouping val="stacked"/>
        <c:varyColors val="0"/>
        <c:ser>
          <c:idx val="0"/>
          <c:order val="0"/>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0.08498436056748575</c:v>
              </c:pt>
              <c:pt idx="10">
                <c:v>0.0964890848942648</c:v>
              </c:pt>
              <c:pt idx="20">
                <c:v>0.10799380922104386</c:v>
              </c:pt>
              <c:pt idx="30">
                <c:v>0.11949853354782292</c:v>
              </c:pt>
              <c:pt idx="40">
                <c:v>0.13100325787460199</c:v>
              </c:pt>
              <c:pt idx="49">
                <c:v>0.14135750976870312</c:v>
              </c:pt>
            </c:strLit>
          </c:cat>
          <c:val>
            <c:numLit>
              <c:ptCount val="50"/>
              <c:pt idx="0">
                <c:v>14</c:v>
              </c:pt>
              <c:pt idx="1">
                <c:v>31</c:v>
              </c:pt>
              <c:pt idx="2">
                <c:v>22</c:v>
              </c:pt>
              <c:pt idx="3">
                <c:v>28</c:v>
              </c:pt>
              <c:pt idx="4">
                <c:v>54</c:v>
              </c:pt>
              <c:pt idx="5">
                <c:v>47</c:v>
              </c:pt>
              <c:pt idx="6">
                <c:v>64</c:v>
              </c:pt>
              <c:pt idx="7">
                <c:v>86</c:v>
              </c:pt>
              <c:pt idx="8">
                <c:v>76</c:v>
              </c:pt>
              <c:pt idx="9">
                <c:v>85</c:v>
              </c:pt>
              <c:pt idx="10">
                <c:v>91</c:v>
              </c:pt>
              <c:pt idx="11">
                <c:v>132</c:v>
              </c:pt>
              <c:pt idx="12">
                <c:v>115</c:v>
              </c:pt>
              <c:pt idx="13">
                <c:v>134</c:v>
              </c:pt>
              <c:pt idx="14">
                <c:v>154</c:v>
              </c:pt>
              <c:pt idx="15">
                <c:v>177</c:v>
              </c:pt>
              <c:pt idx="16">
                <c:v>200</c:v>
              </c:pt>
              <c:pt idx="17">
                <c:v>208</c:v>
              </c:pt>
              <c:pt idx="18">
                <c:v>223</c:v>
              </c:pt>
              <c:pt idx="19">
                <c:v>227</c:v>
              </c:pt>
              <c:pt idx="20">
                <c:v>268</c:v>
              </c:pt>
              <c:pt idx="21">
                <c:v>307</c:v>
              </c:pt>
              <c:pt idx="22">
                <c:v>309</c:v>
              </c:pt>
              <c:pt idx="23">
                <c:v>319</c:v>
              </c:pt>
              <c:pt idx="24">
                <c:v>367</c:v>
              </c:pt>
              <c:pt idx="25">
                <c:v>325</c:v>
              </c:pt>
              <c:pt idx="26">
                <c:v>395</c:v>
              </c:pt>
              <c:pt idx="27">
                <c:v>426</c:v>
              </c:pt>
              <c:pt idx="28">
                <c:v>414</c:v>
              </c:pt>
              <c:pt idx="29">
                <c:v>437</c:v>
              </c:pt>
              <c:pt idx="30">
                <c:v>410</c:v>
              </c:pt>
              <c:pt idx="31">
                <c:v>427</c:v>
              </c:pt>
              <c:pt idx="32">
                <c:v>392</c:v>
              </c:pt>
              <c:pt idx="33">
                <c:v>393</c:v>
              </c:pt>
              <c:pt idx="34">
                <c:v>374</c:v>
              </c:pt>
              <c:pt idx="35">
                <c:v>344</c:v>
              </c:pt>
              <c:pt idx="36">
                <c:v>314</c:v>
              </c:pt>
              <c:pt idx="37">
                <c:v>282</c:v>
              </c:pt>
              <c:pt idx="38">
                <c:v>243</c:v>
              </c:pt>
              <c:pt idx="39">
                <c:v>243</c:v>
              </c:pt>
              <c:pt idx="40">
                <c:v>198</c:v>
              </c:pt>
              <c:pt idx="41">
                <c:v>154</c:v>
              </c:pt>
              <c:pt idx="42">
                <c:v>136</c:v>
              </c:pt>
              <c:pt idx="43">
                <c:v>102</c:v>
              </c:pt>
              <c:pt idx="44">
                <c:v>84</c:v>
              </c:pt>
              <c:pt idx="45">
                <c:v>65</c:v>
              </c:pt>
              <c:pt idx="46">
                <c:v>24</c:v>
              </c:pt>
              <c:pt idx="47">
                <c:v>18</c:v>
              </c:pt>
              <c:pt idx="48">
                <c:v>6</c:v>
              </c:pt>
              <c:pt idx="49">
                <c:v>2</c:v>
              </c:pt>
            </c:numLit>
          </c:val>
        </c:ser>
        <c:overlap val="100"/>
        <c:gapWidth val="10"/>
        <c:axId val="52367014"/>
        <c:axId val="1541079"/>
      </c:barChart>
      <c:catAx>
        <c:axId val="52367014"/>
        <c:scaling>
          <c:orientation val="minMax"/>
        </c:scaling>
        <c:axPos val="b"/>
        <c:delete val="0"/>
        <c:numFmt formatCode="General" sourceLinked="1"/>
        <c:majorTickMark val="out"/>
        <c:minorTickMark val="none"/>
        <c:tickLblPos val="nextTo"/>
        <c:txPr>
          <a:bodyPr vert="horz" rot="0"/>
          <a:lstStyle/>
          <a:p>
            <a:pPr>
              <a:defRPr lang="en-US" cap="none" sz="1000" b="0" i="0" u="none" baseline="0"/>
            </a:pPr>
          </a:p>
        </c:txPr>
        <c:crossAx val="1541079"/>
        <c:crosses val="autoZero"/>
        <c:auto val="0"/>
        <c:lblOffset val="100"/>
        <c:tickLblSkip val="1"/>
        <c:tickMarkSkip val="5"/>
        <c:noMultiLvlLbl val="0"/>
      </c:catAx>
      <c:valAx>
        <c:axId val="1541079"/>
        <c:scaling>
          <c:orientation val="minMax"/>
          <c:min val="0"/>
        </c:scaling>
        <c:axPos val="l"/>
        <c:title>
          <c:tx>
            <c:rich>
              <a:bodyPr vert="horz" rot="-5400000" anchor="ctr"/>
              <a:lstStyle/>
              <a:p>
                <a:pPr algn="ctr">
                  <a:defRPr/>
                </a:pPr>
                <a:r>
                  <a:rPr lang="en-US" cap="none" sz="800" b="1" i="0" u="none" baseline="0"/>
                  <a:t>Frequency</a:t>
                </a:r>
              </a:p>
            </c:rich>
          </c:tx>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crossAx val="52367014"/>
        <c:crossesAt val="1"/>
        <c:crossBetween val="between"/>
        <c:dispUnits/>
      </c:valAx>
      <c:spPr>
        <a:solidFill>
          <a:srgbClr val="FFFFFF"/>
        </a:solidFill>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image" Target="../media/image3.png" /><Relationship Id="rId4"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19050</xdr:rowOff>
    </xdr:to>
    <xdr:pic>
      <xdr:nvPicPr>
        <xdr:cNvPr id="1" name="Picture 1"/>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27</xdr:row>
      <xdr:rowOff>19050</xdr:rowOff>
    </xdr:from>
    <xdr:to>
      <xdr:col>1</xdr:col>
      <xdr:colOff>2181225</xdr:colOff>
      <xdr:row>28</xdr:row>
      <xdr:rowOff>9525</xdr:rowOff>
    </xdr:to>
    <xdr:pic>
      <xdr:nvPicPr>
        <xdr:cNvPr id="1" name="Picture 1"/>
        <xdr:cNvPicPr preferRelativeResize="1">
          <a:picLocks noChangeAspect="1"/>
        </xdr:cNvPicPr>
      </xdr:nvPicPr>
      <xdr:blipFill>
        <a:blip r:embed="rId1"/>
        <a:stretch>
          <a:fillRect/>
        </a:stretch>
      </xdr:blipFill>
      <xdr:spPr>
        <a:xfrm>
          <a:off x="447675" y="8267700"/>
          <a:ext cx="21717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628650</xdr:colOff>
      <xdr:row>1</xdr:row>
      <xdr:rowOff>123825</xdr:rowOff>
    </xdr:from>
    <xdr:to>
      <xdr:col>6</xdr:col>
      <xdr:colOff>933450</xdr:colOff>
      <xdr:row>2</xdr:row>
      <xdr:rowOff>19050</xdr:rowOff>
    </xdr:to>
    <xdr:pic>
      <xdr:nvPicPr>
        <xdr:cNvPr id="1" name="Picture 1"/>
        <xdr:cNvPicPr preferRelativeResize="1">
          <a:picLocks noChangeAspect="1"/>
        </xdr:cNvPicPr>
      </xdr:nvPicPr>
      <xdr:blipFill>
        <a:blip r:embed="rId1"/>
        <a:stretch>
          <a:fillRect/>
        </a:stretch>
      </xdr:blipFill>
      <xdr:spPr>
        <a:xfrm>
          <a:off x="6267450" y="285750"/>
          <a:ext cx="2162175" cy="152400"/>
        </a:xfrm>
        <a:prstGeom prst="rect">
          <a:avLst/>
        </a:prstGeom>
        <a:noFill/>
        <a:ln w="9525" cmpd="sng">
          <a:noFill/>
        </a:ln>
      </xdr:spPr>
    </xdr:pic>
    <xdr:clientData/>
  </xdr:twoCellAnchor>
  <xdr:twoCellAnchor>
    <xdr:from>
      <xdr:col>2</xdr:col>
      <xdr:colOff>342900</xdr:colOff>
      <xdr:row>22</xdr:row>
      <xdr:rowOff>0</xdr:rowOff>
    </xdr:from>
    <xdr:to>
      <xdr:col>6</xdr:col>
      <xdr:colOff>304800</xdr:colOff>
      <xdr:row>44</xdr:row>
      <xdr:rowOff>95250</xdr:rowOff>
    </xdr:to>
    <xdr:graphicFrame>
      <xdr:nvGraphicFramePr>
        <xdr:cNvPr id="2" name="Chart 7"/>
        <xdr:cNvGraphicFramePr/>
      </xdr:nvGraphicFramePr>
      <xdr:xfrm>
        <a:off x="1924050" y="6010275"/>
        <a:ext cx="5876925" cy="44958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9525</xdr:colOff>
      <xdr:row>0</xdr:row>
      <xdr:rowOff>9525</xdr:rowOff>
    </xdr:to>
    <xdr:pic>
      <xdr:nvPicPr>
        <xdr:cNvPr id="3" name="CB_Block_7.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00000000000000000000000000000003"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0000000000000000000000000000000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xdr:from>
      <xdr:col>2</xdr:col>
      <xdr:colOff>381000</xdr:colOff>
      <xdr:row>46</xdr:row>
      <xdr:rowOff>114300</xdr:rowOff>
    </xdr:from>
    <xdr:to>
      <xdr:col>6</xdr:col>
      <xdr:colOff>295275</xdr:colOff>
      <xdr:row>66</xdr:row>
      <xdr:rowOff>66675</xdr:rowOff>
    </xdr:to>
    <xdr:graphicFrame>
      <xdr:nvGraphicFramePr>
        <xdr:cNvPr id="8" name="Chart 14"/>
        <xdr:cNvGraphicFramePr/>
      </xdr:nvGraphicFramePr>
      <xdr:xfrm>
        <a:off x="1962150" y="10925175"/>
        <a:ext cx="5829300" cy="39528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_divisions\Economic%20Analysis\ERR%20Spreadsheets\Web%20Dissemination\Ongoing%20Work\Georgia\Georgia%20Pipeline%20-%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ERR Pipeline"/>
      <sheetName val="Cost Assumptions"/>
      <sheetName val="Demand"/>
      <sheetName val="Transit"/>
      <sheetName val="IRR-high"/>
      <sheetName val="IRR-medium"/>
      <sheetName val="IRR-low"/>
      <sheetName val="IRR-low (2)"/>
      <sheetName val="IRR-sensitivities"/>
      <sheetName val="Financial Impact"/>
      <sheetName val="Georgia Pipeline - v3"/>
    </sheetNames>
    <sheetDataSet>
      <sheetData sheetId="4">
        <row r="22">
          <cell r="C22" t="str">
            <v>Low</v>
          </cell>
          <cell r="D22" t="str">
            <v>Medium</v>
          </cell>
          <cell r="E22" t="str">
            <v>High</v>
          </cell>
        </row>
        <row r="32">
          <cell r="H32">
            <v>24926449.275362317</v>
          </cell>
          <cell r="I32">
            <v>19573550.724637683</v>
          </cell>
        </row>
        <row r="40">
          <cell r="G40">
            <v>2122416</v>
          </cell>
          <cell r="H40">
            <v>2164864.32</v>
          </cell>
          <cell r="I40">
            <v>2208161.6064</v>
          </cell>
          <cell r="J40">
            <v>2252324.838528</v>
          </cell>
          <cell r="K40">
            <v>2297371.3352985596</v>
          </cell>
          <cell r="L40">
            <v>2343318.762004531</v>
          </cell>
          <cell r="M40">
            <v>2390185.1372446218</v>
          </cell>
          <cell r="N40">
            <v>2437988.839989514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53"/>
  <sheetViews>
    <sheetView showGridLines="0" workbookViewId="0" topLeftCell="A1">
      <selection activeCell="A8" sqref="A8:A10"/>
    </sheetView>
  </sheetViews>
  <sheetFormatPr defaultColWidth="9.00390625" defaultRowHeight="15.75"/>
  <cols>
    <col min="1" max="1" width="34.625" style="282" customWidth="1"/>
    <col min="2" max="2" width="93.125" style="282" customWidth="1"/>
    <col min="3" max="16384" width="9.00390625" style="282" customWidth="1"/>
  </cols>
  <sheetData>
    <row r="1" ht="12.75">
      <c r="B1" s="283" t="s">
        <v>85</v>
      </c>
    </row>
    <row r="2" ht="20.25" customHeight="1">
      <c r="B2" s="420" t="s">
        <v>86</v>
      </c>
    </row>
    <row r="3" ht="12.75">
      <c r="B3" s="420"/>
    </row>
    <row r="4" ht="12.75">
      <c r="B4" s="420"/>
    </row>
    <row r="5" ht="12.75">
      <c r="B5" s="420"/>
    </row>
    <row r="6" ht="12.75">
      <c r="B6" s="420"/>
    </row>
    <row r="7" ht="13.5" thickBot="1"/>
    <row r="8" spans="1:2" ht="18" customHeight="1" thickTop="1">
      <c r="A8" s="421" t="s">
        <v>87</v>
      </c>
      <c r="B8" s="284" t="s">
        <v>88</v>
      </c>
    </row>
    <row r="9" spans="1:2" ht="18" customHeight="1">
      <c r="A9" s="422"/>
      <c r="B9" s="285" t="s">
        <v>89</v>
      </c>
    </row>
    <row r="10" spans="1:2" ht="18" customHeight="1" thickBot="1">
      <c r="A10" s="423"/>
      <c r="B10" s="286" t="s">
        <v>90</v>
      </c>
    </row>
    <row r="11" spans="1:5" ht="18" customHeight="1" thickTop="1">
      <c r="A11" s="287" t="s">
        <v>91</v>
      </c>
      <c r="B11" s="288" t="s">
        <v>92</v>
      </c>
      <c r="E11" s="289"/>
    </row>
    <row r="12" spans="1:2" ht="18" customHeight="1">
      <c r="A12" s="290" t="s">
        <v>93</v>
      </c>
      <c r="B12" s="291">
        <v>38890</v>
      </c>
    </row>
    <row r="13" spans="1:2" ht="18" customHeight="1">
      <c r="A13" s="292" t="s">
        <v>94</v>
      </c>
      <c r="B13" s="293" t="s">
        <v>95</v>
      </c>
    </row>
    <row r="14" spans="1:2" ht="48.75" customHeight="1">
      <c r="A14" s="292" t="s">
        <v>96</v>
      </c>
      <c r="B14" s="294" t="s">
        <v>97</v>
      </c>
    </row>
    <row r="15" spans="1:2" ht="18" customHeight="1">
      <c r="A15" s="424" t="s">
        <v>98</v>
      </c>
      <c r="B15" s="293" t="s">
        <v>99</v>
      </c>
    </row>
    <row r="16" spans="1:2" ht="18" customHeight="1">
      <c r="A16" s="424"/>
      <c r="B16" s="293" t="s">
        <v>100</v>
      </c>
    </row>
    <row r="17" spans="1:2" ht="18" customHeight="1">
      <c r="A17" s="425" t="s">
        <v>101</v>
      </c>
      <c r="B17" s="293" t="s">
        <v>102</v>
      </c>
    </row>
    <row r="18" spans="1:2" ht="18" customHeight="1">
      <c r="A18" s="426"/>
      <c r="B18" s="293" t="s">
        <v>103</v>
      </c>
    </row>
    <row r="19" spans="1:2" ht="18" customHeight="1">
      <c r="A19" s="292" t="s">
        <v>104</v>
      </c>
      <c r="B19" s="293" t="s">
        <v>158</v>
      </c>
    </row>
    <row r="20" spans="1:2" ht="6.75" customHeight="1">
      <c r="A20" s="295"/>
      <c r="B20" s="296"/>
    </row>
    <row r="21" spans="1:2" ht="12.75">
      <c r="A21" s="297"/>
      <c r="B21" s="298" t="s">
        <v>105</v>
      </c>
    </row>
    <row r="22" spans="1:2" ht="25.5">
      <c r="A22" s="418" t="s">
        <v>106</v>
      </c>
      <c r="B22" s="294" t="s">
        <v>107</v>
      </c>
    </row>
    <row r="23" spans="1:2" ht="12.75" customHeight="1">
      <c r="A23" s="418"/>
      <c r="B23" s="296"/>
    </row>
    <row r="24" spans="1:2" ht="12.75" customHeight="1">
      <c r="A24" s="418"/>
      <c r="B24" s="348" t="s">
        <v>128</v>
      </c>
    </row>
    <row r="25" spans="1:2" ht="12.75" customHeight="1">
      <c r="A25" s="418"/>
      <c r="B25" s="349" t="s">
        <v>131</v>
      </c>
    </row>
    <row r="26" spans="1:2" ht="12.75" customHeight="1">
      <c r="A26" s="418"/>
      <c r="B26" s="296"/>
    </row>
    <row r="27" spans="1:2" ht="12.75" customHeight="1">
      <c r="A27" s="418"/>
      <c r="B27" s="300" t="s">
        <v>127</v>
      </c>
    </row>
    <row r="28" spans="1:2" ht="12.75" customHeight="1">
      <c r="A28" s="418"/>
      <c r="B28" s="414" t="s">
        <v>159</v>
      </c>
    </row>
    <row r="29" spans="1:2" ht="12.75" customHeight="1">
      <c r="A29" s="418"/>
      <c r="B29" s="296"/>
    </row>
    <row r="30" spans="1:2" ht="12.75" customHeight="1">
      <c r="A30" s="418"/>
      <c r="B30" s="301" t="s">
        <v>115</v>
      </c>
    </row>
    <row r="31" spans="1:2" ht="12.75" customHeight="1">
      <c r="A31" s="418"/>
      <c r="B31" s="415" t="s">
        <v>160</v>
      </c>
    </row>
    <row r="32" spans="1:2" ht="12.75" customHeight="1">
      <c r="A32" s="418"/>
      <c r="B32" s="296"/>
    </row>
    <row r="33" spans="1:2" ht="12.75" customHeight="1">
      <c r="A33" s="418"/>
      <c r="B33" s="301" t="s">
        <v>114</v>
      </c>
    </row>
    <row r="34" spans="1:2" ht="25.5">
      <c r="A34" s="418"/>
      <c r="B34" s="415" t="s">
        <v>161</v>
      </c>
    </row>
    <row r="35" spans="1:2" ht="12.75" customHeight="1">
      <c r="A35" s="418"/>
      <c r="B35" s="296"/>
    </row>
    <row r="36" spans="1:2" ht="12.75" customHeight="1">
      <c r="A36" s="418"/>
      <c r="B36" s="301" t="s">
        <v>113</v>
      </c>
    </row>
    <row r="37" spans="1:2" ht="12.75" customHeight="1">
      <c r="A37" s="418"/>
      <c r="B37" s="296" t="s">
        <v>162</v>
      </c>
    </row>
    <row r="38" spans="1:2" ht="12.75" customHeight="1">
      <c r="A38" s="418"/>
      <c r="B38" s="296"/>
    </row>
    <row r="39" spans="1:2" ht="12.75" customHeight="1">
      <c r="A39" s="418"/>
      <c r="B39" s="300" t="s">
        <v>109</v>
      </c>
    </row>
    <row r="40" spans="1:2" ht="12.75" customHeight="1">
      <c r="A40" s="418"/>
      <c r="B40" s="296" t="s">
        <v>163</v>
      </c>
    </row>
    <row r="41" spans="1:2" ht="12.75" customHeight="1">
      <c r="A41" s="418"/>
      <c r="B41" s="296"/>
    </row>
    <row r="42" spans="1:2" ht="12.75" customHeight="1">
      <c r="A42" s="418"/>
      <c r="B42" s="300" t="s">
        <v>110</v>
      </c>
    </row>
    <row r="43" spans="1:2" ht="12.75" customHeight="1">
      <c r="A43" s="418"/>
      <c r="B43" s="414" t="s">
        <v>164</v>
      </c>
    </row>
    <row r="44" spans="1:2" ht="12.75" customHeight="1">
      <c r="A44" s="418"/>
      <c r="B44" s="296"/>
    </row>
    <row r="45" spans="1:2" ht="12.75" customHeight="1">
      <c r="A45" s="418"/>
      <c r="B45" s="300" t="s">
        <v>111</v>
      </c>
    </row>
    <row r="46" spans="1:2" ht="12.75" customHeight="1">
      <c r="A46" s="418"/>
      <c r="B46" s="296" t="s">
        <v>165</v>
      </c>
    </row>
    <row r="47" spans="1:2" ht="12.75" customHeight="1">
      <c r="A47" s="418"/>
      <c r="B47" s="296"/>
    </row>
    <row r="48" spans="1:2" ht="12.75" customHeight="1">
      <c r="A48" s="418"/>
      <c r="B48" s="301" t="s">
        <v>22</v>
      </c>
    </row>
    <row r="49" spans="1:2" ht="12.75" customHeight="1">
      <c r="A49" s="418"/>
      <c r="B49" s="296" t="s">
        <v>166</v>
      </c>
    </row>
    <row r="50" spans="1:2" ht="12.75" customHeight="1">
      <c r="A50" s="418"/>
      <c r="B50" s="296"/>
    </row>
    <row r="51" spans="1:2" ht="12.75" customHeight="1">
      <c r="A51" s="418"/>
      <c r="B51" s="301" t="s">
        <v>112</v>
      </c>
    </row>
    <row r="52" spans="1:2" ht="12.75" customHeight="1">
      <c r="A52" s="418"/>
      <c r="B52" s="296" t="s">
        <v>167</v>
      </c>
    </row>
    <row r="53" spans="1:2" ht="7.5" customHeight="1" thickBot="1">
      <c r="A53" s="419"/>
      <c r="B53" s="302"/>
    </row>
    <row r="54" ht="13.5" thickTop="1"/>
  </sheetData>
  <mergeCells count="5">
    <mergeCell ref="A22:A53"/>
    <mergeCell ref="B2:B6"/>
    <mergeCell ref="A8:A10"/>
    <mergeCell ref="A15:A16"/>
    <mergeCell ref="A17:A18"/>
  </mergeCells>
  <hyperlinks>
    <hyperlink ref="B21" location="'Activity Description'!A1" display="Activity Description"/>
    <hyperlink ref="B48" location="'Education Model'!A1" display="Education Model"/>
    <hyperlink ref="B27" location="'ERR Summary'!A1" display="ERR Summary"/>
    <hyperlink ref="B39" location="Projects!A1" display="Projects"/>
    <hyperlink ref="B45" location="Assumptions!A1" display="Assumptions"/>
    <hyperlink ref="B42" location="'Project Cost'!A1" display="Project Cost"/>
    <hyperlink ref="B51" location="'Age Earning Profiles'!A1" display="Age Earning Profiles"/>
    <hyperlink ref="B36" location="SumBenefitCost!A1" display="Sum Benefit Cost"/>
    <hyperlink ref="B33" location="'Cost Benefit Analysis'!A1" display="Cost Benefit Analysis"/>
    <hyperlink ref="B30" location="'Cohorts Analysis'!A1" display="Cohorts Analysis"/>
    <hyperlink ref="B24" location="'ERR &amp; Sensitivity Analysis'!A1" display="ERR &amp; Sensitivity Analysis"/>
  </hyperlink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5"/>
  <dimension ref="A1:T35"/>
  <sheetViews>
    <sheetView workbookViewId="0" topLeftCell="A1">
      <selection activeCell="B2" sqref="B2"/>
    </sheetView>
  </sheetViews>
  <sheetFormatPr defaultColWidth="9.00390625" defaultRowHeight="15.75"/>
  <cols>
    <col min="1" max="1" width="9.00390625" style="79" customWidth="1"/>
    <col min="2" max="2" width="26.375" style="79" customWidth="1"/>
    <col min="3" max="3" width="2.625" style="79" customWidth="1"/>
    <col min="4" max="4" width="10.875" style="79" customWidth="1"/>
    <col min="5" max="5" width="13.50390625" style="79" customWidth="1"/>
    <col min="6" max="6" width="14.25390625" style="79" customWidth="1"/>
    <col min="7" max="16384" width="9.00390625" style="79" customWidth="1"/>
  </cols>
  <sheetData>
    <row r="1" spans="1:7" ht="12" customHeight="1" thickTop="1">
      <c r="A1" s="90"/>
      <c r="B1" s="91"/>
      <c r="C1" s="92"/>
      <c r="D1" s="92"/>
      <c r="E1" s="92"/>
      <c r="F1" s="92"/>
      <c r="G1" s="93"/>
    </row>
    <row r="2" spans="1:7" s="82" customFormat="1" ht="21" customHeight="1">
      <c r="A2" s="94"/>
      <c r="B2" s="83"/>
      <c r="C2" s="84"/>
      <c r="D2" s="84"/>
      <c r="E2" s="84"/>
      <c r="F2" s="84"/>
      <c r="G2" s="95"/>
    </row>
    <row r="3" spans="1:7" s="82" customFormat="1" ht="21" customHeight="1">
      <c r="A3" s="94"/>
      <c r="B3" s="83" t="s">
        <v>3</v>
      </c>
      <c r="C3" s="84"/>
      <c r="D3" s="84"/>
      <c r="E3" s="84"/>
      <c r="F3" s="84"/>
      <c r="G3" s="95"/>
    </row>
    <row r="4" spans="1:7" s="82" customFormat="1" ht="21" customHeight="1">
      <c r="A4" s="94"/>
      <c r="B4" s="83" t="s">
        <v>39</v>
      </c>
      <c r="C4" s="84"/>
      <c r="D4" s="84"/>
      <c r="E4" s="84"/>
      <c r="F4" s="84"/>
      <c r="G4" s="95"/>
    </row>
    <row r="5" spans="1:7" ht="12.75" customHeight="1">
      <c r="A5" s="96"/>
      <c r="B5" s="78"/>
      <c r="G5" s="97"/>
    </row>
    <row r="6" spans="1:7" ht="12.75" customHeight="1">
      <c r="A6" s="96"/>
      <c r="B6" s="78"/>
      <c r="G6" s="97"/>
    </row>
    <row r="7" spans="1:7" ht="12.75" customHeight="1">
      <c r="A7" s="96"/>
      <c r="C7" s="23"/>
      <c r="D7" s="23"/>
      <c r="E7" s="23"/>
      <c r="F7" s="23"/>
      <c r="G7" s="97"/>
    </row>
    <row r="8" spans="1:7" ht="10.5">
      <c r="A8" s="96"/>
      <c r="C8" s="76"/>
      <c r="D8" s="80"/>
      <c r="E8" s="80"/>
      <c r="F8" s="80"/>
      <c r="G8" s="97"/>
    </row>
    <row r="9" spans="1:7" ht="12" customHeight="1">
      <c r="A9" s="96"/>
      <c r="B9" s="81"/>
      <c r="C9" s="85"/>
      <c r="D9" s="136"/>
      <c r="E9" s="136" t="s">
        <v>44</v>
      </c>
      <c r="F9" s="136" t="s">
        <v>75</v>
      </c>
      <c r="G9" s="97"/>
    </row>
    <row r="10" spans="1:7" ht="12" customHeight="1">
      <c r="A10" s="96"/>
      <c r="B10" s="81" t="s">
        <v>40</v>
      </c>
      <c r="C10" s="86"/>
      <c r="D10" s="134" t="s">
        <v>9</v>
      </c>
      <c r="E10" s="134" t="s">
        <v>11</v>
      </c>
      <c r="F10" s="134" t="s">
        <v>11</v>
      </c>
      <c r="G10" s="97"/>
    </row>
    <row r="11" spans="1:7" ht="12" customHeight="1">
      <c r="A11" s="96"/>
      <c r="B11" s="135"/>
      <c r="C11" s="87"/>
      <c r="D11" s="87"/>
      <c r="E11" s="87"/>
      <c r="F11" s="87"/>
      <c r="G11" s="97"/>
    </row>
    <row r="12" spans="1:7" ht="12" customHeight="1">
      <c r="A12" s="96"/>
      <c r="B12" s="77"/>
      <c r="C12" s="87"/>
      <c r="D12" s="123"/>
      <c r="E12" s="88"/>
      <c r="F12" s="88"/>
      <c r="G12" s="97"/>
    </row>
    <row r="13" spans="1:7" ht="12" customHeight="1">
      <c r="A13" s="96"/>
      <c r="B13" s="77" t="s">
        <v>41</v>
      </c>
      <c r="C13" s="87"/>
      <c r="D13" s="87">
        <v>87099</v>
      </c>
      <c r="E13" s="87">
        <v>116205</v>
      </c>
      <c r="F13" s="87">
        <v>1417500</v>
      </c>
      <c r="G13" s="97"/>
    </row>
    <row r="14" spans="1:7" ht="12" customHeight="1">
      <c r="A14" s="96"/>
      <c r="B14" s="77"/>
      <c r="C14" s="87"/>
      <c r="D14" s="87"/>
      <c r="E14" s="88"/>
      <c r="F14" s="88"/>
      <c r="G14" s="97"/>
    </row>
    <row r="15" spans="1:7" ht="12" customHeight="1">
      <c r="A15" s="96"/>
      <c r="B15" s="77" t="s">
        <v>42</v>
      </c>
      <c r="C15" s="87"/>
      <c r="D15" s="87">
        <f>33*6</f>
        <v>198</v>
      </c>
      <c r="E15" s="87">
        <f>6*33</f>
        <v>198</v>
      </c>
      <c r="F15" s="87">
        <v>400</v>
      </c>
      <c r="G15" s="97"/>
    </row>
    <row r="16" spans="1:7" ht="12" customHeight="1">
      <c r="A16" s="96"/>
      <c r="B16" s="77"/>
      <c r="C16" s="87"/>
      <c r="D16" s="87"/>
      <c r="E16" s="87"/>
      <c r="F16" s="87"/>
      <c r="G16" s="97"/>
    </row>
    <row r="17" spans="1:7" ht="12" customHeight="1">
      <c r="A17" s="96"/>
      <c r="B17" s="79" t="s">
        <v>56</v>
      </c>
      <c r="C17" s="87"/>
      <c r="D17" s="357">
        <f>'ERR &amp; Sensitivity Analysis'!G14</f>
        <v>0.9</v>
      </c>
      <c r="E17" s="141">
        <f>D17</f>
        <v>0.9</v>
      </c>
      <c r="F17" s="141">
        <f>D17</f>
        <v>0.9</v>
      </c>
      <c r="G17" s="97"/>
    </row>
    <row r="18" spans="1:7" ht="12" customHeight="1">
      <c r="A18" s="96"/>
      <c r="B18" s="77"/>
      <c r="C18" s="87"/>
      <c r="D18" s="87"/>
      <c r="E18" s="88"/>
      <c r="F18" s="88"/>
      <c r="G18" s="97"/>
    </row>
    <row r="19" spans="1:7" ht="12" customHeight="1">
      <c r="A19" s="96"/>
      <c r="B19" s="79" t="s">
        <v>55</v>
      </c>
      <c r="C19" s="86"/>
      <c r="D19" s="87">
        <f>+D15*D17</f>
        <v>178.20000000000002</v>
      </c>
      <c r="E19" s="87">
        <f>+E15*E17</f>
        <v>178.20000000000002</v>
      </c>
      <c r="F19" s="87">
        <f>+F15*F17</f>
        <v>360</v>
      </c>
      <c r="G19" s="97"/>
    </row>
    <row r="20" spans="1:7" ht="12" customHeight="1" thickBot="1">
      <c r="A20" s="96"/>
      <c r="C20" s="87"/>
      <c r="D20" s="87"/>
      <c r="E20" s="87"/>
      <c r="F20" s="87"/>
      <c r="G20" s="97"/>
    </row>
    <row r="21" spans="1:7" ht="12" customHeight="1">
      <c r="A21" s="96"/>
      <c r="B21" s="121"/>
      <c r="C21" s="122"/>
      <c r="D21" s="122"/>
      <c r="E21" s="122"/>
      <c r="F21" s="122"/>
      <c r="G21" s="97"/>
    </row>
    <row r="22" spans="1:7" ht="12" customHeight="1">
      <c r="A22" s="96"/>
      <c r="B22" s="172"/>
      <c r="C22" s="89"/>
      <c r="D22" s="173"/>
      <c r="E22" s="89"/>
      <c r="F22" s="89"/>
      <c r="G22" s="97"/>
    </row>
    <row r="23" spans="1:7" ht="10.5">
      <c r="A23" s="96"/>
      <c r="B23" s="77"/>
      <c r="C23" s="78"/>
      <c r="D23" s="129"/>
      <c r="E23" s="78"/>
      <c r="F23" s="78"/>
      <c r="G23" s="97"/>
    </row>
    <row r="24" spans="1:7" ht="10.5">
      <c r="A24" s="96"/>
      <c r="B24" s="77"/>
      <c r="C24" s="78"/>
      <c r="D24" s="78"/>
      <c r="E24" s="78"/>
      <c r="F24" s="78"/>
      <c r="G24" s="97"/>
    </row>
    <row r="25" spans="1:7" ht="11.25" thickBot="1">
      <c r="A25" s="98"/>
      <c r="B25" s="99"/>
      <c r="C25" s="100"/>
      <c r="D25" s="100"/>
      <c r="E25" s="100"/>
      <c r="F25" s="100"/>
      <c r="G25" s="101"/>
    </row>
    <row r="26" ht="11.25" thickTop="1"/>
    <row r="27" spans="1:7" ht="12.75">
      <c r="A27" s="427">
        <f>IF('ERR &amp; Sensitivity Analysis'!$I$10="N","Note: Current calculations are based on user input and are not the original MCC estimates.",IF('ERR &amp; Sensitivity Analysis'!$I$11="N","Note: Current calculations are based on user input and are not the original MCC estimates.",0))</f>
        <v>0</v>
      </c>
      <c r="B27" s="427"/>
      <c r="C27" s="427"/>
      <c r="D27" s="427"/>
      <c r="E27" s="427"/>
      <c r="F27" s="427"/>
      <c r="G27" s="427"/>
    </row>
    <row r="29" spans="4:6" ht="10.5">
      <c r="D29" s="87"/>
      <c r="E29" s="87"/>
      <c r="F29" s="87"/>
    </row>
    <row r="30" spans="4:20" ht="10.5">
      <c r="D30" s="174"/>
      <c r="E30" s="174"/>
      <c r="F30" s="174"/>
      <c r="G30" s="174"/>
      <c r="H30" s="174">
        <v>0</v>
      </c>
      <c r="I30" s="174">
        <v>0</v>
      </c>
      <c r="J30" s="174">
        <v>0</v>
      </c>
      <c r="K30" s="174">
        <v>0</v>
      </c>
      <c r="L30" s="174">
        <v>0</v>
      </c>
      <c r="M30" s="174">
        <v>0</v>
      </c>
      <c r="N30" s="174">
        <v>0</v>
      </c>
      <c r="O30" s="174">
        <v>0</v>
      </c>
      <c r="P30" s="174">
        <v>0</v>
      </c>
      <c r="Q30" s="174">
        <v>0</v>
      </c>
      <c r="R30" s="174">
        <v>0</v>
      </c>
      <c r="S30" s="174">
        <v>0</v>
      </c>
      <c r="T30" s="174">
        <v>0</v>
      </c>
    </row>
    <row r="31" spans="4:6" ht="10.5">
      <c r="D31" s="88"/>
      <c r="E31" s="88"/>
      <c r="F31" s="88"/>
    </row>
    <row r="32" spans="3:6" ht="10.5">
      <c r="C32" s="85"/>
      <c r="D32" s="85"/>
      <c r="E32" s="85"/>
      <c r="F32" s="85"/>
    </row>
    <row r="33" spans="2:6" ht="12.75">
      <c r="B33" s="81"/>
      <c r="C33" s="86"/>
      <c r="D33" s="134"/>
      <c r="E33" s="137"/>
      <c r="F33" s="137"/>
    </row>
    <row r="34" spans="2:6" ht="12.75">
      <c r="B34" s="135"/>
      <c r="C34" s="87"/>
      <c r="D34" s="87"/>
      <c r="E34" s="88"/>
      <c r="F34" s="88"/>
    </row>
    <row r="35" spans="2:6" ht="17.25" customHeight="1">
      <c r="B35" s="77"/>
      <c r="C35" s="87"/>
      <c r="D35" s="123"/>
      <c r="E35" s="124"/>
      <c r="F35" s="124"/>
    </row>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sheetData>
  <mergeCells count="1">
    <mergeCell ref="A27:G27"/>
  </mergeCells>
  <conditionalFormatting sqref="A27">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6"/>
  <dimension ref="A1:H42"/>
  <sheetViews>
    <sheetView workbookViewId="0" topLeftCell="A1">
      <selection activeCell="B2" sqref="B2"/>
    </sheetView>
  </sheetViews>
  <sheetFormatPr defaultColWidth="9.00390625" defaultRowHeight="15.75"/>
  <cols>
    <col min="1" max="1" width="9.00390625" style="197" customWidth="1"/>
    <col min="2" max="2" width="44.50390625" style="197" customWidth="1"/>
    <col min="3" max="3" width="11.75390625" style="197" bestFit="1" customWidth="1"/>
    <col min="4" max="4" width="8.00390625" style="197" bestFit="1" customWidth="1"/>
    <col min="5" max="5" width="5.125" style="197" customWidth="1"/>
    <col min="6" max="6" width="10.875" style="197" customWidth="1"/>
    <col min="7" max="7" width="12.00390625" style="197" customWidth="1"/>
    <col min="8" max="16384" width="9.00390625" style="197" customWidth="1"/>
  </cols>
  <sheetData>
    <row r="1" spans="1:8" ht="12" customHeight="1" thickTop="1">
      <c r="A1" s="193"/>
      <c r="B1" s="194"/>
      <c r="C1" s="195"/>
      <c r="D1" s="195"/>
      <c r="E1" s="195"/>
      <c r="F1" s="195"/>
      <c r="G1" s="195"/>
      <c r="H1" s="196"/>
    </row>
    <row r="2" spans="1:8" s="202" customFormat="1" ht="21" customHeight="1">
      <c r="A2" s="198"/>
      <c r="B2" s="199"/>
      <c r="C2" s="200"/>
      <c r="D2" s="200"/>
      <c r="E2" s="200"/>
      <c r="F2" s="200"/>
      <c r="G2" s="200"/>
      <c r="H2" s="201"/>
    </row>
    <row r="3" spans="1:8" s="202" customFormat="1" ht="21" customHeight="1">
      <c r="A3" s="198"/>
      <c r="B3" s="199" t="s">
        <v>3</v>
      </c>
      <c r="C3" s="200"/>
      <c r="D3" s="200"/>
      <c r="E3" s="200"/>
      <c r="F3" s="200"/>
      <c r="G3" s="200"/>
      <c r="H3" s="201"/>
    </row>
    <row r="4" spans="1:8" s="202" customFormat="1" ht="21" customHeight="1">
      <c r="A4" s="198"/>
      <c r="B4" s="199" t="s">
        <v>54</v>
      </c>
      <c r="C4" s="200"/>
      <c r="D4" s="200"/>
      <c r="E4" s="200"/>
      <c r="F4" s="200"/>
      <c r="G4" s="200"/>
      <c r="H4" s="201"/>
    </row>
    <row r="5" spans="1:8" ht="12.75" customHeight="1">
      <c r="A5" s="203"/>
      <c r="B5" s="204"/>
      <c r="H5" s="205"/>
    </row>
    <row r="6" spans="1:8" ht="12.75" customHeight="1">
      <c r="A6" s="203"/>
      <c r="B6" s="204"/>
      <c r="H6" s="205"/>
    </row>
    <row r="7" spans="1:8" ht="12.75" customHeight="1">
      <c r="A7" s="203"/>
      <c r="C7" s="206"/>
      <c r="D7" s="206"/>
      <c r="E7" s="206"/>
      <c r="F7" s="206"/>
      <c r="G7" s="206"/>
      <c r="H7" s="205"/>
    </row>
    <row r="8" spans="1:8" ht="11.25">
      <c r="A8" s="203"/>
      <c r="C8" s="207"/>
      <c r="D8" s="208"/>
      <c r="E8" s="208"/>
      <c r="F8" s="208"/>
      <c r="G8" s="208"/>
      <c r="H8" s="205"/>
    </row>
    <row r="9" spans="1:8" ht="12" customHeight="1">
      <c r="A9" s="203"/>
      <c r="B9" s="209"/>
      <c r="C9" s="210"/>
      <c r="D9" s="210"/>
      <c r="E9" s="210"/>
      <c r="F9" s="210"/>
      <c r="G9" s="210"/>
      <c r="H9" s="205"/>
    </row>
    <row r="10" spans="1:8" ht="12" customHeight="1">
      <c r="A10" s="203"/>
      <c r="B10" s="209"/>
      <c r="C10" s="211" t="s">
        <v>16</v>
      </c>
      <c r="D10" s="211"/>
      <c r="E10" s="212"/>
      <c r="F10" s="211" t="s">
        <v>28</v>
      </c>
      <c r="G10" s="211"/>
      <c r="H10" s="205"/>
    </row>
    <row r="11" spans="1:8" ht="12" customHeight="1">
      <c r="A11" s="203"/>
      <c r="B11" s="213"/>
      <c r="C11" s="214" t="s">
        <v>52</v>
      </c>
      <c r="D11" s="214" t="s">
        <v>53</v>
      </c>
      <c r="E11" s="214"/>
      <c r="F11" s="214" t="s">
        <v>52</v>
      </c>
      <c r="G11" s="214" t="s">
        <v>53</v>
      </c>
      <c r="H11" s="205"/>
    </row>
    <row r="12" spans="1:8" ht="12" customHeight="1">
      <c r="A12" s="203"/>
      <c r="B12" s="213"/>
      <c r="C12" s="215">
        <v>0.57</v>
      </c>
      <c r="D12" s="215">
        <v>0.43</v>
      </c>
      <c r="E12" s="215"/>
      <c r="F12" s="215" t="e">
        <f>1-G12</f>
        <v>#REF!</v>
      </c>
      <c r="G12" s="356" t="e">
        <f>'ERR &amp; Sensitivity Analysis'!#REF!</f>
        <v>#REF!</v>
      </c>
      <c r="H12" s="205"/>
    </row>
    <row r="13" spans="1:8" ht="12" customHeight="1">
      <c r="A13" s="203"/>
      <c r="B13" s="216" t="s">
        <v>16</v>
      </c>
      <c r="C13" s="214"/>
      <c r="D13" s="217"/>
      <c r="E13" s="217"/>
      <c r="F13" s="217"/>
      <c r="G13" s="218"/>
      <c r="H13" s="205"/>
    </row>
    <row r="14" spans="1:8" ht="12" customHeight="1">
      <c r="A14" s="203"/>
      <c r="B14" s="219" t="s">
        <v>77</v>
      </c>
      <c r="C14" s="214"/>
      <c r="D14" s="217"/>
      <c r="E14" s="217"/>
      <c r="F14" s="220">
        <f>G14</f>
        <v>0.05</v>
      </c>
      <c r="G14" s="356">
        <f>'ERR &amp; Sensitivity Analysis'!G13</f>
        <v>0.05</v>
      </c>
      <c r="H14" s="205"/>
    </row>
    <row r="15" spans="1:8" ht="12" customHeight="1">
      <c r="A15" s="203"/>
      <c r="B15" s="219"/>
      <c r="C15" s="214"/>
      <c r="D15" s="214"/>
      <c r="E15" s="214"/>
      <c r="F15" s="214"/>
      <c r="G15" s="214"/>
      <c r="H15" s="205"/>
    </row>
    <row r="16" spans="1:8" ht="12" customHeight="1">
      <c r="A16" s="203"/>
      <c r="B16" s="219" t="s">
        <v>46</v>
      </c>
      <c r="C16" s="215">
        <v>0.77</v>
      </c>
      <c r="D16" s="215">
        <v>0.7</v>
      </c>
      <c r="E16" s="215"/>
      <c r="F16" s="215">
        <f>C16+F14</f>
        <v>0.8200000000000001</v>
      </c>
      <c r="G16" s="215">
        <f>D16+G14</f>
        <v>0.75</v>
      </c>
      <c r="H16" s="205"/>
    </row>
    <row r="17" spans="1:8" ht="12" customHeight="1">
      <c r="A17" s="203"/>
      <c r="B17" s="219" t="s">
        <v>45</v>
      </c>
      <c r="C17" s="215">
        <v>0.91</v>
      </c>
      <c r="D17" s="215">
        <v>0.86</v>
      </c>
      <c r="E17" s="215"/>
      <c r="F17" s="215">
        <f>+C17*(1+F14)</f>
        <v>0.9555000000000001</v>
      </c>
      <c r="G17" s="215">
        <f>+D17*(1+G14)</f>
        <v>0.903</v>
      </c>
      <c r="H17" s="205"/>
    </row>
    <row r="18" spans="1:8" ht="12" customHeight="1">
      <c r="A18" s="203"/>
      <c r="B18" s="219" t="s">
        <v>47</v>
      </c>
      <c r="C18" s="215">
        <v>0.95</v>
      </c>
      <c r="D18" s="215">
        <v>0.95</v>
      </c>
      <c r="E18" s="215"/>
      <c r="F18" s="215">
        <f>+C18+0.01</f>
        <v>0.96</v>
      </c>
      <c r="G18" s="215">
        <f>+D18+0.01</f>
        <v>0.96</v>
      </c>
      <c r="H18" s="205"/>
    </row>
    <row r="19" spans="1:8" ht="12" customHeight="1">
      <c r="A19" s="203"/>
      <c r="B19" s="219" t="s">
        <v>49</v>
      </c>
      <c r="C19" s="215">
        <v>0.37</v>
      </c>
      <c r="D19" s="215">
        <v>0.37</v>
      </c>
      <c r="E19" s="215"/>
      <c r="F19" s="215">
        <v>0.4</v>
      </c>
      <c r="G19" s="215">
        <v>0.4</v>
      </c>
      <c r="H19" s="205"/>
    </row>
    <row r="20" spans="1:8" ht="12" customHeight="1">
      <c r="A20" s="203"/>
      <c r="B20" s="219" t="s">
        <v>48</v>
      </c>
      <c r="C20" s="215">
        <v>0.87</v>
      </c>
      <c r="D20" s="215">
        <v>0.87</v>
      </c>
      <c r="E20" s="215"/>
      <c r="F20" s="215">
        <v>0.91</v>
      </c>
      <c r="G20" s="215">
        <v>0.91</v>
      </c>
      <c r="H20" s="205"/>
    </row>
    <row r="21" spans="1:8" ht="12" customHeight="1">
      <c r="A21" s="203"/>
      <c r="B21" s="219" t="s">
        <v>50</v>
      </c>
      <c r="C21" s="215">
        <v>0.9</v>
      </c>
      <c r="D21" s="215">
        <v>0.9</v>
      </c>
      <c r="E21" s="215"/>
      <c r="F21" s="215">
        <v>0.9</v>
      </c>
      <c r="G21" s="215">
        <v>0.9</v>
      </c>
      <c r="H21" s="205"/>
    </row>
    <row r="22" spans="1:8" ht="12" customHeight="1">
      <c r="A22" s="203"/>
      <c r="B22" s="219" t="s">
        <v>51</v>
      </c>
      <c r="C22" s="215">
        <v>0.95</v>
      </c>
      <c r="D22" s="215">
        <v>0.95</v>
      </c>
      <c r="E22" s="215"/>
      <c r="F22" s="215">
        <v>0.95</v>
      </c>
      <c r="G22" s="215">
        <v>0.95</v>
      </c>
      <c r="H22" s="205"/>
    </row>
    <row r="23" spans="1:8" ht="12" customHeight="1">
      <c r="A23" s="203"/>
      <c r="B23" s="219"/>
      <c r="C23" s="214"/>
      <c r="D23" s="217"/>
      <c r="E23" s="217"/>
      <c r="F23" s="217"/>
      <c r="G23" s="214"/>
      <c r="H23" s="205"/>
    </row>
    <row r="24" spans="1:8" ht="12" customHeight="1" thickBot="1">
      <c r="A24" s="203"/>
      <c r="C24" s="214"/>
      <c r="D24" s="214"/>
      <c r="E24" s="214"/>
      <c r="F24" s="214"/>
      <c r="G24" s="214"/>
      <c r="H24" s="205"/>
    </row>
    <row r="25" spans="1:8" ht="12" customHeight="1">
      <c r="A25" s="203"/>
      <c r="B25" s="221"/>
      <c r="C25" s="222"/>
      <c r="D25" s="222"/>
      <c r="E25" s="222"/>
      <c r="F25" s="222"/>
      <c r="G25" s="222"/>
      <c r="H25" s="205"/>
    </row>
    <row r="26" spans="1:8" ht="12" customHeight="1">
      <c r="A26" s="203"/>
      <c r="C26" s="223"/>
      <c r="D26" s="223"/>
      <c r="E26" s="223"/>
      <c r="F26" s="223"/>
      <c r="G26" s="224"/>
      <c r="H26" s="205"/>
    </row>
    <row r="27" spans="1:8" ht="11.25">
      <c r="A27" s="203"/>
      <c r="C27" s="204"/>
      <c r="D27" s="204"/>
      <c r="E27" s="204"/>
      <c r="F27" s="204"/>
      <c r="G27" s="204"/>
      <c r="H27" s="205"/>
    </row>
    <row r="28" spans="1:8" ht="11.25">
      <c r="A28" s="203"/>
      <c r="B28" s="219"/>
      <c r="C28" s="204"/>
      <c r="D28" s="225"/>
      <c r="E28" s="225"/>
      <c r="F28" s="225"/>
      <c r="G28" s="204"/>
      <c r="H28" s="205"/>
    </row>
    <row r="29" spans="1:8" ht="11.25">
      <c r="A29" s="203"/>
      <c r="B29" s="219"/>
      <c r="C29" s="204"/>
      <c r="D29" s="204"/>
      <c r="E29" s="204"/>
      <c r="F29" s="204"/>
      <c r="G29" s="204"/>
      <c r="H29" s="205"/>
    </row>
    <row r="30" spans="1:8" ht="12" thickBot="1">
      <c r="A30" s="226"/>
      <c r="B30" s="227"/>
      <c r="C30" s="228"/>
      <c r="D30" s="228"/>
      <c r="E30" s="228"/>
      <c r="F30" s="228"/>
      <c r="G30" s="228"/>
      <c r="H30" s="229"/>
    </row>
    <row r="31" ht="12" thickTop="1"/>
    <row r="32" spans="1:7" ht="12.75">
      <c r="A32" s="427">
        <f>IF('ERR &amp; Sensitivity Analysis'!$I$10="N","Note: Current calculations are based on user input and are not the original MCC estimates.",IF('ERR &amp; Sensitivity Analysis'!$I$11="N","Note: Current calculations are based on user input and are not the original MCC estimates.",0))</f>
        <v>0</v>
      </c>
      <c r="B32" s="427"/>
      <c r="C32" s="427"/>
      <c r="D32" s="427"/>
      <c r="E32" s="427"/>
      <c r="F32" s="427"/>
      <c r="G32" s="427"/>
    </row>
    <row r="33" ht="11.25">
      <c r="B33" s="209"/>
    </row>
    <row r="34" spans="3:7" ht="11.25">
      <c r="C34" s="230"/>
      <c r="D34" s="230"/>
      <c r="E34" s="230"/>
      <c r="F34" s="230"/>
      <c r="G34" s="230"/>
    </row>
    <row r="35" spans="3:7" ht="11.25">
      <c r="C35" s="231"/>
      <c r="D35" s="231"/>
      <c r="E35" s="231"/>
      <c r="F35" s="231"/>
      <c r="G35" s="231"/>
    </row>
    <row r="36" spans="3:7" ht="11.25">
      <c r="C36" s="230"/>
      <c r="D36" s="230"/>
      <c r="E36" s="230"/>
      <c r="F36" s="230"/>
      <c r="G36" s="230"/>
    </row>
    <row r="37" spans="2:7" ht="12.75">
      <c r="B37" s="209"/>
      <c r="C37" s="232"/>
      <c r="D37" s="210"/>
      <c r="E37" s="210"/>
      <c r="F37" s="210"/>
      <c r="G37" s="233"/>
    </row>
    <row r="38" spans="2:7" ht="12.75">
      <c r="B38" s="209"/>
      <c r="C38" s="234"/>
      <c r="D38" s="212"/>
      <c r="E38" s="212"/>
      <c r="F38" s="212"/>
      <c r="G38" s="235"/>
    </row>
    <row r="39" spans="2:7" ht="12.75">
      <c r="B39" s="236"/>
      <c r="C39" s="214"/>
      <c r="D39" s="214"/>
      <c r="E39" s="214"/>
      <c r="F39" s="214"/>
      <c r="G39" s="214"/>
    </row>
    <row r="40" spans="2:7" ht="12.75">
      <c r="B40" s="236"/>
      <c r="C40" s="214"/>
      <c r="D40" s="214"/>
      <c r="E40" s="214"/>
      <c r="F40" s="214"/>
      <c r="G40" s="214"/>
    </row>
    <row r="41" spans="2:7" ht="17.25" customHeight="1">
      <c r="B41" s="219"/>
      <c r="C41" s="214"/>
      <c r="D41" s="214"/>
      <c r="E41" s="214"/>
      <c r="F41" s="214"/>
      <c r="G41" s="214"/>
    </row>
    <row r="42" ht="17.25" customHeight="1">
      <c r="B42" s="209"/>
    </row>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sheetData>
  <mergeCells count="1">
    <mergeCell ref="A32:G32"/>
  </mergeCells>
  <conditionalFormatting sqref="A32">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sheetPr codeName="Sheet3"/>
  <dimension ref="A1:FE290"/>
  <sheetViews>
    <sheetView zoomScale="60" zoomScaleNormal="60" workbookViewId="0" topLeftCell="A1">
      <selection activeCell="B2" sqref="B2"/>
    </sheetView>
  </sheetViews>
  <sheetFormatPr defaultColWidth="9.00390625" defaultRowHeight="15.75"/>
  <cols>
    <col min="1" max="1" width="9.00390625" style="3" customWidth="1"/>
    <col min="2" max="2" width="32.625" style="7" customWidth="1"/>
    <col min="3" max="3" width="10.625" style="3" customWidth="1"/>
    <col min="4" max="4" width="23.75390625" style="3" customWidth="1"/>
    <col min="5" max="6" width="12.875" style="3" customWidth="1"/>
    <col min="7" max="12" width="13.50390625" style="3" customWidth="1"/>
    <col min="13" max="15" width="9.00390625" style="3" customWidth="1"/>
    <col min="16" max="16" width="18.875" style="3" customWidth="1"/>
    <col min="17" max="16384" width="9.00390625" style="3" customWidth="1"/>
  </cols>
  <sheetData>
    <row r="1" spans="1:14" ht="18">
      <c r="A1" s="441">
        <f>IF('ERR &amp; Sensitivity Analysis'!$I$10="N","Note: Current calculations are based on user input and are not the original MCC estimates.",IF('ERR &amp; Sensitivity Analysis'!$I$11="N","Note: Current calculations are based on user input and are not the original MCC estimates.",0))</f>
        <v>0</v>
      </c>
      <c r="B1" s="442"/>
      <c r="C1" s="442"/>
      <c r="D1" s="442"/>
      <c r="E1" s="442"/>
      <c r="F1" s="442"/>
      <c r="G1" s="442"/>
      <c r="H1" s="115"/>
      <c r="I1" s="115"/>
      <c r="J1" s="115"/>
      <c r="K1" s="115"/>
      <c r="L1" s="115"/>
      <c r="M1" s="115"/>
      <c r="N1" s="370"/>
    </row>
    <row r="2" spans="1:14" ht="22.5">
      <c r="A2" s="371"/>
      <c r="B2" s="21"/>
      <c r="C2" s="102"/>
      <c r="D2" s="102"/>
      <c r="E2" s="102"/>
      <c r="F2" s="102"/>
      <c r="G2" s="102"/>
      <c r="H2" s="102"/>
      <c r="I2" s="102"/>
      <c r="J2" s="102"/>
      <c r="K2" s="102"/>
      <c r="L2" s="102"/>
      <c r="M2" s="102"/>
      <c r="N2" s="372"/>
    </row>
    <row r="3" spans="1:14" ht="22.5">
      <c r="A3" s="371"/>
      <c r="B3" s="21" t="str">
        <f>+Projects!B3</f>
        <v>Social Infrastructure Development Project</v>
      </c>
      <c r="C3" s="102"/>
      <c r="D3" s="102"/>
      <c r="E3" s="102"/>
      <c r="F3" s="102"/>
      <c r="G3" s="102"/>
      <c r="H3" s="102"/>
      <c r="I3" s="102"/>
      <c r="J3" s="102"/>
      <c r="K3" s="102"/>
      <c r="L3" s="102"/>
      <c r="M3" s="102"/>
      <c r="N3" s="372"/>
    </row>
    <row r="4" spans="1:14" ht="22.5">
      <c r="A4" s="371"/>
      <c r="B4" s="21" t="s">
        <v>22</v>
      </c>
      <c r="C4" s="102"/>
      <c r="D4" s="102"/>
      <c r="E4" s="102"/>
      <c r="F4" s="102"/>
      <c r="G4" s="102"/>
      <c r="H4" s="102"/>
      <c r="I4" s="102"/>
      <c r="J4" s="102"/>
      <c r="K4" s="102"/>
      <c r="L4" s="102"/>
      <c r="M4" s="102"/>
      <c r="N4" s="372"/>
    </row>
    <row r="5" spans="1:14" ht="20.25">
      <c r="A5" s="371"/>
      <c r="B5" s="103"/>
      <c r="C5" s="102"/>
      <c r="D5" s="102"/>
      <c r="E5" s="102"/>
      <c r="F5" s="102"/>
      <c r="G5" s="102"/>
      <c r="H5" s="102"/>
      <c r="I5" s="102"/>
      <c r="J5" s="102"/>
      <c r="K5" s="102"/>
      <c r="L5" s="102"/>
      <c r="M5" s="102"/>
      <c r="N5" s="372"/>
    </row>
    <row r="6" spans="1:16" ht="15.75">
      <c r="A6" s="371"/>
      <c r="G6" s="176"/>
      <c r="H6" s="176"/>
      <c r="I6" s="176"/>
      <c r="J6" s="176"/>
      <c r="K6" s="176"/>
      <c r="L6" s="176"/>
      <c r="N6" s="372"/>
      <c r="P6" s="142"/>
    </row>
    <row r="7" spans="1:14" ht="15.75">
      <c r="A7" s="371"/>
      <c r="E7" s="439" t="s">
        <v>16</v>
      </c>
      <c r="F7" s="439"/>
      <c r="G7" s="440" t="s">
        <v>28</v>
      </c>
      <c r="H7" s="440"/>
      <c r="I7" s="440"/>
      <c r="J7" s="440"/>
      <c r="K7" s="440"/>
      <c r="L7" s="440"/>
      <c r="M7" s="6"/>
      <c r="N7" s="372"/>
    </row>
    <row r="8" spans="1:104" ht="15.75">
      <c r="A8" s="371"/>
      <c r="C8" s="104"/>
      <c r="D8" s="104"/>
      <c r="E8" s="177"/>
      <c r="F8" s="177"/>
      <c r="G8" s="182" t="s">
        <v>9</v>
      </c>
      <c r="H8" s="178"/>
      <c r="I8" s="182" t="s">
        <v>58</v>
      </c>
      <c r="J8" s="178"/>
      <c r="K8" s="182" t="s">
        <v>76</v>
      </c>
      <c r="L8" s="178"/>
      <c r="M8" s="105"/>
      <c r="N8" s="37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row>
    <row r="9" spans="1:16" ht="15.75" customHeight="1">
      <c r="A9" s="371"/>
      <c r="B9" s="107"/>
      <c r="C9" s="108"/>
      <c r="D9" s="108"/>
      <c r="E9" s="56" t="s">
        <v>52</v>
      </c>
      <c r="F9" s="111" t="s">
        <v>53</v>
      </c>
      <c r="G9" s="56" t="s">
        <v>52</v>
      </c>
      <c r="H9" s="56" t="s">
        <v>53</v>
      </c>
      <c r="I9" s="56" t="s">
        <v>52</v>
      </c>
      <c r="J9" s="56" t="s">
        <v>53</v>
      </c>
      <c r="K9" s="56" t="s">
        <v>52</v>
      </c>
      <c r="L9" s="56" t="s">
        <v>53</v>
      </c>
      <c r="M9" s="109"/>
      <c r="N9" s="373"/>
      <c r="P9" s="142"/>
    </row>
    <row r="10" spans="1:16" ht="15.75" customHeight="1">
      <c r="A10" s="371"/>
      <c r="B10" s="139" t="s">
        <v>57</v>
      </c>
      <c r="C10" s="108"/>
      <c r="D10" s="108"/>
      <c r="E10" s="176">
        <f>+(Projects!$D$11*'Project Cost'!$D$19+Projects!$E$11*'Project Cost'!$E$19+Projects!$F$11*'Project Cost'!$F$19)*Assumptions!$C$12</f>
        <v>408.348</v>
      </c>
      <c r="F10" s="176">
        <f>+(Projects!$D$11*'Project Cost'!$D$19+Projects!$E$11*'Project Cost'!$E$19+Projects!$F$11*'Project Cost'!$F$19)*Assumptions!$D$12</f>
        <v>308.052</v>
      </c>
      <c r="G10" s="176">
        <f>+(Projects!$D$11*'Project Cost'!$D$19)*Assumptions!$C$12*(1+Assumptions!F14)</f>
        <v>106.6527</v>
      </c>
      <c r="H10" s="176">
        <f>+(Projects!$D$11*'Project Cost'!$D$19)*Assumptions!$D$12*(1+Assumptions!G14)</f>
        <v>80.4573</v>
      </c>
      <c r="I10" s="176">
        <f>+(Projects!$E$11*'Project Cost'!$E$19)*Assumptions!$C$12</f>
        <v>101.574</v>
      </c>
      <c r="J10" s="176">
        <f>+(Projects!$E$11*'Project Cost'!$E$19)*Assumptions!$D$12</f>
        <v>76.626</v>
      </c>
      <c r="K10" s="176">
        <f>+(Projects!$F$11*'Project Cost'!$F$19)*Assumptions!$C$12</f>
        <v>205.2</v>
      </c>
      <c r="L10" s="176">
        <f>+(Projects!$F$11*'Project Cost'!$F$19)*Assumptions!$D$12</f>
        <v>154.8</v>
      </c>
      <c r="M10" s="111"/>
      <c r="N10" s="373"/>
      <c r="P10" s="142"/>
    </row>
    <row r="11" spans="1:16" ht="15.75" customHeight="1">
      <c r="A11" s="371"/>
      <c r="B11" s="107"/>
      <c r="C11" s="108"/>
      <c r="D11" s="108"/>
      <c r="E11" s="56"/>
      <c r="F11" s="56"/>
      <c r="G11" s="56"/>
      <c r="H11" s="56"/>
      <c r="I11" s="56"/>
      <c r="J11" s="56"/>
      <c r="K11" s="56"/>
      <c r="L11" s="56"/>
      <c r="M11" s="111"/>
      <c r="N11" s="373"/>
      <c r="P11" s="142"/>
    </row>
    <row r="12" spans="1:52" ht="15.75">
      <c r="A12" s="371"/>
      <c r="B12" s="139" t="s">
        <v>23</v>
      </c>
      <c r="C12" s="111"/>
      <c r="D12" s="56" t="s">
        <v>29</v>
      </c>
      <c r="E12" s="128">
        <f>+E10</f>
        <v>408.348</v>
      </c>
      <c r="F12" s="128">
        <f aca="true" t="shared" si="0" ref="F12:L12">+F10</f>
        <v>308.052</v>
      </c>
      <c r="G12" s="128">
        <f t="shared" si="0"/>
        <v>106.6527</v>
      </c>
      <c r="H12" s="128">
        <f t="shared" si="0"/>
        <v>80.4573</v>
      </c>
      <c r="I12" s="128">
        <f t="shared" si="0"/>
        <v>101.574</v>
      </c>
      <c r="J12" s="128">
        <f t="shared" si="0"/>
        <v>76.626</v>
      </c>
      <c r="K12" s="128">
        <f t="shared" si="0"/>
        <v>205.2</v>
      </c>
      <c r="L12" s="128">
        <f t="shared" si="0"/>
        <v>154.8</v>
      </c>
      <c r="M12" s="128"/>
      <c r="N12" s="374"/>
      <c r="O12" s="2"/>
      <c r="P12" s="14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row>
    <row r="13" spans="1:16" ht="15.75">
      <c r="A13" s="371"/>
      <c r="B13" s="139"/>
      <c r="C13" s="111"/>
      <c r="D13" s="56" t="s">
        <v>25</v>
      </c>
      <c r="E13" s="140">
        <f>+(1-Assumptions!$C$16)</f>
        <v>0.22999999999999998</v>
      </c>
      <c r="F13" s="140">
        <f>+(1-Assumptions!$D$16)</f>
        <v>0.30000000000000004</v>
      </c>
      <c r="G13" s="180">
        <f>+(1-Assumptions!$F$16)</f>
        <v>0.17999999999999994</v>
      </c>
      <c r="H13" s="180">
        <f>+(1-Assumptions!$G$16)</f>
        <v>0.25</v>
      </c>
      <c r="I13" s="140">
        <f>+(1-Assumptions!$C$16)</f>
        <v>0.22999999999999998</v>
      </c>
      <c r="J13" s="140">
        <f>+(1-Assumptions!$D$16)</f>
        <v>0.30000000000000004</v>
      </c>
      <c r="K13" s="140">
        <f>+(1-Assumptions!$C$16)</f>
        <v>0.22999999999999998</v>
      </c>
      <c r="L13" s="140">
        <f>+(1-Assumptions!$D$16)</f>
        <v>0.30000000000000004</v>
      </c>
      <c r="M13" s="140"/>
      <c r="N13" s="374"/>
      <c r="O13" s="2"/>
      <c r="P13" s="143"/>
    </row>
    <row r="14" spans="1:52" ht="15.75">
      <c r="A14" s="371"/>
      <c r="B14" s="110"/>
      <c r="C14" s="111"/>
      <c r="D14" s="56" t="s">
        <v>26</v>
      </c>
      <c r="E14" s="128">
        <f aca="true" t="shared" si="1" ref="E14:L14">+E12*(1-E13)</f>
        <v>314.42796000000004</v>
      </c>
      <c r="F14" s="128">
        <f t="shared" si="1"/>
        <v>215.6364</v>
      </c>
      <c r="G14" s="128">
        <f t="shared" si="1"/>
        <v>87.455214</v>
      </c>
      <c r="H14" s="128">
        <f t="shared" si="1"/>
        <v>60.342975</v>
      </c>
      <c r="I14" s="128">
        <f t="shared" si="1"/>
        <v>78.21198</v>
      </c>
      <c r="J14" s="128">
        <f t="shared" si="1"/>
        <v>53.6382</v>
      </c>
      <c r="K14" s="128">
        <f t="shared" si="1"/>
        <v>158.004</v>
      </c>
      <c r="L14" s="128">
        <f t="shared" si="1"/>
        <v>108.36</v>
      </c>
      <c r="M14" s="128"/>
      <c r="N14" s="374"/>
      <c r="O14" s="2"/>
      <c r="P14" s="144"/>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row>
    <row r="15" spans="1:52" ht="15.75">
      <c r="A15" s="371"/>
      <c r="B15" s="110"/>
      <c r="C15" s="186"/>
      <c r="D15" s="56"/>
      <c r="E15" s="112"/>
      <c r="F15" s="112"/>
      <c r="G15" s="112"/>
      <c r="H15" s="112"/>
      <c r="I15" s="112"/>
      <c r="J15" s="112"/>
      <c r="K15" s="112"/>
      <c r="L15" s="112"/>
      <c r="M15" s="112"/>
      <c r="N15" s="374"/>
      <c r="O15" s="2"/>
      <c r="P15" s="143"/>
      <c r="AG15" s="13"/>
      <c r="AH15" s="13"/>
      <c r="AI15" s="13"/>
      <c r="AJ15" s="13"/>
      <c r="AK15" s="13"/>
      <c r="AL15" s="13"/>
      <c r="AM15" s="13"/>
      <c r="AN15" s="13"/>
      <c r="AO15" s="13"/>
      <c r="AP15" s="13"/>
      <c r="AQ15" s="13"/>
      <c r="AR15" s="13"/>
      <c r="AS15" s="13"/>
      <c r="AT15" s="13"/>
      <c r="AU15" s="13"/>
      <c r="AV15" s="13"/>
      <c r="AW15" s="13"/>
      <c r="AX15" s="13"/>
      <c r="AY15" s="13"/>
      <c r="AZ15" s="13"/>
    </row>
    <row r="16" spans="1:15" ht="15.75">
      <c r="A16" s="371"/>
      <c r="B16" s="139" t="s">
        <v>74</v>
      </c>
      <c r="C16" s="111"/>
      <c r="D16" s="56" t="s">
        <v>29</v>
      </c>
      <c r="E16" s="128">
        <f>+E14*Assumptions!$C$17</f>
        <v>286.12944360000006</v>
      </c>
      <c r="F16" s="128">
        <f>+F14*Assumptions!$D$17</f>
        <v>185.447304</v>
      </c>
      <c r="G16" s="128">
        <f>+G14*Assumptions!$C$17</f>
        <v>79.58424474</v>
      </c>
      <c r="H16" s="128">
        <f>+H14*Assumptions!$D$17</f>
        <v>51.8949585</v>
      </c>
      <c r="I16" s="237">
        <f>+I14*Assumptions!$F$17</f>
        <v>74.73154689</v>
      </c>
      <c r="J16" s="237">
        <f>+J14*Assumptions!$G$17</f>
        <v>48.4352946</v>
      </c>
      <c r="K16" s="128">
        <f>+K14*Assumptions!$C$17</f>
        <v>143.78364</v>
      </c>
      <c r="L16" s="128">
        <f>+L14*Assumptions!$D$17</f>
        <v>93.1896</v>
      </c>
      <c r="M16" s="128"/>
      <c r="N16" s="374"/>
      <c r="O16" s="2"/>
    </row>
    <row r="17" spans="1:16" ht="15.75">
      <c r="A17" s="371"/>
      <c r="B17" s="110"/>
      <c r="C17" s="111"/>
      <c r="D17" s="56" t="s">
        <v>25</v>
      </c>
      <c r="E17" s="140">
        <f>+(1-Assumptions!$C$18)</f>
        <v>0.050000000000000044</v>
      </c>
      <c r="F17" s="140">
        <f>+(1-Assumptions!$D$18)</f>
        <v>0.050000000000000044</v>
      </c>
      <c r="G17" s="140">
        <f>+(1-Assumptions!$C$18)</f>
        <v>0.050000000000000044</v>
      </c>
      <c r="H17" s="140">
        <f>+(1-Assumptions!$D$18)</f>
        <v>0.050000000000000044</v>
      </c>
      <c r="I17" s="180">
        <f>+(1-Assumptions!$F$18)</f>
        <v>0.040000000000000036</v>
      </c>
      <c r="J17" s="180">
        <f>+(1-Assumptions!$G$18)</f>
        <v>0.040000000000000036</v>
      </c>
      <c r="K17" s="140">
        <f>+(1-Assumptions!$C$18)</f>
        <v>0.050000000000000044</v>
      </c>
      <c r="L17" s="140">
        <f>+(1-Assumptions!$D$18)</f>
        <v>0.050000000000000044</v>
      </c>
      <c r="M17" s="140"/>
      <c r="N17" s="374"/>
      <c r="O17" s="2"/>
      <c r="P17" s="142"/>
    </row>
    <row r="18" spans="1:88" ht="15.75">
      <c r="A18" s="371"/>
      <c r="B18" s="110"/>
      <c r="C18" s="111"/>
      <c r="D18" s="56" t="s">
        <v>26</v>
      </c>
      <c r="E18" s="128">
        <f aca="true" t="shared" si="2" ref="E18:L18">+E16*(1-E17)</f>
        <v>271.82297142000004</v>
      </c>
      <c r="F18" s="128">
        <f t="shared" si="2"/>
        <v>176.1749388</v>
      </c>
      <c r="G18" s="128">
        <f t="shared" si="2"/>
        <v>75.605032503</v>
      </c>
      <c r="H18" s="128">
        <f t="shared" si="2"/>
        <v>49.300210575</v>
      </c>
      <c r="I18" s="128">
        <f t="shared" si="2"/>
        <v>71.7422850144</v>
      </c>
      <c r="J18" s="128">
        <f t="shared" si="2"/>
        <v>46.497882816</v>
      </c>
      <c r="K18" s="128">
        <f t="shared" si="2"/>
        <v>136.59445799999997</v>
      </c>
      <c r="L18" s="128">
        <f t="shared" si="2"/>
        <v>88.53012</v>
      </c>
      <c r="M18" s="128"/>
      <c r="N18" s="374"/>
      <c r="O18" s="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row>
    <row r="19" spans="1:16" ht="15.75">
      <c r="A19" s="371"/>
      <c r="B19" s="110"/>
      <c r="C19" s="111"/>
      <c r="D19" s="56"/>
      <c r="E19" s="112"/>
      <c r="F19" s="112"/>
      <c r="G19" s="112"/>
      <c r="H19" s="112"/>
      <c r="I19" s="112"/>
      <c r="J19" s="112"/>
      <c r="K19" s="112"/>
      <c r="L19" s="112"/>
      <c r="M19" s="112"/>
      <c r="N19" s="374"/>
      <c r="O19" s="2"/>
      <c r="P19" s="142"/>
    </row>
    <row r="20" spans="1:161" ht="15.75">
      <c r="A20" s="371"/>
      <c r="B20" s="139" t="s">
        <v>68</v>
      </c>
      <c r="C20" s="111"/>
      <c r="D20" s="56" t="s">
        <v>29</v>
      </c>
      <c r="E20" s="128">
        <f>+E18*Assumptions!$C$19</f>
        <v>100.57449942540002</v>
      </c>
      <c r="F20" s="128">
        <f>+F18*Assumptions!$D$19</f>
        <v>65.184727356</v>
      </c>
      <c r="G20" s="128">
        <f>+G18*Assumptions!$C$19</f>
        <v>27.97386202611</v>
      </c>
      <c r="H20" s="128">
        <f>+H18*Assumptions!$D$19</f>
        <v>18.24107791275</v>
      </c>
      <c r="I20" s="128">
        <f>+I18*Assumptions!$C$19</f>
        <v>26.544645455328</v>
      </c>
      <c r="J20" s="128">
        <f>+J18*Assumptions!$D$19</f>
        <v>17.20421664192</v>
      </c>
      <c r="K20" s="237">
        <f>+K18*Assumptions!$F$19</f>
        <v>54.637783199999994</v>
      </c>
      <c r="L20" s="237">
        <f>+L18*Assumptions!$G$19</f>
        <v>35.412048</v>
      </c>
      <c r="M20" s="128"/>
      <c r="N20" s="374"/>
      <c r="O20" s="2"/>
      <c r="P20" s="143"/>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6"/>
      <c r="DJ20" s="146"/>
      <c r="DK20" s="146"/>
      <c r="DL20" s="146"/>
      <c r="DM20" s="146"/>
      <c r="DN20" s="146"/>
      <c r="DO20" s="146"/>
      <c r="DP20" s="146"/>
      <c r="DQ20" s="146"/>
      <c r="DR20" s="146"/>
      <c r="DS20" s="146"/>
      <c r="DT20" s="146"/>
      <c r="DU20" s="146"/>
      <c r="DV20" s="146"/>
      <c r="DW20" s="146"/>
      <c r="DX20" s="146"/>
      <c r="DY20" s="146"/>
      <c r="DZ20" s="146"/>
      <c r="EA20" s="146"/>
      <c r="EB20" s="146"/>
      <c r="EC20" s="146"/>
      <c r="ED20" s="146"/>
      <c r="EE20" s="146"/>
      <c r="EF20" s="146"/>
      <c r="EG20" s="146"/>
      <c r="EH20" s="146"/>
      <c r="EI20" s="146"/>
      <c r="EJ20" s="146"/>
      <c r="EK20" s="146"/>
      <c r="EL20" s="146"/>
      <c r="EM20" s="146"/>
      <c r="EN20" s="146"/>
      <c r="EO20" s="146"/>
      <c r="EP20" s="146"/>
      <c r="EQ20" s="146"/>
      <c r="ER20" s="146"/>
      <c r="ES20" s="146"/>
      <c r="ET20" s="146"/>
      <c r="EU20" s="146"/>
      <c r="EV20" s="146"/>
      <c r="EW20" s="146"/>
      <c r="EX20" s="146"/>
      <c r="EY20" s="146"/>
      <c r="EZ20" s="146"/>
      <c r="FA20" s="146"/>
      <c r="FB20" s="146"/>
      <c r="FC20" s="146"/>
      <c r="FD20" s="146"/>
      <c r="FE20" s="146"/>
    </row>
    <row r="21" spans="1:161" ht="15.75">
      <c r="A21" s="371"/>
      <c r="B21" s="139"/>
      <c r="C21" s="111"/>
      <c r="D21" s="56" t="s">
        <v>25</v>
      </c>
      <c r="E21" s="140">
        <f>+(1-Assumptions!$C$20)</f>
        <v>0.13</v>
      </c>
      <c r="F21" s="140">
        <f>+(1-Assumptions!$D$20)</f>
        <v>0.13</v>
      </c>
      <c r="G21" s="140">
        <f>+(1-Assumptions!$C$20)</f>
        <v>0.13</v>
      </c>
      <c r="H21" s="140">
        <f>+(1-Assumptions!$D$20)</f>
        <v>0.13</v>
      </c>
      <c r="I21" s="140">
        <f>+(1-Assumptions!$C$20)</f>
        <v>0.13</v>
      </c>
      <c r="J21" s="140">
        <f>+(1-Assumptions!$D$20)</f>
        <v>0.13</v>
      </c>
      <c r="K21" s="180">
        <f>+(1-Assumptions!$F$20)</f>
        <v>0.08999999999999997</v>
      </c>
      <c r="L21" s="180">
        <f>+(1-Assumptions!$G$20)</f>
        <v>0.08999999999999997</v>
      </c>
      <c r="M21" s="140"/>
      <c r="N21" s="374"/>
      <c r="O21" s="2"/>
      <c r="P21" s="143"/>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6"/>
      <c r="DJ21" s="146"/>
      <c r="DK21" s="146"/>
      <c r="DL21" s="146"/>
      <c r="DM21" s="146"/>
      <c r="DN21" s="146"/>
      <c r="DO21" s="146"/>
      <c r="DP21" s="146"/>
      <c r="DQ21" s="146"/>
      <c r="DR21" s="146"/>
      <c r="DS21" s="146"/>
      <c r="DT21" s="146"/>
      <c r="DU21" s="146"/>
      <c r="DV21" s="146"/>
      <c r="DW21" s="146"/>
      <c r="DX21" s="146"/>
      <c r="DY21" s="146"/>
      <c r="DZ21" s="146"/>
      <c r="EA21" s="146"/>
      <c r="EB21" s="146"/>
      <c r="EC21" s="146"/>
      <c r="ED21" s="146"/>
      <c r="EE21" s="146"/>
      <c r="EF21" s="146"/>
      <c r="EG21" s="146"/>
      <c r="EH21" s="146"/>
      <c r="EI21" s="146"/>
      <c r="EJ21" s="146"/>
      <c r="EK21" s="146"/>
      <c r="EL21" s="146"/>
      <c r="EM21" s="146"/>
      <c r="EN21" s="146"/>
      <c r="EO21" s="146"/>
      <c r="EP21" s="146"/>
      <c r="EQ21" s="146"/>
      <c r="ER21" s="146"/>
      <c r="ES21" s="146"/>
      <c r="ET21" s="146"/>
      <c r="EU21" s="146"/>
      <c r="EV21" s="146"/>
      <c r="EW21" s="146"/>
      <c r="EX21" s="146"/>
      <c r="EY21" s="146"/>
      <c r="EZ21" s="146"/>
      <c r="FA21" s="146"/>
      <c r="FB21" s="146"/>
      <c r="FC21" s="146"/>
      <c r="FD21" s="146"/>
      <c r="FE21" s="146"/>
    </row>
    <row r="22" spans="1:161" ht="15.75">
      <c r="A22" s="371"/>
      <c r="B22" s="139"/>
      <c r="C22" s="111"/>
      <c r="D22" s="56" t="s">
        <v>26</v>
      </c>
      <c r="E22" s="128">
        <f aca="true" t="shared" si="3" ref="E22:L22">+E20*(1-E21)</f>
        <v>87.49981450009801</v>
      </c>
      <c r="F22" s="128">
        <f t="shared" si="3"/>
        <v>56.71071279972</v>
      </c>
      <c r="G22" s="128">
        <f t="shared" si="3"/>
        <v>24.337259962715702</v>
      </c>
      <c r="H22" s="128">
        <f t="shared" si="3"/>
        <v>15.8697377840925</v>
      </c>
      <c r="I22" s="128">
        <f t="shared" si="3"/>
        <v>23.09384154613536</v>
      </c>
      <c r="J22" s="128">
        <f t="shared" si="3"/>
        <v>14.967668478470399</v>
      </c>
      <c r="K22" s="128">
        <f t="shared" si="3"/>
        <v>49.720382711999996</v>
      </c>
      <c r="L22" s="128">
        <f t="shared" si="3"/>
        <v>32.22496368</v>
      </c>
      <c r="M22" s="128"/>
      <c r="N22" s="374"/>
      <c r="O22" s="2"/>
      <c r="P22" s="144"/>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146"/>
      <c r="CU22" s="146"/>
      <c r="CV22" s="146"/>
      <c r="CW22" s="146"/>
      <c r="CX22" s="146"/>
      <c r="CY22" s="146"/>
      <c r="CZ22" s="146"/>
      <c r="DA22" s="146"/>
      <c r="DB22" s="146"/>
      <c r="DC22" s="146"/>
      <c r="DD22" s="146"/>
      <c r="DE22" s="146"/>
      <c r="DF22" s="146"/>
      <c r="DG22" s="146"/>
      <c r="DH22" s="146"/>
      <c r="DI22" s="146"/>
      <c r="DJ22" s="146"/>
      <c r="DK22" s="146"/>
      <c r="DL22" s="146"/>
      <c r="DM22" s="146"/>
      <c r="DN22" s="146"/>
      <c r="DO22" s="146"/>
      <c r="DP22" s="146"/>
      <c r="DQ22" s="146"/>
      <c r="DR22" s="146"/>
      <c r="DS22" s="146"/>
      <c r="DT22" s="146"/>
      <c r="DU22" s="146"/>
      <c r="DV22" s="146"/>
      <c r="DW22" s="146"/>
      <c r="DX22" s="146"/>
      <c r="DY22" s="146"/>
      <c r="DZ22" s="146"/>
      <c r="EA22" s="146"/>
      <c r="EB22" s="146"/>
      <c r="EC22" s="146"/>
      <c r="ED22" s="146"/>
      <c r="EE22" s="146"/>
      <c r="EF22" s="146"/>
      <c r="EG22" s="146"/>
      <c r="EH22" s="146"/>
      <c r="EI22" s="146"/>
      <c r="EJ22" s="146"/>
      <c r="EK22" s="146"/>
      <c r="EL22" s="146"/>
      <c r="EM22" s="146"/>
      <c r="EN22" s="146"/>
      <c r="EO22" s="146"/>
      <c r="EP22" s="146"/>
      <c r="EQ22" s="146"/>
      <c r="ER22" s="146"/>
      <c r="ES22" s="146"/>
      <c r="ET22" s="146"/>
      <c r="EU22" s="146"/>
      <c r="EV22" s="146"/>
      <c r="EW22" s="146"/>
      <c r="EX22" s="146"/>
      <c r="EY22" s="146"/>
      <c r="EZ22" s="146"/>
      <c r="FA22" s="146"/>
      <c r="FB22" s="146"/>
      <c r="FC22" s="146"/>
      <c r="FD22" s="146"/>
      <c r="FE22" s="146"/>
    </row>
    <row r="23" spans="1:161" ht="15.75">
      <c r="A23" s="371"/>
      <c r="B23" s="139"/>
      <c r="C23" s="111"/>
      <c r="D23" s="56"/>
      <c r="E23" s="112"/>
      <c r="F23" s="112"/>
      <c r="G23" s="112"/>
      <c r="H23" s="112"/>
      <c r="I23" s="112"/>
      <c r="J23" s="112"/>
      <c r="K23" s="112"/>
      <c r="L23" s="112"/>
      <c r="M23" s="112"/>
      <c r="N23" s="374"/>
      <c r="O23" s="2"/>
      <c r="P23" s="143"/>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46"/>
      <c r="DK23" s="146"/>
      <c r="DL23" s="146"/>
      <c r="DM23" s="146"/>
      <c r="DN23" s="146"/>
      <c r="DO23" s="146"/>
      <c r="DP23" s="146"/>
      <c r="DQ23" s="146"/>
      <c r="DR23" s="146"/>
      <c r="DS23" s="146"/>
      <c r="DT23" s="146"/>
      <c r="DU23" s="146"/>
      <c r="DV23" s="146"/>
      <c r="DW23" s="146"/>
      <c r="DX23" s="146"/>
      <c r="DY23" s="146"/>
      <c r="DZ23" s="146"/>
      <c r="EA23" s="146"/>
      <c r="EB23" s="146"/>
      <c r="EC23" s="146"/>
      <c r="ED23" s="146"/>
      <c r="EE23" s="146"/>
      <c r="EF23" s="146"/>
      <c r="EG23" s="146"/>
      <c r="EH23" s="146"/>
      <c r="EI23" s="146"/>
      <c r="EJ23" s="146"/>
      <c r="EK23" s="146"/>
      <c r="EL23" s="146"/>
      <c r="EM23" s="146"/>
      <c r="EN23" s="146"/>
      <c r="EO23" s="146"/>
      <c r="EP23" s="146"/>
      <c r="EQ23" s="146"/>
      <c r="ER23" s="146"/>
      <c r="ES23" s="146"/>
      <c r="ET23" s="146"/>
      <c r="EU23" s="146"/>
      <c r="EV23" s="146"/>
      <c r="EW23" s="146"/>
      <c r="EX23" s="146"/>
      <c r="EY23" s="146"/>
      <c r="EZ23" s="146"/>
      <c r="FA23" s="146"/>
      <c r="FB23" s="146"/>
      <c r="FC23" s="146"/>
      <c r="FD23" s="146"/>
      <c r="FE23" s="146"/>
    </row>
    <row r="24" spans="1:15" ht="15.75">
      <c r="A24" s="371"/>
      <c r="B24" s="139" t="s">
        <v>24</v>
      </c>
      <c r="C24" s="111"/>
      <c r="D24" s="56" t="s">
        <v>29</v>
      </c>
      <c r="E24" s="128">
        <f>+E22*Assumptions!$C$21</f>
        <v>78.74983305008821</v>
      </c>
      <c r="F24" s="128">
        <f>+F22*Assumptions!$D$21</f>
        <v>51.039641519748</v>
      </c>
      <c r="G24" s="128">
        <f>+G22*Assumptions!$C$21</f>
        <v>21.903533966444133</v>
      </c>
      <c r="H24" s="128">
        <f>+H22*Assumptions!$D$21</f>
        <v>14.28276400568325</v>
      </c>
      <c r="I24" s="128">
        <f>+I22*Assumptions!$C$21</f>
        <v>20.784457391521823</v>
      </c>
      <c r="J24" s="128">
        <f>+J22*Assumptions!$D$21</f>
        <v>13.47090163062336</v>
      </c>
      <c r="K24" s="128">
        <f>+K22*Assumptions!$C$21</f>
        <v>44.7483444408</v>
      </c>
      <c r="L24" s="128">
        <f>+L22*Assumptions!$D$21</f>
        <v>29.002467312000004</v>
      </c>
      <c r="M24" s="128"/>
      <c r="N24" s="374"/>
      <c r="O24" s="2"/>
    </row>
    <row r="25" spans="1:15" ht="15.75">
      <c r="A25" s="371"/>
      <c r="B25" s="110"/>
      <c r="C25" s="111"/>
      <c r="D25" s="56" t="s">
        <v>25</v>
      </c>
      <c r="E25" s="140">
        <f>+(1-Assumptions!$C$22)</f>
        <v>0.050000000000000044</v>
      </c>
      <c r="F25" s="140">
        <f>+(1-Assumptions!$D$22)</f>
        <v>0.050000000000000044</v>
      </c>
      <c r="G25" s="140">
        <f>+(1-Assumptions!$C$22)</f>
        <v>0.050000000000000044</v>
      </c>
      <c r="H25" s="140">
        <f>+(1-Assumptions!$D$22)</f>
        <v>0.050000000000000044</v>
      </c>
      <c r="I25" s="140">
        <f>+(1-Assumptions!$C$22)</f>
        <v>0.050000000000000044</v>
      </c>
      <c r="J25" s="140">
        <f>+(1-Assumptions!$D$22)</f>
        <v>0.050000000000000044</v>
      </c>
      <c r="K25" s="140">
        <f>+(1-Assumptions!$C$22)</f>
        <v>0.050000000000000044</v>
      </c>
      <c r="L25" s="140">
        <f>+(1-Assumptions!$D$22)</f>
        <v>0.050000000000000044</v>
      </c>
      <c r="M25" s="140"/>
      <c r="N25" s="374"/>
      <c r="O25" s="2"/>
    </row>
    <row r="26" spans="1:15" ht="15.75">
      <c r="A26" s="371"/>
      <c r="B26" s="110"/>
      <c r="C26" s="111"/>
      <c r="D26" s="56" t="s">
        <v>26</v>
      </c>
      <c r="E26" s="128">
        <f aca="true" t="shared" si="4" ref="E26:L26">+E24*(1-E25)</f>
        <v>74.8123413975838</v>
      </c>
      <c r="F26" s="128">
        <f t="shared" si="4"/>
        <v>48.4876594437606</v>
      </c>
      <c r="G26" s="128">
        <f t="shared" si="4"/>
        <v>20.808357268121924</v>
      </c>
      <c r="H26" s="128">
        <f t="shared" si="4"/>
        <v>13.568625805399087</v>
      </c>
      <c r="I26" s="128">
        <f t="shared" si="4"/>
        <v>19.74523452194573</v>
      </c>
      <c r="J26" s="128">
        <f t="shared" si="4"/>
        <v>12.797356549092191</v>
      </c>
      <c r="K26" s="128">
        <f t="shared" si="4"/>
        <v>42.510927218759996</v>
      </c>
      <c r="L26" s="128">
        <f t="shared" si="4"/>
        <v>27.5523439464</v>
      </c>
      <c r="M26" s="128"/>
      <c r="N26" s="374"/>
      <c r="O26" s="2"/>
    </row>
    <row r="27" spans="1:15" ht="15.75">
      <c r="A27" s="371"/>
      <c r="B27" s="110"/>
      <c r="C27" s="111"/>
      <c r="D27" s="56"/>
      <c r="E27" s="113"/>
      <c r="F27" s="113"/>
      <c r="G27" s="56"/>
      <c r="H27" s="56"/>
      <c r="I27" s="56"/>
      <c r="J27" s="56"/>
      <c r="K27" s="56"/>
      <c r="L27" s="56"/>
      <c r="M27" s="56"/>
      <c r="N27" s="374"/>
      <c r="O27" s="2"/>
    </row>
    <row r="28" spans="1:15" ht="16.5" thickBot="1">
      <c r="A28" s="371"/>
      <c r="E28" s="2"/>
      <c r="F28" s="2"/>
      <c r="G28" s="2"/>
      <c r="H28" s="2"/>
      <c r="I28" s="2"/>
      <c r="J28" s="2"/>
      <c r="K28" s="2"/>
      <c r="L28" s="2"/>
      <c r="M28" s="2"/>
      <c r="N28" s="375"/>
      <c r="O28" s="2"/>
    </row>
    <row r="29" spans="1:15" ht="15.75">
      <c r="A29" s="371"/>
      <c r="B29" s="114"/>
      <c r="C29" s="115"/>
      <c r="D29" s="115"/>
      <c r="E29" s="15"/>
      <c r="F29" s="15"/>
      <c r="G29" s="15"/>
      <c r="H29" s="15"/>
      <c r="I29" s="15"/>
      <c r="J29" s="15"/>
      <c r="K29" s="15"/>
      <c r="L29" s="15"/>
      <c r="M29" s="2"/>
      <c r="N29" s="375"/>
      <c r="O29" s="2"/>
    </row>
    <row r="30" spans="1:15" ht="18.75">
      <c r="A30" s="371"/>
      <c r="B30" s="125"/>
      <c r="E30" s="2"/>
      <c r="F30" s="2"/>
      <c r="G30" s="2"/>
      <c r="H30" s="2"/>
      <c r="I30" s="2"/>
      <c r="J30" s="2"/>
      <c r="K30" s="2"/>
      <c r="L30" s="2"/>
      <c r="M30" s="2"/>
      <c r="N30" s="375"/>
      <c r="O30" s="2"/>
    </row>
    <row r="31" spans="1:15" ht="15.75">
      <c r="A31" s="371"/>
      <c r="E31" s="2"/>
      <c r="F31" s="2"/>
      <c r="G31" s="2"/>
      <c r="H31" s="2"/>
      <c r="I31" s="2"/>
      <c r="J31" s="2"/>
      <c r="K31" s="2"/>
      <c r="L31" s="2"/>
      <c r="M31" s="2"/>
      <c r="N31" s="375"/>
      <c r="O31" s="2"/>
    </row>
    <row r="32" spans="1:15" ht="16.5" thickBot="1">
      <c r="A32" s="376"/>
      <c r="B32" s="377"/>
      <c r="C32" s="378"/>
      <c r="D32" s="378"/>
      <c r="E32" s="379"/>
      <c r="F32" s="379"/>
      <c r="G32" s="379"/>
      <c r="H32" s="379"/>
      <c r="I32" s="379"/>
      <c r="J32" s="379"/>
      <c r="K32" s="379"/>
      <c r="L32" s="379"/>
      <c r="M32" s="379"/>
      <c r="N32" s="380"/>
      <c r="O32" s="2"/>
    </row>
    <row r="33" spans="5:15" ht="15.75">
      <c r="E33" s="2"/>
      <c r="F33" s="2"/>
      <c r="G33" s="2"/>
      <c r="H33" s="2"/>
      <c r="I33" s="2"/>
      <c r="J33" s="2"/>
      <c r="K33" s="2"/>
      <c r="L33" s="2"/>
      <c r="M33" s="2"/>
      <c r="N33" s="2"/>
      <c r="O33" s="2"/>
    </row>
    <row r="34" spans="5:15" ht="15.75">
      <c r="E34" s="2"/>
      <c r="F34" s="2"/>
      <c r="G34" s="2"/>
      <c r="H34" s="2"/>
      <c r="I34" s="2"/>
      <c r="J34" s="2"/>
      <c r="K34" s="2"/>
      <c r="L34" s="2"/>
      <c r="M34" s="2"/>
      <c r="N34" s="2"/>
      <c r="O34" s="2"/>
    </row>
    <row r="35" spans="1:13" ht="22.5">
      <c r="A35" s="1"/>
      <c r="B35" s="21"/>
      <c r="C35" s="102"/>
      <c r="D35" s="102"/>
      <c r="E35" s="102"/>
      <c r="F35" s="102"/>
      <c r="G35" s="102"/>
      <c r="H35" s="102"/>
      <c r="I35" s="102"/>
      <c r="J35" s="102"/>
      <c r="K35" s="102"/>
      <c r="L35" s="102"/>
      <c r="M35" s="102"/>
    </row>
    <row r="36" spans="1:13" ht="22.5">
      <c r="A36" s="1"/>
      <c r="B36" s="184" t="s">
        <v>61</v>
      </c>
      <c r="C36" s="102"/>
      <c r="D36" s="102"/>
      <c r="E36" s="102"/>
      <c r="F36" s="102"/>
      <c r="G36" s="102"/>
      <c r="H36" s="102"/>
      <c r="I36" s="102"/>
      <c r="J36" s="102"/>
      <c r="K36" s="102"/>
      <c r="L36" s="102"/>
      <c r="M36" s="102"/>
    </row>
    <row r="37" spans="1:13" ht="20.25">
      <c r="A37" s="1"/>
      <c r="B37" s="103"/>
      <c r="C37" s="102"/>
      <c r="D37" s="102"/>
      <c r="E37" s="102"/>
      <c r="F37" s="102"/>
      <c r="G37" s="102"/>
      <c r="H37" s="102"/>
      <c r="I37" s="102"/>
      <c r="J37" s="102"/>
      <c r="K37" s="102"/>
      <c r="L37" s="102"/>
      <c r="M37" s="102"/>
    </row>
    <row r="38" spans="1:16" ht="15.75">
      <c r="A38" s="1"/>
      <c r="G38" s="176"/>
      <c r="H38" s="176"/>
      <c r="I38" s="176"/>
      <c r="J38" s="176"/>
      <c r="K38" s="176"/>
      <c r="L38" s="176"/>
      <c r="P38" s="142"/>
    </row>
    <row r="39" spans="1:13" ht="15.75">
      <c r="A39" s="1"/>
      <c r="E39" s="183" t="s">
        <v>16</v>
      </c>
      <c r="F39" s="102"/>
      <c r="G39" s="175" t="s">
        <v>28</v>
      </c>
      <c r="H39" s="175"/>
      <c r="I39" s="175"/>
      <c r="J39" s="175"/>
      <c r="K39" s="179"/>
      <c r="L39" s="179"/>
      <c r="M39" s="6"/>
    </row>
    <row r="40" spans="1:104" ht="15.75">
      <c r="A40" s="1"/>
      <c r="C40" s="104"/>
      <c r="D40" s="104"/>
      <c r="E40" s="177"/>
      <c r="F40" s="177"/>
      <c r="G40" s="182" t="s">
        <v>43</v>
      </c>
      <c r="H40" s="178"/>
      <c r="I40" s="182" t="s">
        <v>9</v>
      </c>
      <c r="J40" s="178"/>
      <c r="K40" s="182" t="s">
        <v>58</v>
      </c>
      <c r="L40" s="178"/>
      <c r="M40" s="105"/>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row>
    <row r="41" spans="1:16" ht="15.75" customHeight="1">
      <c r="A41" s="1"/>
      <c r="B41" s="107"/>
      <c r="C41" s="108"/>
      <c r="D41" s="108"/>
      <c r="E41" s="56" t="s">
        <v>52</v>
      </c>
      <c r="F41" s="111" t="s">
        <v>53</v>
      </c>
      <c r="G41" s="56" t="s">
        <v>52</v>
      </c>
      <c r="H41" s="56" t="s">
        <v>53</v>
      </c>
      <c r="I41" s="56" t="s">
        <v>52</v>
      </c>
      <c r="J41" s="56" t="s">
        <v>53</v>
      </c>
      <c r="K41" s="56" t="s">
        <v>52</v>
      </c>
      <c r="L41" s="56" t="s">
        <v>53</v>
      </c>
      <c r="M41" s="109"/>
      <c r="N41" s="111"/>
      <c r="P41" s="142"/>
    </row>
    <row r="42" spans="1:16" ht="15.75" customHeight="1">
      <c r="A42" s="1"/>
      <c r="B42" s="139"/>
      <c r="C42" s="108"/>
      <c r="D42" s="108"/>
      <c r="E42" s="176"/>
      <c r="F42" s="176"/>
      <c r="G42" s="181"/>
      <c r="H42" s="181"/>
      <c r="I42" s="176"/>
      <c r="J42" s="176"/>
      <c r="K42" s="176"/>
      <c r="L42" s="176"/>
      <c r="M42" s="111"/>
      <c r="N42" s="111"/>
      <c r="P42" s="142"/>
    </row>
    <row r="43" spans="1:16" ht="15.75" customHeight="1">
      <c r="A43" s="1"/>
      <c r="B43" s="107"/>
      <c r="C43" s="108"/>
      <c r="D43" s="108"/>
      <c r="E43" s="109"/>
      <c r="F43" s="111"/>
      <c r="G43" s="56"/>
      <c r="H43" s="56"/>
      <c r="I43" s="56"/>
      <c r="J43" s="56"/>
      <c r="K43" s="56"/>
      <c r="L43" s="56"/>
      <c r="M43" s="111"/>
      <c r="N43" s="111"/>
      <c r="P43" s="142"/>
    </row>
    <row r="44" spans="1:52" ht="15.75">
      <c r="A44" s="1"/>
      <c r="B44" s="139" t="s">
        <v>23</v>
      </c>
      <c r="C44" s="111"/>
      <c r="D44" s="56" t="s">
        <v>59</v>
      </c>
      <c r="E44" s="128">
        <f>+E12-E14</f>
        <v>93.92003999999997</v>
      </c>
      <c r="F44" s="128">
        <f aca="true" t="shared" si="5" ref="F44:L44">+F12-F14</f>
        <v>92.41560000000001</v>
      </c>
      <c r="G44" s="128">
        <f t="shared" si="5"/>
        <v>19.197485999999998</v>
      </c>
      <c r="H44" s="128">
        <f t="shared" si="5"/>
        <v>20.114325</v>
      </c>
      <c r="I44" s="128">
        <f t="shared" si="5"/>
        <v>23.36202</v>
      </c>
      <c r="J44" s="128">
        <f t="shared" si="5"/>
        <v>22.987800000000007</v>
      </c>
      <c r="K44" s="128">
        <f t="shared" si="5"/>
        <v>47.196</v>
      </c>
      <c r="L44" s="128">
        <f t="shared" si="5"/>
        <v>46.44000000000001</v>
      </c>
      <c r="M44" s="128"/>
      <c r="N44" s="185"/>
      <c r="O44" s="9"/>
      <c r="P44" s="188"/>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row>
    <row r="45" spans="1:38" ht="15.75">
      <c r="A45" s="1"/>
      <c r="B45" s="139"/>
      <c r="C45" s="111"/>
      <c r="D45" s="56" t="s">
        <v>60</v>
      </c>
      <c r="E45" s="189">
        <f>+E14-E16</f>
        <v>28.298516399999983</v>
      </c>
      <c r="F45" s="189">
        <f aca="true" t="shared" si="6" ref="F45:L45">+F14-F16</f>
        <v>30.189096000000006</v>
      </c>
      <c r="G45" s="189">
        <f t="shared" si="6"/>
        <v>7.870969259999995</v>
      </c>
      <c r="H45" s="189">
        <f t="shared" si="6"/>
        <v>8.448016500000001</v>
      </c>
      <c r="I45" s="189">
        <f t="shared" si="6"/>
        <v>3.480433109999993</v>
      </c>
      <c r="J45" s="189">
        <f t="shared" si="6"/>
        <v>5.202905399999999</v>
      </c>
      <c r="K45" s="189">
        <f t="shared" si="6"/>
        <v>14.22036</v>
      </c>
      <c r="L45" s="189">
        <f t="shared" si="6"/>
        <v>15.1704</v>
      </c>
      <c r="M45" s="189"/>
      <c r="N45" s="185"/>
      <c r="O45" s="9"/>
      <c r="P45" s="188"/>
      <c r="Q45" s="13"/>
      <c r="R45" s="13"/>
      <c r="S45" s="13"/>
      <c r="T45" s="13"/>
      <c r="U45" s="13"/>
      <c r="V45" s="13"/>
      <c r="W45" s="13"/>
      <c r="X45" s="13"/>
      <c r="Y45" s="13"/>
      <c r="Z45" s="13"/>
      <c r="AA45" s="13"/>
      <c r="AB45" s="13"/>
      <c r="AC45" s="13"/>
      <c r="AD45" s="13"/>
      <c r="AE45" s="13"/>
      <c r="AF45" s="13"/>
      <c r="AG45" s="13"/>
      <c r="AH45" s="13"/>
      <c r="AI45" s="13"/>
      <c r="AJ45" s="13"/>
      <c r="AK45" s="13"/>
      <c r="AL45" s="13"/>
    </row>
    <row r="46" spans="1:52" ht="15.75">
      <c r="A46" s="1"/>
      <c r="B46" s="110"/>
      <c r="C46" s="111"/>
      <c r="D46" s="56"/>
      <c r="E46" s="128"/>
      <c r="F46" s="128"/>
      <c r="G46" s="128"/>
      <c r="H46" s="128"/>
      <c r="I46" s="128"/>
      <c r="J46" s="128"/>
      <c r="K46" s="128"/>
      <c r="L46" s="128"/>
      <c r="M46" s="128"/>
      <c r="N46" s="185"/>
      <c r="O46" s="9"/>
      <c r="P46" s="188"/>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row>
    <row r="47" spans="1:38" ht="15.75">
      <c r="A47" s="1"/>
      <c r="B47" s="139" t="s">
        <v>67</v>
      </c>
      <c r="C47" s="111"/>
      <c r="D47" s="56" t="s">
        <v>59</v>
      </c>
      <c r="E47" s="128">
        <f>+E16-E18</f>
        <v>14.306472180000014</v>
      </c>
      <c r="F47" s="128">
        <f aca="true" t="shared" si="7" ref="F47:L47">+F16-F18</f>
        <v>9.272365199999996</v>
      </c>
      <c r="G47" s="128">
        <f t="shared" si="7"/>
        <v>3.9792122369999987</v>
      </c>
      <c r="H47" s="128">
        <f t="shared" si="7"/>
        <v>2.594747925</v>
      </c>
      <c r="I47" s="128">
        <f t="shared" si="7"/>
        <v>2.9892618756000076</v>
      </c>
      <c r="J47" s="128">
        <f t="shared" si="7"/>
        <v>1.9374117839999982</v>
      </c>
      <c r="K47" s="128">
        <f t="shared" si="7"/>
        <v>7.189182000000017</v>
      </c>
      <c r="L47" s="128">
        <f t="shared" si="7"/>
        <v>4.659480000000002</v>
      </c>
      <c r="M47" s="128"/>
      <c r="N47" s="185"/>
      <c r="O47" s="9"/>
      <c r="P47" s="13"/>
      <c r="Q47" s="13"/>
      <c r="R47" s="13"/>
      <c r="S47" s="13"/>
      <c r="T47" s="13"/>
      <c r="U47" s="13"/>
      <c r="V47" s="13"/>
      <c r="W47" s="13"/>
      <c r="X47" s="13"/>
      <c r="Y47" s="13"/>
      <c r="Z47" s="13"/>
      <c r="AA47" s="13"/>
      <c r="AB47" s="13"/>
      <c r="AC47" s="13"/>
      <c r="AD47" s="13"/>
      <c r="AE47" s="13"/>
      <c r="AF47" s="13"/>
      <c r="AG47" s="13"/>
      <c r="AH47" s="13"/>
      <c r="AI47" s="13"/>
      <c r="AJ47" s="13"/>
      <c r="AK47" s="13"/>
      <c r="AL47" s="13"/>
    </row>
    <row r="48" spans="1:38" ht="15.75">
      <c r="A48" s="1"/>
      <c r="B48" s="110"/>
      <c r="C48" s="111"/>
      <c r="D48" s="56" t="s">
        <v>60</v>
      </c>
      <c r="E48" s="189">
        <f>+E18-E20</f>
        <v>171.24847199460004</v>
      </c>
      <c r="F48" s="189">
        <f aca="true" t="shared" si="8" ref="F48:L48">+F18-F20</f>
        <v>110.99021144400001</v>
      </c>
      <c r="G48" s="189">
        <f t="shared" si="8"/>
        <v>47.631170476890006</v>
      </c>
      <c r="H48" s="189">
        <f t="shared" si="8"/>
        <v>31.05913266225</v>
      </c>
      <c r="I48" s="189">
        <f t="shared" si="8"/>
        <v>45.197639559072</v>
      </c>
      <c r="J48" s="189">
        <f t="shared" si="8"/>
        <v>29.293666174080002</v>
      </c>
      <c r="K48" s="189">
        <f t="shared" si="8"/>
        <v>81.95667479999997</v>
      </c>
      <c r="L48" s="189">
        <f t="shared" si="8"/>
        <v>53.118072</v>
      </c>
      <c r="M48" s="189"/>
      <c r="N48" s="185"/>
      <c r="O48" s="9"/>
      <c r="P48" s="187"/>
      <c r="Q48" s="13"/>
      <c r="R48" s="13"/>
      <c r="S48" s="13"/>
      <c r="T48" s="13"/>
      <c r="U48" s="13"/>
      <c r="V48" s="13"/>
      <c r="W48" s="13"/>
      <c r="X48" s="13"/>
      <c r="Y48" s="13"/>
      <c r="Z48" s="13"/>
      <c r="AA48" s="13"/>
      <c r="AB48" s="13"/>
      <c r="AC48" s="13"/>
      <c r="AD48" s="13"/>
      <c r="AE48" s="13"/>
      <c r="AF48" s="13"/>
      <c r="AG48" s="13"/>
      <c r="AH48" s="13"/>
      <c r="AI48" s="13"/>
      <c r="AJ48" s="13"/>
      <c r="AK48" s="13"/>
      <c r="AL48" s="13"/>
    </row>
    <row r="49" spans="1:38" ht="15.75">
      <c r="A49" s="1"/>
      <c r="B49" s="110"/>
      <c r="C49" s="111"/>
      <c r="D49" s="56"/>
      <c r="E49" s="128"/>
      <c r="F49" s="128"/>
      <c r="G49" s="128"/>
      <c r="H49" s="128"/>
      <c r="I49" s="128"/>
      <c r="J49" s="128"/>
      <c r="K49" s="128"/>
      <c r="L49" s="128"/>
      <c r="M49" s="128"/>
      <c r="N49" s="185"/>
      <c r="O49" s="9"/>
      <c r="P49" s="187"/>
      <c r="Q49" s="13"/>
      <c r="R49" s="13"/>
      <c r="S49" s="13"/>
      <c r="T49" s="13"/>
      <c r="U49" s="13"/>
      <c r="V49" s="13"/>
      <c r="W49" s="13"/>
      <c r="X49" s="13"/>
      <c r="Y49" s="13"/>
      <c r="Z49" s="13"/>
      <c r="AA49" s="13"/>
      <c r="AB49" s="13"/>
      <c r="AC49" s="13"/>
      <c r="AD49" s="13"/>
      <c r="AE49" s="13"/>
      <c r="AF49" s="13"/>
      <c r="AG49" s="13"/>
      <c r="AH49" s="13"/>
      <c r="AI49" s="13"/>
      <c r="AJ49" s="13"/>
      <c r="AK49" s="13"/>
      <c r="AL49" s="13"/>
    </row>
    <row r="50" spans="1:161" ht="15.75">
      <c r="A50" s="1"/>
      <c r="B50" s="139" t="s">
        <v>68</v>
      </c>
      <c r="C50" s="111"/>
      <c r="D50" s="56" t="s">
        <v>59</v>
      </c>
      <c r="E50" s="128">
        <f>+E20-E22</f>
        <v>13.074684925302009</v>
      </c>
      <c r="F50" s="128">
        <f aca="true" t="shared" si="9" ref="F50:L50">+F20-F22</f>
        <v>8.474014556279997</v>
      </c>
      <c r="G50" s="128">
        <f t="shared" si="9"/>
        <v>3.6366020633942995</v>
      </c>
      <c r="H50" s="128">
        <f t="shared" si="9"/>
        <v>2.3713401286575007</v>
      </c>
      <c r="I50" s="128">
        <f t="shared" si="9"/>
        <v>3.45080390919264</v>
      </c>
      <c r="J50" s="128">
        <f t="shared" si="9"/>
        <v>2.2365481634495996</v>
      </c>
      <c r="K50" s="128">
        <f t="shared" si="9"/>
        <v>4.917400487999998</v>
      </c>
      <c r="L50" s="128">
        <f t="shared" si="9"/>
        <v>3.1870843199999968</v>
      </c>
      <c r="M50" s="128"/>
      <c r="N50" s="185"/>
      <c r="O50" s="9"/>
      <c r="P50" s="188"/>
      <c r="Q50" s="13"/>
      <c r="R50" s="13"/>
      <c r="S50" s="13"/>
      <c r="T50" s="13"/>
      <c r="U50" s="13"/>
      <c r="V50" s="13"/>
      <c r="W50" s="13"/>
      <c r="X50" s="13"/>
      <c r="Y50" s="13"/>
      <c r="Z50" s="13"/>
      <c r="AA50" s="13"/>
      <c r="AB50" s="13"/>
      <c r="AC50" s="13"/>
      <c r="AD50" s="13"/>
      <c r="AE50" s="13"/>
      <c r="AF50" s="13"/>
      <c r="AG50" s="13"/>
      <c r="AH50" s="13"/>
      <c r="AI50" s="13"/>
      <c r="AJ50" s="13"/>
      <c r="AK50" s="13"/>
      <c r="AL50" s="13"/>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c r="EU50" s="146"/>
      <c r="EV50" s="146"/>
      <c r="EW50" s="146"/>
      <c r="EX50" s="146"/>
      <c r="EY50" s="146"/>
      <c r="EZ50" s="146"/>
      <c r="FA50" s="146"/>
      <c r="FB50" s="146"/>
      <c r="FC50" s="146"/>
      <c r="FD50" s="146"/>
      <c r="FE50" s="146"/>
    </row>
    <row r="51" spans="1:161" ht="15.75">
      <c r="A51" s="1"/>
      <c r="B51" s="139"/>
      <c r="C51" s="111"/>
      <c r="D51" s="56" t="s">
        <v>60</v>
      </c>
      <c r="E51" s="189">
        <f>+E22-E24</f>
        <v>8.749981450009798</v>
      </c>
      <c r="F51" s="189">
        <f aca="true" t="shared" si="10" ref="F51:L51">+F22-F24</f>
        <v>5.671071279971997</v>
      </c>
      <c r="G51" s="189">
        <f t="shared" si="10"/>
        <v>2.433725996271569</v>
      </c>
      <c r="H51" s="189">
        <f t="shared" si="10"/>
        <v>1.5869737784092504</v>
      </c>
      <c r="I51" s="189">
        <f t="shared" si="10"/>
        <v>2.309384154613536</v>
      </c>
      <c r="J51" s="189">
        <f t="shared" si="10"/>
        <v>1.4967668478470397</v>
      </c>
      <c r="K51" s="189">
        <f t="shared" si="10"/>
        <v>4.972038271199999</v>
      </c>
      <c r="L51" s="189">
        <f t="shared" si="10"/>
        <v>3.222496367999998</v>
      </c>
      <c r="M51" s="189"/>
      <c r="N51" s="185"/>
      <c r="O51" s="9"/>
      <c r="P51" s="188"/>
      <c r="Q51" s="13"/>
      <c r="R51" s="13"/>
      <c r="S51" s="13"/>
      <c r="T51" s="13"/>
      <c r="U51" s="13"/>
      <c r="V51" s="13"/>
      <c r="W51" s="13"/>
      <c r="X51" s="13"/>
      <c r="Y51" s="13"/>
      <c r="Z51" s="13"/>
      <c r="AA51" s="13"/>
      <c r="AB51" s="13"/>
      <c r="AC51" s="13"/>
      <c r="AD51" s="13"/>
      <c r="AE51" s="13"/>
      <c r="AF51" s="13"/>
      <c r="AG51" s="13"/>
      <c r="AH51" s="13"/>
      <c r="AI51" s="13"/>
      <c r="AJ51" s="13"/>
      <c r="AK51" s="13"/>
      <c r="AL51" s="13"/>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6"/>
      <c r="BW51" s="146"/>
      <c r="BX51" s="146"/>
      <c r="BY51" s="146"/>
      <c r="BZ51" s="146"/>
      <c r="CA51" s="146"/>
      <c r="CB51" s="146"/>
      <c r="CC51" s="146"/>
      <c r="CD51" s="146"/>
      <c r="CE51" s="146"/>
      <c r="CF51" s="146"/>
      <c r="CG51" s="146"/>
      <c r="CH51" s="146"/>
      <c r="CI51" s="146"/>
      <c r="CJ51" s="146"/>
      <c r="CK51" s="146"/>
      <c r="CL51" s="146"/>
      <c r="CM51" s="146"/>
      <c r="CN51" s="146"/>
      <c r="CO51" s="146"/>
      <c r="CP51" s="146"/>
      <c r="CQ51" s="146"/>
      <c r="CR51" s="146"/>
      <c r="CS51" s="146"/>
      <c r="CT51" s="146"/>
      <c r="CU51" s="146"/>
      <c r="CV51" s="146"/>
      <c r="CW51" s="146"/>
      <c r="CX51" s="146"/>
      <c r="CY51" s="146"/>
      <c r="CZ51" s="146"/>
      <c r="DA51" s="146"/>
      <c r="DB51" s="146"/>
      <c r="DC51" s="146"/>
      <c r="DD51" s="146"/>
      <c r="DE51" s="146"/>
      <c r="DF51" s="146"/>
      <c r="DG51" s="146"/>
      <c r="DH51" s="146"/>
      <c r="DI51" s="146"/>
      <c r="DJ51" s="146"/>
      <c r="DK51" s="146"/>
      <c r="DL51" s="146"/>
      <c r="DM51" s="146"/>
      <c r="DN51" s="146"/>
      <c r="DO51" s="146"/>
      <c r="DP51" s="146"/>
      <c r="DQ51" s="146"/>
      <c r="DR51" s="146"/>
      <c r="DS51" s="146"/>
      <c r="DT51" s="146"/>
      <c r="DU51" s="146"/>
      <c r="DV51" s="146"/>
      <c r="DW51" s="146"/>
      <c r="DX51" s="146"/>
      <c r="DY51" s="146"/>
      <c r="DZ51" s="146"/>
      <c r="EA51" s="146"/>
      <c r="EB51" s="146"/>
      <c r="EC51" s="146"/>
      <c r="ED51" s="146"/>
      <c r="EE51" s="146"/>
      <c r="EF51" s="146"/>
      <c r="EG51" s="146"/>
      <c r="EH51" s="146"/>
      <c r="EI51" s="146"/>
      <c r="EJ51" s="146"/>
      <c r="EK51" s="146"/>
      <c r="EL51" s="146"/>
      <c r="EM51" s="146"/>
      <c r="EN51" s="146"/>
      <c r="EO51" s="146"/>
      <c r="EP51" s="146"/>
      <c r="EQ51" s="146"/>
      <c r="ER51" s="146"/>
      <c r="ES51" s="146"/>
      <c r="ET51" s="146"/>
      <c r="EU51" s="146"/>
      <c r="EV51" s="146"/>
      <c r="EW51" s="146"/>
      <c r="EX51" s="146"/>
      <c r="EY51" s="146"/>
      <c r="EZ51" s="146"/>
      <c r="FA51" s="146"/>
      <c r="FB51" s="146"/>
      <c r="FC51" s="146"/>
      <c r="FD51" s="146"/>
      <c r="FE51" s="146"/>
    </row>
    <row r="52" spans="1:161" ht="15.75">
      <c r="A52" s="1"/>
      <c r="B52" s="139"/>
      <c r="C52" s="111"/>
      <c r="D52" s="56"/>
      <c r="E52" s="128"/>
      <c r="F52" s="128"/>
      <c r="G52" s="128"/>
      <c r="H52" s="128"/>
      <c r="I52" s="128"/>
      <c r="J52" s="128"/>
      <c r="K52" s="128"/>
      <c r="L52" s="128"/>
      <c r="M52" s="128"/>
      <c r="N52" s="185"/>
      <c r="O52" s="9"/>
      <c r="P52" s="188"/>
      <c r="Q52" s="13"/>
      <c r="R52" s="13"/>
      <c r="S52" s="13"/>
      <c r="T52" s="13"/>
      <c r="U52" s="13"/>
      <c r="V52" s="13"/>
      <c r="W52" s="13"/>
      <c r="X52" s="13"/>
      <c r="Y52" s="13"/>
      <c r="Z52" s="13"/>
      <c r="AA52" s="13"/>
      <c r="AB52" s="13"/>
      <c r="AC52" s="13"/>
      <c r="AD52" s="13"/>
      <c r="AE52" s="13"/>
      <c r="AF52" s="13"/>
      <c r="AG52" s="13"/>
      <c r="AH52" s="13"/>
      <c r="AI52" s="13"/>
      <c r="AJ52" s="13"/>
      <c r="AK52" s="13"/>
      <c r="AL52" s="13"/>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6"/>
      <c r="BX52" s="146"/>
      <c r="BY52" s="146"/>
      <c r="BZ52" s="146"/>
      <c r="CA52" s="146"/>
      <c r="CB52" s="146"/>
      <c r="CC52" s="146"/>
      <c r="CD52" s="146"/>
      <c r="CE52" s="146"/>
      <c r="CF52" s="146"/>
      <c r="CG52" s="146"/>
      <c r="CH52" s="146"/>
      <c r="CI52" s="146"/>
      <c r="CJ52" s="146"/>
      <c r="CK52" s="146"/>
      <c r="CL52" s="146"/>
      <c r="CM52" s="146"/>
      <c r="CN52" s="146"/>
      <c r="CO52" s="146"/>
      <c r="CP52" s="146"/>
      <c r="CQ52" s="146"/>
      <c r="CR52" s="146"/>
      <c r="CS52" s="146"/>
      <c r="CT52" s="146"/>
      <c r="CU52" s="146"/>
      <c r="CV52" s="146"/>
      <c r="CW52" s="146"/>
      <c r="CX52" s="146"/>
      <c r="CY52" s="146"/>
      <c r="CZ52" s="146"/>
      <c r="DA52" s="146"/>
      <c r="DB52" s="146"/>
      <c r="DC52" s="146"/>
      <c r="DD52" s="146"/>
      <c r="DE52" s="146"/>
      <c r="DF52" s="146"/>
      <c r="DG52" s="146"/>
      <c r="DH52" s="146"/>
      <c r="DI52" s="146"/>
      <c r="DJ52" s="146"/>
      <c r="DK52" s="146"/>
      <c r="DL52" s="146"/>
      <c r="DM52" s="146"/>
      <c r="DN52" s="146"/>
      <c r="DO52" s="146"/>
      <c r="DP52" s="146"/>
      <c r="DQ52" s="146"/>
      <c r="DR52" s="146"/>
      <c r="DS52" s="146"/>
      <c r="DT52" s="146"/>
      <c r="DU52" s="146"/>
      <c r="DV52" s="146"/>
      <c r="DW52" s="146"/>
      <c r="DX52" s="146"/>
      <c r="DY52" s="146"/>
      <c r="DZ52" s="146"/>
      <c r="EA52" s="146"/>
      <c r="EB52" s="146"/>
      <c r="EC52" s="146"/>
      <c r="ED52" s="146"/>
      <c r="EE52" s="146"/>
      <c r="EF52" s="146"/>
      <c r="EG52" s="146"/>
      <c r="EH52" s="146"/>
      <c r="EI52" s="146"/>
      <c r="EJ52" s="146"/>
      <c r="EK52" s="146"/>
      <c r="EL52" s="146"/>
      <c r="EM52" s="146"/>
      <c r="EN52" s="146"/>
      <c r="EO52" s="146"/>
      <c r="EP52" s="146"/>
      <c r="EQ52" s="146"/>
      <c r="ER52" s="146"/>
      <c r="ES52" s="146"/>
      <c r="ET52" s="146"/>
      <c r="EU52" s="146"/>
      <c r="EV52" s="146"/>
      <c r="EW52" s="146"/>
      <c r="EX52" s="146"/>
      <c r="EY52" s="146"/>
      <c r="EZ52" s="146"/>
      <c r="FA52" s="146"/>
      <c r="FB52" s="146"/>
      <c r="FC52" s="146"/>
      <c r="FD52" s="146"/>
      <c r="FE52" s="146"/>
    </row>
    <row r="53" spans="1:38" ht="15.75">
      <c r="A53" s="1"/>
      <c r="B53" s="139" t="s">
        <v>24</v>
      </c>
      <c r="C53" s="111"/>
      <c r="D53" s="56" t="s">
        <v>59</v>
      </c>
      <c r="E53" s="128">
        <f>+E24-E26</f>
        <v>3.93749165250442</v>
      </c>
      <c r="F53" s="128">
        <f aca="true" t="shared" si="11" ref="F53:L53">+F24-F26</f>
        <v>2.5519820759874037</v>
      </c>
      <c r="G53" s="128">
        <f t="shared" si="11"/>
        <v>1.0951766983222093</v>
      </c>
      <c r="H53" s="128">
        <f t="shared" si="11"/>
        <v>0.7141382002841627</v>
      </c>
      <c r="I53" s="128">
        <f t="shared" si="11"/>
        <v>1.0392228695760934</v>
      </c>
      <c r="J53" s="128">
        <f t="shared" si="11"/>
        <v>0.6735450815311683</v>
      </c>
      <c r="K53" s="128">
        <f t="shared" si="11"/>
        <v>2.2374172220400013</v>
      </c>
      <c r="L53" s="128">
        <f t="shared" si="11"/>
        <v>1.4501233656000032</v>
      </c>
      <c r="M53" s="128"/>
      <c r="N53" s="185"/>
      <c r="O53" s="9"/>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1:38" ht="15.75">
      <c r="A54" s="1"/>
      <c r="B54" s="110"/>
      <c r="C54" s="111"/>
      <c r="D54" s="56" t="s">
        <v>60</v>
      </c>
      <c r="E54" s="189">
        <f>+E26</f>
        <v>74.8123413975838</v>
      </c>
      <c r="F54" s="189">
        <f aca="true" t="shared" si="12" ref="F54:L54">+F26</f>
        <v>48.4876594437606</v>
      </c>
      <c r="G54" s="189">
        <f t="shared" si="12"/>
        <v>20.808357268121924</v>
      </c>
      <c r="H54" s="189">
        <f t="shared" si="12"/>
        <v>13.568625805399087</v>
      </c>
      <c r="I54" s="189">
        <f t="shared" si="12"/>
        <v>19.74523452194573</v>
      </c>
      <c r="J54" s="189">
        <f t="shared" si="12"/>
        <v>12.797356549092191</v>
      </c>
      <c r="K54" s="189">
        <f t="shared" si="12"/>
        <v>42.510927218759996</v>
      </c>
      <c r="L54" s="189">
        <f t="shared" si="12"/>
        <v>27.5523439464</v>
      </c>
      <c r="M54" s="189"/>
      <c r="N54" s="185"/>
      <c r="O54" s="9"/>
      <c r="P54" s="13"/>
      <c r="Q54" s="13"/>
      <c r="R54" s="13"/>
      <c r="S54" s="13"/>
      <c r="T54" s="13"/>
      <c r="U54" s="13"/>
      <c r="V54" s="13"/>
      <c r="W54" s="13"/>
      <c r="X54" s="13"/>
      <c r="Y54" s="13"/>
      <c r="Z54" s="13"/>
      <c r="AA54" s="13"/>
      <c r="AB54" s="13"/>
      <c r="AC54" s="13"/>
      <c r="AD54" s="13"/>
      <c r="AE54" s="13"/>
      <c r="AF54" s="13"/>
      <c r="AG54" s="13"/>
      <c r="AH54" s="13"/>
      <c r="AI54" s="13"/>
      <c r="AJ54" s="13"/>
      <c r="AK54" s="13"/>
      <c r="AL54" s="13"/>
    </row>
    <row r="55" spans="1:38" ht="15.75">
      <c r="A55" s="1"/>
      <c r="B55" s="110"/>
      <c r="C55" s="111"/>
      <c r="D55" s="56"/>
      <c r="E55" s="128"/>
      <c r="F55" s="128"/>
      <c r="G55" s="128"/>
      <c r="H55" s="128"/>
      <c r="I55" s="128"/>
      <c r="J55" s="128"/>
      <c r="K55" s="128"/>
      <c r="L55" s="128"/>
      <c r="M55" s="128"/>
      <c r="N55" s="185"/>
      <c r="O55" s="9"/>
      <c r="P55" s="13"/>
      <c r="Q55" s="13"/>
      <c r="R55" s="13"/>
      <c r="S55" s="13"/>
      <c r="T55" s="13"/>
      <c r="U55" s="13"/>
      <c r="V55" s="13"/>
      <c r="W55" s="13"/>
      <c r="X55" s="13"/>
      <c r="Y55" s="13"/>
      <c r="Z55" s="13"/>
      <c r="AA55" s="13"/>
      <c r="AB55" s="13"/>
      <c r="AC55" s="13"/>
      <c r="AD55" s="13"/>
      <c r="AE55" s="13"/>
      <c r="AF55" s="13"/>
      <c r="AG55" s="13"/>
      <c r="AH55" s="13"/>
      <c r="AI55" s="13"/>
      <c r="AJ55" s="13"/>
      <c r="AK55" s="13"/>
      <c r="AL55" s="13"/>
    </row>
    <row r="56" spans="1:38" ht="15.75">
      <c r="A56" s="1"/>
      <c r="B56" s="110"/>
      <c r="C56" s="111"/>
      <c r="D56" s="56"/>
      <c r="E56" s="128"/>
      <c r="F56" s="128"/>
      <c r="G56" s="185"/>
      <c r="H56" s="185"/>
      <c r="I56" s="185"/>
      <c r="J56" s="185"/>
      <c r="K56" s="185"/>
      <c r="L56" s="185"/>
      <c r="M56" s="185"/>
      <c r="N56" s="185"/>
      <c r="O56" s="9"/>
      <c r="P56" s="13"/>
      <c r="Q56" s="13"/>
      <c r="R56" s="13"/>
      <c r="S56" s="13"/>
      <c r="T56" s="13"/>
      <c r="U56" s="13"/>
      <c r="V56" s="13"/>
      <c r="W56" s="13"/>
      <c r="X56" s="13"/>
      <c r="Y56" s="13"/>
      <c r="Z56" s="13"/>
      <c r="AA56" s="13"/>
      <c r="AB56" s="13"/>
      <c r="AC56" s="13"/>
      <c r="AD56" s="13"/>
      <c r="AE56" s="13"/>
      <c r="AF56" s="13"/>
      <c r="AG56" s="13"/>
      <c r="AH56" s="13"/>
      <c r="AI56" s="13"/>
      <c r="AJ56" s="13"/>
      <c r="AK56" s="13"/>
      <c r="AL56" s="13"/>
    </row>
    <row r="57" spans="1:38" ht="15.75">
      <c r="A57" s="1"/>
      <c r="E57" s="9"/>
      <c r="F57" s="9"/>
      <c r="G57" s="9"/>
      <c r="H57" s="9"/>
      <c r="I57" s="9"/>
      <c r="J57" s="9"/>
      <c r="K57" s="9"/>
      <c r="L57" s="9"/>
      <c r="M57" s="9"/>
      <c r="N57" s="9"/>
      <c r="O57" s="9"/>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2:38" ht="18.75">
      <c r="B58" s="190" t="s">
        <v>62</v>
      </c>
      <c r="D58" s="2"/>
      <c r="E58" s="13"/>
      <c r="F58" s="13"/>
      <c r="G58" s="13" t="s">
        <v>70</v>
      </c>
      <c r="H58" s="13"/>
      <c r="I58" s="13"/>
      <c r="J58" s="13" t="s">
        <v>69</v>
      </c>
      <c r="K58" s="13"/>
      <c r="L58" s="13"/>
      <c r="M58" s="13"/>
      <c r="N58" s="13" t="s">
        <v>71</v>
      </c>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row r="59" spans="4:38" ht="15.75">
      <c r="D59" s="2" t="s">
        <v>12</v>
      </c>
      <c r="E59" s="13">
        <v>11</v>
      </c>
      <c r="F59" s="13">
        <f aca="true" t="shared" si="13" ref="F59:N59">+E59+1</f>
        <v>12</v>
      </c>
      <c r="G59" s="13">
        <f t="shared" si="13"/>
        <v>13</v>
      </c>
      <c r="H59" s="13">
        <f t="shared" si="13"/>
        <v>14</v>
      </c>
      <c r="I59" s="13">
        <f t="shared" si="13"/>
        <v>15</v>
      </c>
      <c r="J59" s="13">
        <f t="shared" si="13"/>
        <v>16</v>
      </c>
      <c r="K59" s="13">
        <f t="shared" si="13"/>
        <v>17</v>
      </c>
      <c r="L59" s="13">
        <f t="shared" si="13"/>
        <v>18</v>
      </c>
      <c r="M59" s="13">
        <f t="shared" si="13"/>
        <v>19</v>
      </c>
      <c r="N59" s="13">
        <f t="shared" si="13"/>
        <v>20</v>
      </c>
      <c r="O59" s="13">
        <v>21</v>
      </c>
      <c r="P59" s="13"/>
      <c r="Q59" s="13"/>
      <c r="R59" s="13"/>
      <c r="S59" s="13"/>
      <c r="T59" s="13"/>
      <c r="U59" s="13"/>
      <c r="V59" s="13"/>
      <c r="W59" s="13"/>
      <c r="X59" s="13"/>
      <c r="Y59" s="13"/>
      <c r="Z59" s="13"/>
      <c r="AA59" s="13"/>
      <c r="AB59" s="13"/>
      <c r="AC59" s="13"/>
      <c r="AD59" s="13"/>
      <c r="AE59" s="13"/>
      <c r="AF59" s="13"/>
      <c r="AG59" s="13"/>
      <c r="AH59" s="13"/>
      <c r="AI59" s="13"/>
      <c r="AJ59" s="13"/>
      <c r="AK59" s="13"/>
      <c r="AL59" s="13"/>
    </row>
    <row r="60" spans="2:38" ht="15.75">
      <c r="B60" s="7" t="s">
        <v>16</v>
      </c>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row>
    <row r="61" spans="2:38" ht="15.75">
      <c r="B61" s="7" t="s">
        <v>65</v>
      </c>
      <c r="E61" s="13">
        <f>SUM(E47:F47)/3</f>
        <v>7.859612460000004</v>
      </c>
      <c r="F61" s="13">
        <f>+E61</f>
        <v>7.859612460000004</v>
      </c>
      <c r="G61" s="13">
        <f>+F61</f>
        <v>7.859612460000004</v>
      </c>
      <c r="H61" s="13">
        <f>SUM(E50:F50)/3</f>
        <v>7.182899827194002</v>
      </c>
      <c r="I61" s="13">
        <f>+H61</f>
        <v>7.182899827194002</v>
      </c>
      <c r="J61" s="13">
        <f>+I61</f>
        <v>7.182899827194002</v>
      </c>
      <c r="K61" s="13">
        <f>SUM(E53:F53)/4</f>
        <v>1.622368432122956</v>
      </c>
      <c r="L61" s="13">
        <f>+K61</f>
        <v>1.622368432122956</v>
      </c>
      <c r="M61" s="13">
        <f>+L61</f>
        <v>1.622368432122956</v>
      </c>
      <c r="N61" s="13">
        <f>+M61</f>
        <v>1.622368432122956</v>
      </c>
      <c r="O61" s="13"/>
      <c r="P61" s="13"/>
      <c r="Q61" s="13"/>
      <c r="R61" s="13"/>
      <c r="S61" s="13"/>
      <c r="T61" s="13"/>
      <c r="U61" s="13"/>
      <c r="V61" s="13"/>
      <c r="W61" s="13"/>
      <c r="X61" s="13"/>
      <c r="Y61" s="13"/>
      <c r="Z61" s="13"/>
      <c r="AA61" s="13"/>
      <c r="AB61" s="13"/>
      <c r="AC61" s="13"/>
      <c r="AD61" s="13"/>
      <c r="AE61" s="13"/>
      <c r="AF61" s="13"/>
      <c r="AG61" s="13"/>
      <c r="AH61" s="13"/>
      <c r="AI61" s="13"/>
      <c r="AJ61" s="13"/>
      <c r="AK61" s="13"/>
      <c r="AL61" s="13"/>
    </row>
    <row r="62" spans="2:38" ht="15.75">
      <c r="B62" s="7" t="s">
        <v>66</v>
      </c>
      <c r="E62" s="13"/>
      <c r="F62" s="13"/>
      <c r="G62" s="13">
        <f>+E48+F48</f>
        <v>282.23868343860005</v>
      </c>
      <c r="H62" s="13"/>
      <c r="I62" s="13"/>
      <c r="J62" s="13">
        <f>+E51+F51</f>
        <v>14.421052729981795</v>
      </c>
      <c r="K62" s="13"/>
      <c r="L62" s="13"/>
      <c r="M62" s="13"/>
      <c r="N62" s="13">
        <f>SUM(E54:F54)</f>
        <v>123.3000008413444</v>
      </c>
      <c r="O62" s="13"/>
      <c r="P62" s="13"/>
      <c r="Q62" s="13"/>
      <c r="R62" s="13"/>
      <c r="S62" s="13"/>
      <c r="T62" s="13"/>
      <c r="U62" s="13"/>
      <c r="V62" s="13"/>
      <c r="W62" s="13"/>
      <c r="X62" s="13"/>
      <c r="Y62" s="13"/>
      <c r="Z62" s="13"/>
      <c r="AA62" s="13"/>
      <c r="AB62" s="13"/>
      <c r="AC62" s="13"/>
      <c r="AD62" s="13"/>
      <c r="AE62" s="13"/>
      <c r="AF62" s="13"/>
      <c r="AG62" s="13"/>
      <c r="AH62" s="13"/>
      <c r="AI62" s="13"/>
      <c r="AJ62" s="13"/>
      <c r="AK62" s="13"/>
      <c r="AL62" s="13"/>
    </row>
    <row r="63" spans="2:38" ht="15.75">
      <c r="B63" s="7" t="s">
        <v>63</v>
      </c>
      <c r="D63" s="191">
        <f>+E16+F16</f>
        <v>471.5767476000001</v>
      </c>
      <c r="E63" s="13">
        <f aca="true" t="shared" si="14" ref="E63:N63">+D63-E61-E62</f>
        <v>463.7171351400001</v>
      </c>
      <c r="F63" s="13">
        <f t="shared" si="14"/>
        <v>455.8575226800001</v>
      </c>
      <c r="G63" s="13">
        <f t="shared" si="14"/>
        <v>165.75922678140006</v>
      </c>
      <c r="H63" s="13">
        <f t="shared" si="14"/>
        <v>158.57632695420605</v>
      </c>
      <c r="I63" s="13">
        <f t="shared" si="14"/>
        <v>151.39342712701205</v>
      </c>
      <c r="J63" s="13">
        <f t="shared" si="14"/>
        <v>129.78947456983624</v>
      </c>
      <c r="K63" s="13">
        <f t="shared" si="14"/>
        <v>128.1671061377133</v>
      </c>
      <c r="L63" s="13">
        <f t="shared" si="14"/>
        <v>126.54473770559034</v>
      </c>
      <c r="M63" s="13">
        <f t="shared" si="14"/>
        <v>124.92236927346738</v>
      </c>
      <c r="N63" s="13">
        <f t="shared" si="14"/>
        <v>0</v>
      </c>
      <c r="O63" s="13"/>
      <c r="P63" s="13"/>
      <c r="Q63" s="13"/>
      <c r="R63" s="13"/>
      <c r="S63" s="13"/>
      <c r="T63" s="13"/>
      <c r="U63" s="13"/>
      <c r="V63" s="13"/>
      <c r="W63" s="13"/>
      <c r="X63" s="13"/>
      <c r="Y63" s="13"/>
      <c r="Z63" s="13"/>
      <c r="AA63" s="13"/>
      <c r="AB63" s="13"/>
      <c r="AC63" s="13"/>
      <c r="AD63" s="13"/>
      <c r="AE63" s="13"/>
      <c r="AF63" s="13"/>
      <c r="AG63" s="13"/>
      <c r="AH63" s="13"/>
      <c r="AI63" s="13"/>
      <c r="AJ63" s="13"/>
      <c r="AK63" s="13"/>
      <c r="AL63" s="13"/>
    </row>
    <row r="64" spans="2:38" ht="15.75">
      <c r="B64" s="7" t="s">
        <v>64</v>
      </c>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row>
    <row r="65" spans="3:38" ht="15.75">
      <c r="C65" s="3" t="s">
        <v>8</v>
      </c>
      <c r="D65" s="13"/>
      <c r="E65" s="13">
        <f>SUM(E44:F44)</f>
        <v>186.33563999999998</v>
      </c>
      <c r="F65" s="13">
        <f>+E65</f>
        <v>186.33563999999998</v>
      </c>
      <c r="G65" s="13">
        <f aca="true" t="shared" si="15" ref="G65:N65">+F65</f>
        <v>186.33563999999998</v>
      </c>
      <c r="H65" s="13">
        <f t="shared" si="15"/>
        <v>186.33563999999998</v>
      </c>
      <c r="I65" s="13">
        <f t="shared" si="15"/>
        <v>186.33563999999998</v>
      </c>
      <c r="J65" s="13">
        <f t="shared" si="15"/>
        <v>186.33563999999998</v>
      </c>
      <c r="K65" s="13">
        <f t="shared" si="15"/>
        <v>186.33563999999998</v>
      </c>
      <c r="L65" s="13">
        <f t="shared" si="15"/>
        <v>186.33563999999998</v>
      </c>
      <c r="M65" s="13">
        <f t="shared" si="15"/>
        <v>186.33563999999998</v>
      </c>
      <c r="N65" s="13">
        <f t="shared" si="15"/>
        <v>186.33563999999998</v>
      </c>
      <c r="O65" s="13"/>
      <c r="P65" s="13"/>
      <c r="Q65" s="13"/>
      <c r="R65" s="13"/>
      <c r="S65" s="13"/>
      <c r="T65" s="13"/>
      <c r="U65" s="13"/>
      <c r="V65" s="13"/>
      <c r="W65" s="13"/>
      <c r="X65" s="13"/>
      <c r="Y65" s="13"/>
      <c r="Z65" s="13"/>
      <c r="AA65" s="13"/>
      <c r="AB65" s="13"/>
      <c r="AC65" s="13"/>
      <c r="AD65" s="13"/>
      <c r="AE65" s="13"/>
      <c r="AF65" s="13"/>
      <c r="AG65" s="13"/>
      <c r="AH65" s="13"/>
      <c r="AI65" s="13"/>
      <c r="AJ65" s="13"/>
      <c r="AK65" s="13"/>
      <c r="AL65" s="13"/>
    </row>
    <row r="66" spans="3:38" ht="15.75">
      <c r="C66" s="3" t="s">
        <v>9</v>
      </c>
      <c r="D66" s="13"/>
      <c r="E66" s="13">
        <f>+E45+F45+E61</f>
        <v>66.34722486</v>
      </c>
      <c r="F66" s="13">
        <f>+E66+F61</f>
        <v>74.20683732</v>
      </c>
      <c r="G66" s="13">
        <f>+F66+G61</f>
        <v>82.06644978000001</v>
      </c>
      <c r="H66" s="13">
        <f>+G66</f>
        <v>82.06644978000001</v>
      </c>
      <c r="I66" s="13">
        <f aca="true" t="shared" si="16" ref="I66:N66">+H66</f>
        <v>82.06644978000001</v>
      </c>
      <c r="J66" s="13">
        <f t="shared" si="16"/>
        <v>82.06644978000001</v>
      </c>
      <c r="K66" s="13">
        <f t="shared" si="16"/>
        <v>82.06644978000001</v>
      </c>
      <c r="L66" s="13">
        <f t="shared" si="16"/>
        <v>82.06644978000001</v>
      </c>
      <c r="M66" s="13">
        <f t="shared" si="16"/>
        <v>82.06644978000001</v>
      </c>
      <c r="N66" s="13">
        <f t="shared" si="16"/>
        <v>82.06644978000001</v>
      </c>
      <c r="O66" s="13"/>
      <c r="P66" s="13"/>
      <c r="Q66" s="13"/>
      <c r="R66" s="13"/>
      <c r="S66" s="13"/>
      <c r="T66" s="13"/>
      <c r="U66" s="13"/>
      <c r="V66" s="13"/>
      <c r="W66" s="13"/>
      <c r="X66" s="13"/>
      <c r="Y66" s="13"/>
      <c r="Z66" s="13"/>
      <c r="AA66" s="13"/>
      <c r="AB66" s="13"/>
      <c r="AC66" s="13"/>
      <c r="AD66" s="13"/>
      <c r="AE66" s="13"/>
      <c r="AF66" s="13"/>
      <c r="AG66" s="13"/>
      <c r="AH66" s="13"/>
      <c r="AI66" s="13"/>
      <c r="AJ66" s="13"/>
      <c r="AK66" s="13"/>
      <c r="AL66" s="13"/>
    </row>
    <row r="67" spans="3:38" ht="15.75">
      <c r="C67" s="3" t="s">
        <v>67</v>
      </c>
      <c r="D67" s="13"/>
      <c r="E67" s="13"/>
      <c r="F67" s="13"/>
      <c r="G67" s="13">
        <f>+G62</f>
        <v>282.23868343860005</v>
      </c>
      <c r="H67" s="13">
        <f>+H61+G67</f>
        <v>289.421583265794</v>
      </c>
      <c r="I67" s="13">
        <f>+I61+H67</f>
        <v>296.604483092988</v>
      </c>
      <c r="J67" s="13">
        <f>+J61+I67</f>
        <v>303.787382920182</v>
      </c>
      <c r="K67" s="13">
        <f>+J67</f>
        <v>303.787382920182</v>
      </c>
      <c r="L67" s="13">
        <f>+K67</f>
        <v>303.787382920182</v>
      </c>
      <c r="M67" s="13">
        <f>+L67</f>
        <v>303.787382920182</v>
      </c>
      <c r="N67" s="13">
        <f>+M67</f>
        <v>303.787382920182</v>
      </c>
      <c r="O67" s="13"/>
      <c r="P67" s="13"/>
      <c r="Q67" s="13"/>
      <c r="R67" s="13"/>
      <c r="S67" s="13"/>
      <c r="T67" s="13"/>
      <c r="U67" s="13"/>
      <c r="V67" s="13"/>
      <c r="W67" s="13"/>
      <c r="X67" s="13"/>
      <c r="Y67" s="13"/>
      <c r="Z67" s="13"/>
      <c r="AA67" s="13"/>
      <c r="AB67" s="13"/>
      <c r="AC67" s="13"/>
      <c r="AD67" s="13"/>
      <c r="AE67" s="13"/>
      <c r="AF67" s="13"/>
      <c r="AG67" s="13"/>
      <c r="AH67" s="13"/>
      <c r="AI67" s="13"/>
      <c r="AJ67" s="13"/>
      <c r="AK67" s="13"/>
      <c r="AL67" s="13"/>
    </row>
    <row r="68" spans="3:38" ht="15.75">
      <c r="C68" s="3" t="s">
        <v>68</v>
      </c>
      <c r="D68" s="13"/>
      <c r="E68" s="13"/>
      <c r="F68" s="13"/>
      <c r="G68" s="13"/>
      <c r="H68" s="13"/>
      <c r="I68" s="13"/>
      <c r="J68" s="13">
        <f>+J62</f>
        <v>14.421052729981795</v>
      </c>
      <c r="K68" s="13">
        <f>+J68+K61</f>
        <v>16.04342116210475</v>
      </c>
      <c r="L68" s="13">
        <f>+K68+L61</f>
        <v>17.665789594227704</v>
      </c>
      <c r="M68" s="13">
        <f>+L68+M61</f>
        <v>19.288158026350658</v>
      </c>
      <c r="N68" s="13">
        <f>+M68+N61</f>
        <v>20.910526458473612</v>
      </c>
      <c r="O68" s="13"/>
      <c r="P68" s="13"/>
      <c r="Q68" s="13"/>
      <c r="R68" s="13"/>
      <c r="S68" s="13"/>
      <c r="T68" s="13"/>
      <c r="U68" s="13"/>
      <c r="V68" s="13"/>
      <c r="W68" s="13"/>
      <c r="X68" s="13"/>
      <c r="Y68" s="13"/>
      <c r="Z68" s="13"/>
      <c r="AA68" s="13"/>
      <c r="AB68" s="13"/>
      <c r="AC68" s="13"/>
      <c r="AD68" s="13"/>
      <c r="AE68" s="13"/>
      <c r="AF68" s="13"/>
      <c r="AG68" s="13"/>
      <c r="AH68" s="13"/>
      <c r="AI68" s="13"/>
      <c r="AJ68" s="13"/>
      <c r="AK68" s="13"/>
      <c r="AL68" s="13"/>
    </row>
    <row r="69" spans="3:38" ht="15.75">
      <c r="C69" s="3" t="s">
        <v>73</v>
      </c>
      <c r="D69" s="13"/>
      <c r="E69" s="13"/>
      <c r="F69" s="13"/>
      <c r="G69" s="13"/>
      <c r="H69" s="13"/>
      <c r="I69" s="13"/>
      <c r="J69" s="13"/>
      <c r="K69" s="13"/>
      <c r="L69" s="13"/>
      <c r="M69" s="13"/>
      <c r="N69" s="13">
        <f>+N62</f>
        <v>123.3000008413444</v>
      </c>
      <c r="O69" s="13"/>
      <c r="P69" s="13"/>
      <c r="Q69" s="13"/>
      <c r="R69" s="13"/>
      <c r="S69" s="13"/>
      <c r="T69" s="13"/>
      <c r="U69" s="13"/>
      <c r="V69" s="13"/>
      <c r="W69" s="13"/>
      <c r="X69" s="13"/>
      <c r="Y69" s="13"/>
      <c r="Z69" s="13"/>
      <c r="AA69" s="13"/>
      <c r="AB69" s="13"/>
      <c r="AC69" s="13"/>
      <c r="AD69" s="13"/>
      <c r="AE69" s="13"/>
      <c r="AF69" s="13"/>
      <c r="AG69" s="13"/>
      <c r="AH69" s="13"/>
      <c r="AI69" s="13"/>
      <c r="AJ69" s="13"/>
      <c r="AK69" s="13"/>
      <c r="AL69" s="13"/>
    </row>
    <row r="70" spans="4:38" ht="15.75">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row>
    <row r="71" spans="5:38" ht="15.75">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row>
    <row r="72" spans="2:38" ht="15.75">
      <c r="B72" s="7" t="s">
        <v>28</v>
      </c>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row>
    <row r="73" spans="2:38" ht="15.75">
      <c r="B73" s="7" t="s">
        <v>65</v>
      </c>
      <c r="E73" s="13">
        <f>SUM(G47:L47)/3</f>
        <v>7.7830986072000075</v>
      </c>
      <c r="F73" s="13">
        <f>+E73</f>
        <v>7.7830986072000075</v>
      </c>
      <c r="G73" s="13">
        <f>+F73</f>
        <v>7.7830986072000075</v>
      </c>
      <c r="H73" s="13">
        <f>SUM(G50:L50)/3</f>
        <v>6.599926357564679</v>
      </c>
      <c r="I73" s="13">
        <f>+H73</f>
        <v>6.599926357564679</v>
      </c>
      <c r="J73" s="13">
        <f>+I73</f>
        <v>6.599926357564679</v>
      </c>
      <c r="K73" s="192">
        <f>SUM(G53:L53)/4</f>
        <v>1.8024058593384096</v>
      </c>
      <c r="L73" s="192">
        <f>+K73</f>
        <v>1.8024058593384096</v>
      </c>
      <c r="M73" s="192">
        <f>+L73</f>
        <v>1.8024058593384096</v>
      </c>
      <c r="N73" s="13">
        <f>+M73</f>
        <v>1.8024058593384096</v>
      </c>
      <c r="O73" s="13"/>
      <c r="P73" s="13"/>
      <c r="Q73" s="13"/>
      <c r="R73" s="13"/>
      <c r="S73" s="13"/>
      <c r="T73" s="13"/>
      <c r="U73" s="13"/>
      <c r="V73" s="13"/>
      <c r="W73" s="13"/>
      <c r="X73" s="13"/>
      <c r="Y73" s="13"/>
      <c r="Z73" s="13"/>
      <c r="AA73" s="13"/>
      <c r="AB73" s="13"/>
      <c r="AC73" s="13"/>
      <c r="AD73" s="13"/>
      <c r="AE73" s="13"/>
      <c r="AF73" s="13"/>
      <c r="AG73" s="13"/>
      <c r="AH73" s="13"/>
      <c r="AI73" s="13"/>
      <c r="AJ73" s="13"/>
      <c r="AK73" s="13"/>
      <c r="AL73" s="13"/>
    </row>
    <row r="74" spans="2:38" ht="15.75">
      <c r="B74" s="7" t="s">
        <v>66</v>
      </c>
      <c r="E74" s="13"/>
      <c r="F74" s="13"/>
      <c r="G74" s="13">
        <f>SUM(G18:L18)-SUM(G20:L20)</f>
        <v>288.25635567229205</v>
      </c>
      <c r="H74" s="13"/>
      <c r="I74" s="13"/>
      <c r="J74" s="13">
        <f>SUM(G22:L22)-SUM(G24:L24)</f>
        <v>16.02138541634139</v>
      </c>
      <c r="K74" s="13"/>
      <c r="L74" s="13"/>
      <c r="M74" s="13"/>
      <c r="N74" s="13">
        <f>SUM(G26:L26)</f>
        <v>136.98284530971893</v>
      </c>
      <c r="O74" s="13"/>
      <c r="P74" s="13"/>
      <c r="Q74" s="13"/>
      <c r="R74" s="13"/>
      <c r="S74" s="13"/>
      <c r="T74" s="13"/>
      <c r="U74" s="13"/>
      <c r="V74" s="13"/>
      <c r="W74" s="13"/>
      <c r="X74" s="13"/>
      <c r="Y74" s="13"/>
      <c r="Z74" s="13"/>
      <c r="AA74" s="13"/>
      <c r="AB74" s="13"/>
      <c r="AC74" s="13"/>
      <c r="AD74" s="13"/>
      <c r="AE74" s="13"/>
      <c r="AF74" s="13"/>
      <c r="AG74" s="13"/>
      <c r="AH74" s="13"/>
      <c r="AI74" s="13"/>
      <c r="AJ74" s="13"/>
      <c r="AK74" s="13"/>
      <c r="AL74" s="13"/>
    </row>
    <row r="75" spans="2:38" ht="15.75">
      <c r="B75" s="7" t="s">
        <v>63</v>
      </c>
      <c r="D75" s="13">
        <f>SUM(G16:L16)</f>
        <v>491.61928472999995</v>
      </c>
      <c r="E75" s="13">
        <f aca="true" t="shared" si="17" ref="E75:N75">+D75-E73-E74</f>
        <v>483.8361861227999</v>
      </c>
      <c r="F75" s="13">
        <f t="shared" si="17"/>
        <v>476.0530875155999</v>
      </c>
      <c r="G75" s="13">
        <f t="shared" si="17"/>
        <v>180.0136332361078</v>
      </c>
      <c r="H75" s="13">
        <f t="shared" si="17"/>
        <v>173.41370687854314</v>
      </c>
      <c r="I75" s="13">
        <f t="shared" si="17"/>
        <v>166.81378052097847</v>
      </c>
      <c r="J75" s="13">
        <f t="shared" si="17"/>
        <v>144.1924687470724</v>
      </c>
      <c r="K75" s="13">
        <f t="shared" si="17"/>
        <v>142.390062887734</v>
      </c>
      <c r="L75" s="13">
        <f t="shared" si="17"/>
        <v>140.58765702839557</v>
      </c>
      <c r="M75" s="13">
        <f t="shared" si="17"/>
        <v>138.78525116905715</v>
      </c>
      <c r="N75" s="13">
        <f t="shared" si="17"/>
        <v>0</v>
      </c>
      <c r="O75" s="13"/>
      <c r="P75" s="13"/>
      <c r="Q75" s="13"/>
      <c r="R75" s="13"/>
      <c r="S75" s="13"/>
      <c r="T75" s="13"/>
      <c r="U75" s="13"/>
      <c r="V75" s="13"/>
      <c r="W75" s="13"/>
      <c r="X75" s="13"/>
      <c r="Y75" s="13"/>
      <c r="Z75" s="13"/>
      <c r="AA75" s="13"/>
      <c r="AB75" s="13"/>
      <c r="AC75" s="13"/>
      <c r="AD75" s="13"/>
      <c r="AE75" s="13"/>
      <c r="AF75" s="13"/>
      <c r="AG75" s="13"/>
      <c r="AH75" s="13"/>
      <c r="AI75" s="13"/>
      <c r="AJ75" s="13"/>
      <c r="AK75" s="13"/>
      <c r="AL75" s="13"/>
    </row>
    <row r="76" spans="2:38" ht="15.75">
      <c r="B76" s="7" t="s">
        <v>64</v>
      </c>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row>
    <row r="77" spans="3:38" ht="15.75">
      <c r="C77" s="3" t="s">
        <v>8</v>
      </c>
      <c r="E77" s="13">
        <f>SUM(G44:L44)</f>
        <v>179.29763100000002</v>
      </c>
      <c r="F77" s="13">
        <f>+E77</f>
        <v>179.29763100000002</v>
      </c>
      <c r="G77" s="13">
        <f aca="true" t="shared" si="18" ref="G77:N77">+F77</f>
        <v>179.29763100000002</v>
      </c>
      <c r="H77" s="13">
        <f t="shared" si="18"/>
        <v>179.29763100000002</v>
      </c>
      <c r="I77" s="13">
        <f t="shared" si="18"/>
        <v>179.29763100000002</v>
      </c>
      <c r="J77" s="13">
        <f t="shared" si="18"/>
        <v>179.29763100000002</v>
      </c>
      <c r="K77" s="13">
        <f t="shared" si="18"/>
        <v>179.29763100000002</v>
      </c>
      <c r="L77" s="13">
        <f t="shared" si="18"/>
        <v>179.29763100000002</v>
      </c>
      <c r="M77" s="13">
        <f t="shared" si="18"/>
        <v>179.29763100000002</v>
      </c>
      <c r="N77" s="13">
        <f t="shared" si="18"/>
        <v>179.29763100000002</v>
      </c>
      <c r="O77" s="13"/>
      <c r="P77" s="13"/>
      <c r="Q77" s="13"/>
      <c r="R77" s="13"/>
      <c r="S77" s="13"/>
      <c r="T77" s="13"/>
      <c r="U77" s="13"/>
      <c r="V77" s="13"/>
      <c r="W77" s="13"/>
      <c r="X77" s="13"/>
      <c r="Y77" s="13"/>
      <c r="Z77" s="13"/>
      <c r="AA77" s="13"/>
      <c r="AB77" s="13"/>
      <c r="AC77" s="13"/>
      <c r="AD77" s="13"/>
      <c r="AE77" s="13"/>
      <c r="AF77" s="13"/>
      <c r="AG77" s="13"/>
      <c r="AH77" s="13"/>
      <c r="AI77" s="13"/>
      <c r="AJ77" s="13"/>
      <c r="AK77" s="13"/>
      <c r="AL77" s="13"/>
    </row>
    <row r="78" spans="3:38" ht="15.75">
      <c r="C78" s="3" t="s">
        <v>9</v>
      </c>
      <c r="E78" s="13">
        <f>SUM(G45:L45)+E73</f>
        <v>62.1761828772</v>
      </c>
      <c r="F78" s="13">
        <f>+E78+F73</f>
        <v>69.95928148440001</v>
      </c>
      <c r="G78" s="13">
        <f>+F78+G73</f>
        <v>77.74238009160001</v>
      </c>
      <c r="H78" s="13">
        <f>+G78</f>
        <v>77.74238009160001</v>
      </c>
      <c r="I78" s="13">
        <f aca="true" t="shared" si="19" ref="I78:N78">+H78</f>
        <v>77.74238009160001</v>
      </c>
      <c r="J78" s="13">
        <f t="shared" si="19"/>
        <v>77.74238009160001</v>
      </c>
      <c r="K78" s="13">
        <f t="shared" si="19"/>
        <v>77.74238009160001</v>
      </c>
      <c r="L78" s="13">
        <f t="shared" si="19"/>
        <v>77.74238009160001</v>
      </c>
      <c r="M78" s="13">
        <f t="shared" si="19"/>
        <v>77.74238009160001</v>
      </c>
      <c r="N78" s="13">
        <f t="shared" si="19"/>
        <v>77.74238009160001</v>
      </c>
      <c r="O78" s="13"/>
      <c r="P78" s="13"/>
      <c r="Q78" s="13"/>
      <c r="R78" s="13"/>
      <c r="S78" s="13"/>
      <c r="T78" s="13"/>
      <c r="U78" s="13"/>
      <c r="V78" s="13"/>
      <c r="W78" s="13"/>
      <c r="X78" s="13"/>
      <c r="Y78" s="13"/>
      <c r="Z78" s="13"/>
      <c r="AA78" s="13"/>
      <c r="AB78" s="13"/>
      <c r="AC78" s="13"/>
      <c r="AD78" s="13"/>
      <c r="AE78" s="13"/>
      <c r="AF78" s="13"/>
      <c r="AG78" s="13"/>
      <c r="AH78" s="13"/>
      <c r="AI78" s="13"/>
      <c r="AJ78" s="13"/>
      <c r="AK78" s="13"/>
      <c r="AL78" s="13"/>
    </row>
    <row r="79" spans="3:38" ht="15.75">
      <c r="C79" s="3" t="s">
        <v>67</v>
      </c>
      <c r="E79" s="13"/>
      <c r="F79" s="13"/>
      <c r="G79" s="13">
        <f>+G74</f>
        <v>288.25635567229205</v>
      </c>
      <c r="H79" s="13">
        <f>+G79+H73</f>
        <v>294.85628202985674</v>
      </c>
      <c r="I79" s="13">
        <f>+H79+I73</f>
        <v>301.45620838742144</v>
      </c>
      <c r="J79" s="13">
        <f>+I79+J73</f>
        <v>308.05613474498614</v>
      </c>
      <c r="K79" s="13">
        <f>+J79</f>
        <v>308.05613474498614</v>
      </c>
      <c r="L79" s="13">
        <f>+K79</f>
        <v>308.05613474498614</v>
      </c>
      <c r="M79" s="13">
        <f>+L79</f>
        <v>308.05613474498614</v>
      </c>
      <c r="N79" s="13">
        <f>+M79</f>
        <v>308.05613474498614</v>
      </c>
      <c r="O79" s="13"/>
      <c r="P79" s="13"/>
      <c r="Q79" s="13"/>
      <c r="R79" s="13"/>
      <c r="S79" s="13"/>
      <c r="T79" s="13"/>
      <c r="U79" s="13"/>
      <c r="V79" s="13"/>
      <c r="W79" s="13"/>
      <c r="X79" s="13"/>
      <c r="Y79" s="13"/>
      <c r="Z79" s="13"/>
      <c r="AA79" s="13"/>
      <c r="AB79" s="13"/>
      <c r="AC79" s="13"/>
      <c r="AD79" s="13"/>
      <c r="AE79" s="13"/>
      <c r="AF79" s="13"/>
      <c r="AG79" s="13"/>
      <c r="AH79" s="13"/>
      <c r="AI79" s="13"/>
      <c r="AJ79" s="13"/>
      <c r="AK79" s="13"/>
      <c r="AL79" s="13"/>
    </row>
    <row r="80" spans="3:38" ht="15.75">
      <c r="C80" s="3" t="s">
        <v>68</v>
      </c>
      <c r="E80" s="13"/>
      <c r="F80" s="13"/>
      <c r="G80" s="13"/>
      <c r="H80" s="13"/>
      <c r="I80" s="13"/>
      <c r="J80" s="13">
        <f>+J74</f>
        <v>16.02138541634139</v>
      </c>
      <c r="K80" s="13">
        <f>+J80+K73</f>
        <v>17.8237912756798</v>
      </c>
      <c r="L80" s="13">
        <f>+K80+L73</f>
        <v>19.62619713501821</v>
      </c>
      <c r="M80" s="13">
        <f>+L80+M73</f>
        <v>21.42860299435662</v>
      </c>
      <c r="N80" s="13">
        <f>+M80+N73</f>
        <v>23.23100885369503</v>
      </c>
      <c r="O80" s="13"/>
      <c r="P80" s="13"/>
      <c r="Q80" s="13"/>
      <c r="R80" s="13"/>
      <c r="S80" s="13"/>
      <c r="T80" s="13"/>
      <c r="U80" s="13"/>
      <c r="V80" s="13"/>
      <c r="W80" s="13"/>
      <c r="X80" s="13"/>
      <c r="Y80" s="13"/>
      <c r="Z80" s="13"/>
      <c r="AA80" s="13"/>
      <c r="AB80" s="13"/>
      <c r="AC80" s="13"/>
      <c r="AD80" s="13"/>
      <c r="AE80" s="13"/>
      <c r="AF80" s="13"/>
      <c r="AG80" s="13"/>
      <c r="AH80" s="13"/>
      <c r="AI80" s="13"/>
      <c r="AJ80" s="13"/>
      <c r="AK80" s="13"/>
      <c r="AL80" s="13"/>
    </row>
    <row r="81" spans="3:38" ht="15.75">
      <c r="C81" s="3" t="s">
        <v>73</v>
      </c>
      <c r="E81" s="13"/>
      <c r="F81" s="13"/>
      <c r="G81" s="13"/>
      <c r="H81" s="13"/>
      <c r="I81" s="13"/>
      <c r="J81" s="13"/>
      <c r="K81" s="13"/>
      <c r="L81" s="13"/>
      <c r="M81" s="13"/>
      <c r="N81" s="13">
        <f>+N74</f>
        <v>136.98284530971893</v>
      </c>
      <c r="O81" s="13"/>
      <c r="P81" s="13"/>
      <c r="Q81" s="13"/>
      <c r="R81" s="13"/>
      <c r="S81" s="13"/>
      <c r="T81" s="13"/>
      <c r="U81" s="13"/>
      <c r="V81" s="13"/>
      <c r="W81" s="13"/>
      <c r="X81" s="13"/>
      <c r="Y81" s="13"/>
      <c r="Z81" s="13"/>
      <c r="AA81" s="13"/>
      <c r="AB81" s="13"/>
      <c r="AC81" s="13"/>
      <c r="AD81" s="13"/>
      <c r="AE81" s="13"/>
      <c r="AF81" s="13"/>
      <c r="AG81" s="13"/>
      <c r="AH81" s="13"/>
      <c r="AI81" s="13"/>
      <c r="AJ81" s="13"/>
      <c r="AK81" s="13"/>
      <c r="AL81" s="13"/>
    </row>
    <row r="82" spans="5:38" ht="15.75">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row>
    <row r="83" spans="5:38" ht="15.75">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row>
    <row r="84" spans="5:38" ht="15.75">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row>
    <row r="85" spans="5:38" ht="15.75">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row>
    <row r="86" spans="5:38" ht="15.75">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row>
    <row r="87" spans="5:38" ht="15.75">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row>
    <row r="88" spans="5:38" ht="15.75">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row>
    <row r="89" spans="5:38" ht="15.75">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row>
    <row r="90" spans="5:38" ht="15.75">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row>
    <row r="91" spans="5:38" ht="15.75">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row>
    <row r="92" spans="5:38" ht="15.75">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row>
    <row r="93" spans="5:38" ht="15.75">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row>
    <row r="94" spans="5:38" ht="15.75">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row>
    <row r="95" spans="5:38" ht="15.75">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row>
    <row r="96" spans="5:38" ht="15.75">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row>
    <row r="97" spans="5:38" ht="15.75">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row>
    <row r="98" spans="5:38" ht="15.75">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row>
    <row r="99" spans="5:38" ht="15.75">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row>
    <row r="100" spans="5:38" ht="15.75">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row>
    <row r="101" spans="5:38" ht="15.75">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row>
    <row r="102" spans="5:38" ht="15.75">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row>
    <row r="103" spans="5:38" ht="15.75">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row>
    <row r="104" spans="5:38" ht="15.75">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row>
    <row r="105" spans="5:38" ht="15.75">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row>
    <row r="106" spans="5:38" ht="15.75">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row>
    <row r="107" spans="5:38" ht="15.75">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row>
    <row r="108" spans="5:38" ht="15.75">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row>
    <row r="109" spans="5:38" ht="15.75">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row>
    <row r="110" spans="5:38" ht="15.75">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row>
    <row r="111" spans="5:38" ht="15.75">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row>
    <row r="112" spans="5:38" ht="15.75">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row>
    <row r="113" spans="5:38" ht="15.75">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row>
    <row r="114" spans="5:38" ht="15.75">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row>
    <row r="115" spans="5:38" ht="15.75">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row>
    <row r="116" spans="5:38" ht="15.75">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row>
    <row r="117" spans="5:38" ht="15.75">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row>
    <row r="118" spans="5:38" ht="15.75">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row>
    <row r="119" spans="5:38" ht="15.75">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row>
    <row r="120" spans="5:38" ht="15.75">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row>
    <row r="121" spans="5:38" ht="15.75">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row>
    <row r="122" spans="5:38" ht="15.75">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row>
    <row r="123" spans="5:38" ht="15.75">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row>
    <row r="124" spans="5:38" ht="15.75">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row>
    <row r="125" spans="5:38" ht="15.75">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row>
    <row r="126" spans="5:38" ht="15.75">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row>
    <row r="127" spans="5:38" ht="15.75">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row>
    <row r="128" spans="5:38" ht="15.75">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row>
    <row r="129" spans="5:38" ht="15.75">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row>
    <row r="130" spans="5:38" ht="15.75">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row>
    <row r="131" spans="5:38" ht="15.75">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row>
    <row r="132" spans="5:38" ht="15.75">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row>
    <row r="133" spans="5:38" ht="15.75">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row>
    <row r="134" spans="5:38" ht="15.75">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row>
    <row r="135" spans="5:38" ht="15.75">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row>
    <row r="136" spans="5:38" ht="15.75">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row>
    <row r="137" spans="5:38" ht="15.75">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row>
    <row r="138" spans="5:38" ht="15.75">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row>
    <row r="139" spans="5:38" ht="15.75">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row>
    <row r="140" spans="5:38" ht="15.75">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row>
    <row r="141" spans="5:38" ht="15.75">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row>
    <row r="142" spans="5:38" ht="15.75">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row>
    <row r="143" spans="5:38" ht="15.75">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row>
    <row r="144" spans="5:38" ht="15.75">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row>
    <row r="145" spans="5:38" ht="15.75">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row>
    <row r="146" spans="5:38" ht="15.75">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row>
    <row r="147" spans="5:38" ht="15.75">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row>
    <row r="148" spans="5:38" ht="15.75">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row>
    <row r="149" spans="5:38" ht="15.75">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row>
    <row r="150" spans="5:38" ht="15.75">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row>
    <row r="151" spans="5:38" ht="15.75">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row>
    <row r="152" spans="5:38" ht="15.75">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row>
    <row r="153" spans="5:38" ht="15.75">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row>
    <row r="154" spans="5:38" ht="15.75">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row>
    <row r="155" spans="5:38" ht="15.75">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row>
    <row r="156" spans="5:38" ht="15.75">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row>
    <row r="157" spans="5:38" ht="15.75">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row>
    <row r="158" spans="5:38" ht="15.75">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row>
    <row r="159" spans="5:38" ht="15.75">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row>
    <row r="160" spans="5:38" ht="15.75">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row>
    <row r="161" spans="5:38" ht="15.75">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row>
    <row r="162" spans="5:38" ht="15.75">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row>
    <row r="163" spans="5:38" ht="15.75">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row>
    <row r="164" spans="5:38" ht="15.75">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row>
    <row r="165" spans="5:38" ht="15.75">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row>
    <row r="166" spans="5:38" ht="15.75">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row>
    <row r="167" spans="5:38" ht="15.75">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row>
    <row r="168" spans="5:38" ht="15.75">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row>
    <row r="169" spans="5:38" ht="15.75">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row>
    <row r="170" spans="5:38" ht="15.75">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row>
    <row r="171" spans="5:38" ht="15.75">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row>
    <row r="172" spans="5:38" ht="15.75">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row>
    <row r="173" spans="5:38" ht="15.75">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row>
    <row r="174" spans="5:38" ht="15.75">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row>
    <row r="175" spans="5:38" ht="15.75">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row>
    <row r="176" spans="5:38" ht="15.75">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row>
    <row r="177" spans="5:38" ht="15.75">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row>
    <row r="178" spans="5:38" ht="15.75">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row>
    <row r="179" spans="5:38" ht="15.75">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row>
    <row r="180" spans="5:38" ht="15.75">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row>
    <row r="181" spans="5:38" ht="15.75">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row>
    <row r="182" spans="5:38" ht="15.75">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row>
    <row r="183" spans="5:38" ht="15.75">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row>
    <row r="184" spans="5:38" ht="15.75">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row>
    <row r="185" spans="5:38" ht="15.75">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row>
    <row r="186" spans="5:38" ht="15.75">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row>
    <row r="187" spans="5:38" ht="15.75">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row>
    <row r="188" spans="5:38" ht="15.75">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row>
    <row r="189" spans="5:38" ht="15.75">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row>
    <row r="190" spans="5:38" ht="15.75">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row>
    <row r="191" spans="5:38" ht="15.75">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row>
    <row r="192" spans="5:38" ht="15.75">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row>
    <row r="193" spans="5:38" ht="15.75">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row>
    <row r="194" spans="5:38" ht="15.75">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row>
    <row r="195" spans="5:38" ht="15.75">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row>
    <row r="196" spans="5:38" ht="15.75">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row>
    <row r="197" spans="5:38" ht="15.75">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row>
    <row r="198" spans="5:38" ht="15.75">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row>
    <row r="199" spans="5:38" ht="15.75">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row>
    <row r="200" spans="5:38" ht="15.75">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row>
    <row r="201" spans="5:38" ht="15.75">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row>
    <row r="202" spans="5:38" ht="15.75">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row>
    <row r="203" spans="5:38" ht="15.75">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row>
    <row r="204" spans="5:38" ht="15.75">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row>
    <row r="205" spans="5:38" ht="15.75">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row>
    <row r="206" spans="5:38" ht="15.75">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row>
    <row r="207" spans="5:38" ht="15.75">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row>
    <row r="208" spans="5:38" ht="15.75">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row>
    <row r="209" spans="5:38" ht="15.75">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row>
    <row r="210" spans="5:38" ht="15.75">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row>
    <row r="211" spans="5:38" ht="15.75">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row>
    <row r="212" spans="5:38" ht="15.75">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row>
    <row r="213" spans="5:38" ht="15.75">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row>
    <row r="214" spans="5:38" ht="15.75">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row>
    <row r="215" spans="5:38" ht="15.75">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row>
    <row r="216" spans="5:38" ht="15.75">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row>
    <row r="217" spans="5:38" ht="15.75">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row>
    <row r="218" spans="5:38" ht="15.75">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row>
    <row r="219" spans="5:38" ht="15.75">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row>
    <row r="220" spans="5:38" ht="15.75">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row>
    <row r="221" spans="5:38" ht="15.75">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row>
    <row r="222" spans="5:38" ht="15.75">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row>
    <row r="223" spans="5:38" ht="15.75">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row>
    <row r="224" spans="5:38" ht="15.75">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row>
    <row r="225" spans="5:38" ht="15.75">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row>
    <row r="226" spans="5:38" ht="15.75">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row>
    <row r="227" spans="5:38" ht="15.75">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row>
    <row r="228" spans="5:38" ht="15.75">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row>
    <row r="229" spans="5:38" ht="15.75">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row>
    <row r="230" spans="5:38" ht="15.75">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row>
    <row r="231" spans="5:38" ht="15.75">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row>
    <row r="232" spans="5:38" ht="15.75">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row>
    <row r="233" spans="5:38" ht="15.75">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row>
    <row r="234" spans="5:38" ht="15.75">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row>
    <row r="235" spans="5:38" ht="15.75">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row>
    <row r="236" spans="5:38" ht="15.75">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row>
    <row r="237" spans="5:38" ht="15.75">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row>
    <row r="238" spans="5:38" ht="15.75">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row>
    <row r="239" spans="5:38" ht="15.75">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row>
    <row r="240" spans="5:38" ht="15.75">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row>
    <row r="241" spans="5:38" ht="15.75">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row>
    <row r="242" spans="5:38" ht="15.75">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row>
    <row r="243" spans="5:38" ht="15.75">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row>
    <row r="244" spans="5:38" ht="15.75">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row>
    <row r="245" spans="5:38" ht="15.75">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row>
    <row r="246" spans="5:38" ht="15.75">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row>
    <row r="247" spans="5:38" ht="15.75">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row>
    <row r="248" spans="5:38" ht="15.75">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row>
    <row r="249" spans="5:38" ht="15.75">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row>
    <row r="250" spans="5:38" ht="15.75">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row>
    <row r="251" spans="5:38" ht="15.75">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row>
    <row r="252" spans="5:38" ht="15.75">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row>
    <row r="253" spans="5:38" ht="15.75">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row>
    <row r="254" spans="5:38" ht="15.75">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row>
    <row r="255" spans="5:38" ht="15.75">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row>
    <row r="256" spans="5:38" ht="15.75">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row>
    <row r="257" spans="5:38" ht="15.75">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row>
    <row r="258" spans="5:38" ht="15.75">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row>
    <row r="259" spans="5:38" ht="15.75">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row>
    <row r="260" spans="5:38" ht="15.75">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row>
    <row r="261" spans="5:38" ht="15.75">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row>
    <row r="262" spans="5:38" ht="15.75">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row>
    <row r="263" spans="5:38" ht="15.75">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row>
    <row r="264" spans="5:38" ht="15.75">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row>
    <row r="265" spans="5:38" ht="15.75">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row>
    <row r="266" spans="5:38" ht="15.75">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row>
    <row r="267" spans="5:38" ht="15.75">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row>
    <row r="268" spans="5:38" ht="15.75">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row>
    <row r="269" spans="5:38" ht="15.75">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row>
    <row r="270" spans="5:38" ht="15.75">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row>
    <row r="271" spans="5:38" ht="15.75">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row>
    <row r="272" spans="5:38" ht="15.75">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row>
    <row r="273" spans="5:38" ht="15.75">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row>
    <row r="274" spans="5:38" ht="15.75">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row>
    <row r="275" spans="5:38" ht="15.75">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row>
    <row r="276" spans="5:38" ht="15.75">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row>
    <row r="277" spans="5:38" ht="15.75">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row>
    <row r="278" spans="5:38" ht="15.75">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row>
    <row r="279" spans="5:38" ht="15.75">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row>
    <row r="280" spans="5:38" ht="15.75">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row>
    <row r="281" spans="5:38" ht="15.75">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row>
    <row r="282" spans="5:38" ht="15.75">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row>
    <row r="283" spans="5:38" ht="15.75">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row>
    <row r="284" spans="5:38" ht="15.75">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row>
    <row r="285" spans="5:38" ht="15.75">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row>
    <row r="286" spans="5:38" ht="15.75">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row>
    <row r="287" spans="5:38" ht="15.75">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row>
    <row r="288" spans="5:38" ht="15.75">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row>
    <row r="289" spans="5:38" ht="15.75">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row>
    <row r="290" spans="5:38" ht="15.75">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row>
  </sheetData>
  <mergeCells count="3">
    <mergeCell ref="E7:F7"/>
    <mergeCell ref="G7:L7"/>
    <mergeCell ref="A1:G1"/>
  </mergeCells>
  <conditionalFormatting sqref="A1">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300" verticalDpi="300" orientation="portrait" r:id="rId1"/>
</worksheet>
</file>

<file path=xl/worksheets/sheet13.xml><?xml version="1.0" encoding="utf-8"?>
<worksheet xmlns="http://schemas.openxmlformats.org/spreadsheetml/2006/main" xmlns:r="http://schemas.openxmlformats.org/officeDocument/2006/relationships">
  <sheetPr codeName="Sheet8">
    <pageSetUpPr fitToPage="1"/>
  </sheetPr>
  <dimension ref="A1:J25"/>
  <sheetViews>
    <sheetView zoomScale="75" zoomScaleNormal="75" workbookViewId="0" topLeftCell="A1">
      <selection activeCell="B2" sqref="B2"/>
    </sheetView>
  </sheetViews>
  <sheetFormatPr defaultColWidth="9.00390625" defaultRowHeight="15.75"/>
  <cols>
    <col min="1" max="1" width="9.00390625" style="3" customWidth="1"/>
    <col min="2" max="2" width="40.375" style="7" customWidth="1"/>
    <col min="3" max="3" width="10.625" style="3" customWidth="1"/>
    <col min="4" max="8" width="13.375" style="3" customWidth="1"/>
    <col min="9" max="16384" width="9.00390625" style="3" customWidth="1"/>
  </cols>
  <sheetData>
    <row r="1" spans="1:9" ht="15.75">
      <c r="A1" s="434">
        <f>IF('ERR &amp; Sensitivity Analysis'!$I$10="N","Note: Current calculations are based on user input and are not the original MCC estimates.",IF('ERR &amp; Sensitivity Analysis'!$I$11="N","Note: Current calculations are based on user input and are not the original MCC estimates.",0))</f>
        <v>0</v>
      </c>
      <c r="B1" s="435"/>
      <c r="C1" s="435"/>
      <c r="D1" s="435"/>
      <c r="E1" s="435"/>
      <c r="F1" s="435"/>
      <c r="G1" s="435"/>
      <c r="H1" s="115"/>
      <c r="I1" s="370"/>
    </row>
    <row r="2" spans="1:9" ht="22.5">
      <c r="A2" s="371"/>
      <c r="B2" s="21"/>
      <c r="C2" s="102"/>
      <c r="D2" s="102"/>
      <c r="E2" s="102"/>
      <c r="F2" s="102"/>
      <c r="G2" s="102"/>
      <c r="H2" s="102"/>
      <c r="I2" s="372"/>
    </row>
    <row r="3" spans="1:9" ht="22.5">
      <c r="A3" s="371"/>
      <c r="B3" s="21" t="str">
        <f>+Projects!B3</f>
        <v>Social Infrastructure Development Project</v>
      </c>
      <c r="C3" s="102"/>
      <c r="D3" s="102"/>
      <c r="E3" s="102"/>
      <c r="F3" s="102"/>
      <c r="G3" s="102"/>
      <c r="H3" s="102"/>
      <c r="I3" s="372"/>
    </row>
    <row r="4" spans="1:9" ht="27">
      <c r="A4" s="371"/>
      <c r="B4" s="21" t="s">
        <v>78</v>
      </c>
      <c r="C4" s="102"/>
      <c r="D4" s="102"/>
      <c r="E4" s="102"/>
      <c r="F4" s="102"/>
      <c r="G4" s="102"/>
      <c r="H4" s="102"/>
      <c r="I4" s="372"/>
    </row>
    <row r="5" spans="1:9" ht="20.25">
      <c r="A5" s="371"/>
      <c r="B5" s="103"/>
      <c r="C5" s="102"/>
      <c r="D5" s="102"/>
      <c r="E5" s="102"/>
      <c r="F5" s="102"/>
      <c r="G5" s="102"/>
      <c r="H5" s="102"/>
      <c r="I5" s="372"/>
    </row>
    <row r="6" spans="1:9" ht="15.75">
      <c r="A6" s="371"/>
      <c r="I6" s="372"/>
    </row>
    <row r="7" spans="1:9" ht="22.5">
      <c r="A7" s="371"/>
      <c r="D7" s="21" t="s">
        <v>7</v>
      </c>
      <c r="E7" s="21"/>
      <c r="F7" s="21"/>
      <c r="G7" s="21"/>
      <c r="H7" s="21"/>
      <c r="I7" s="372"/>
    </row>
    <row r="8" spans="1:9" ht="15.75">
      <c r="A8" s="371"/>
      <c r="B8" s="138" t="s">
        <v>14</v>
      </c>
      <c r="C8" s="104"/>
      <c r="D8" s="106" t="s">
        <v>8</v>
      </c>
      <c r="E8" s="106" t="s">
        <v>9</v>
      </c>
      <c r="F8" s="105" t="s">
        <v>10</v>
      </c>
      <c r="G8" s="105" t="s">
        <v>11</v>
      </c>
      <c r="H8" s="106" t="s">
        <v>15</v>
      </c>
      <c r="I8" s="372"/>
    </row>
    <row r="9" spans="1:9" ht="15.75" customHeight="1">
      <c r="A9" s="371"/>
      <c r="B9" s="107" t="s">
        <v>13</v>
      </c>
      <c r="C9" s="108"/>
      <c r="D9" s="109"/>
      <c r="E9" s="111"/>
      <c r="F9" s="111"/>
      <c r="G9" s="111"/>
      <c r="H9" s="111"/>
      <c r="I9" s="373"/>
    </row>
    <row r="10" spans="1:10" ht="15.75">
      <c r="A10" s="371"/>
      <c r="B10" s="110">
        <v>10</v>
      </c>
      <c r="C10" s="111"/>
      <c r="D10" s="128">
        <v>4000</v>
      </c>
      <c r="E10" s="128">
        <f>+D10</f>
        <v>4000</v>
      </c>
      <c r="F10" s="128">
        <v>4000</v>
      </c>
      <c r="G10" s="128"/>
      <c r="H10" s="128"/>
      <c r="I10" s="374"/>
      <c r="J10" s="2"/>
    </row>
    <row r="11" spans="1:10" ht="15.75">
      <c r="A11" s="371"/>
      <c r="B11" s="110">
        <v>15</v>
      </c>
      <c r="C11" s="111"/>
      <c r="D11" s="128">
        <v>8000</v>
      </c>
      <c r="E11" s="128">
        <v>12000</v>
      </c>
      <c r="F11" s="128">
        <v>16000</v>
      </c>
      <c r="G11" s="128"/>
      <c r="H11" s="128"/>
      <c r="I11" s="374"/>
      <c r="J11" s="2"/>
    </row>
    <row r="12" spans="1:10" ht="15.75">
      <c r="A12" s="371"/>
      <c r="B12" s="110">
        <v>20</v>
      </c>
      <c r="C12" s="111"/>
      <c r="D12" s="128">
        <v>12000</v>
      </c>
      <c r="E12" s="128">
        <v>16000</v>
      </c>
      <c r="F12" s="128">
        <v>20000</v>
      </c>
      <c r="G12" s="128">
        <v>30000</v>
      </c>
      <c r="H12" s="128">
        <v>125000</v>
      </c>
      <c r="I12" s="374"/>
      <c r="J12" s="2"/>
    </row>
    <row r="13" spans="1:10" ht="15.75">
      <c r="A13" s="371"/>
      <c r="B13" s="110">
        <v>25</v>
      </c>
      <c r="C13" s="111"/>
      <c r="D13" s="128">
        <v>12000</v>
      </c>
      <c r="E13" s="128">
        <v>16000</v>
      </c>
      <c r="F13" s="128">
        <v>22500</v>
      </c>
      <c r="G13" s="128">
        <v>40000</v>
      </c>
      <c r="H13" s="128">
        <v>150000</v>
      </c>
      <c r="I13" s="374"/>
      <c r="J13" s="2"/>
    </row>
    <row r="14" spans="1:10" ht="15.75">
      <c r="A14" s="371"/>
      <c r="B14" s="110">
        <v>30</v>
      </c>
      <c r="C14" s="111"/>
      <c r="D14" s="128">
        <v>16000</v>
      </c>
      <c r="E14" s="128">
        <v>25000</v>
      </c>
      <c r="F14" s="128">
        <v>45000</v>
      </c>
      <c r="G14" s="128">
        <v>60000</v>
      </c>
      <c r="H14" s="128">
        <v>160000</v>
      </c>
      <c r="I14" s="374"/>
      <c r="J14" s="2"/>
    </row>
    <row r="15" spans="1:10" ht="15.75">
      <c r="A15" s="371"/>
      <c r="B15" s="110">
        <v>35</v>
      </c>
      <c r="C15" s="111"/>
      <c r="D15" s="128">
        <v>16000</v>
      </c>
      <c r="E15" s="128">
        <v>25000</v>
      </c>
      <c r="F15" s="128">
        <v>60000</v>
      </c>
      <c r="G15" s="128">
        <v>125000</v>
      </c>
      <c r="H15" s="128">
        <v>175000</v>
      </c>
      <c r="I15" s="374"/>
      <c r="J15" s="2"/>
    </row>
    <row r="16" spans="1:10" ht="15.75">
      <c r="A16" s="371"/>
      <c r="B16" s="110">
        <v>40</v>
      </c>
      <c r="C16" s="111"/>
      <c r="D16" s="128">
        <v>16000</v>
      </c>
      <c r="E16" s="128">
        <v>25000</v>
      </c>
      <c r="F16" s="128">
        <v>100000</v>
      </c>
      <c r="G16" s="128">
        <v>150000</v>
      </c>
      <c r="H16" s="128">
        <v>225000</v>
      </c>
      <c r="I16" s="374"/>
      <c r="J16" s="2"/>
    </row>
    <row r="17" spans="1:10" ht="15.75">
      <c r="A17" s="371"/>
      <c r="B17" s="110"/>
      <c r="C17" s="111"/>
      <c r="D17" s="113"/>
      <c r="E17" s="113"/>
      <c r="F17" s="56"/>
      <c r="G17" s="56"/>
      <c r="H17" s="56"/>
      <c r="I17" s="374"/>
      <c r="J17" s="2"/>
    </row>
    <row r="18" spans="1:10" ht="16.5" thickBot="1">
      <c r="A18" s="371"/>
      <c r="D18" s="2"/>
      <c r="E18" s="2"/>
      <c r="F18" s="2"/>
      <c r="G18" s="2"/>
      <c r="H18" s="2"/>
      <c r="I18" s="375"/>
      <c r="J18" s="2"/>
    </row>
    <row r="19" spans="1:10" ht="15.75">
      <c r="A19" s="371"/>
      <c r="B19" s="114"/>
      <c r="C19" s="115"/>
      <c r="D19" s="15"/>
      <c r="E19" s="15"/>
      <c r="F19" s="15"/>
      <c r="G19" s="15"/>
      <c r="H19" s="15"/>
      <c r="I19" s="375"/>
      <c r="J19" s="2"/>
    </row>
    <row r="20" spans="1:10" ht="18.75">
      <c r="A20" s="371"/>
      <c r="B20" s="125" t="s">
        <v>37</v>
      </c>
      <c r="D20" s="2"/>
      <c r="E20" s="2"/>
      <c r="F20" s="2"/>
      <c r="G20" s="2"/>
      <c r="H20" s="2"/>
      <c r="I20" s="375"/>
      <c r="J20" s="2"/>
    </row>
    <row r="21" spans="1:10" ht="18.75">
      <c r="A21" s="371"/>
      <c r="B21" s="125"/>
      <c r="D21" s="2"/>
      <c r="E21" s="2"/>
      <c r="F21" s="2"/>
      <c r="G21" s="2"/>
      <c r="H21" s="2"/>
      <c r="I21" s="375"/>
      <c r="J21" s="2"/>
    </row>
    <row r="22" spans="1:10" ht="15.75">
      <c r="A22" s="371"/>
      <c r="D22" s="2"/>
      <c r="E22" s="2"/>
      <c r="F22" s="2"/>
      <c r="G22" s="2"/>
      <c r="H22" s="2"/>
      <c r="I22" s="375"/>
      <c r="J22" s="2"/>
    </row>
    <row r="23" spans="1:10" ht="16.5" thickBot="1">
      <c r="A23" s="376"/>
      <c r="B23" s="377"/>
      <c r="C23" s="378"/>
      <c r="D23" s="379"/>
      <c r="E23" s="379"/>
      <c r="F23" s="379"/>
      <c r="G23" s="379"/>
      <c r="H23" s="379"/>
      <c r="I23" s="380"/>
      <c r="J23" s="2"/>
    </row>
    <row r="24" spans="4:10" ht="15.75">
      <c r="D24" s="2"/>
      <c r="E24" s="2"/>
      <c r="F24" s="2"/>
      <c r="G24" s="2"/>
      <c r="H24" s="2"/>
      <c r="I24" s="2"/>
      <c r="J24" s="2"/>
    </row>
    <row r="25" spans="4:10" ht="15.75">
      <c r="D25" s="2"/>
      <c r="E25" s="2"/>
      <c r="F25" s="2"/>
      <c r="G25" s="2"/>
      <c r="H25" s="2"/>
      <c r="I25" s="2"/>
      <c r="J25" s="2"/>
    </row>
  </sheetData>
  <mergeCells count="1">
    <mergeCell ref="A1:G1"/>
  </mergeCells>
  <conditionalFormatting sqref="A1">
    <cfRule type="cellIs" priority="1" dxfId="0" operator="equal" stopIfTrue="1">
      <formula>0</formula>
    </cfRule>
    <cfRule type="cellIs" priority="2" dxfId="1" operator="notEqual" stopIfTrue="1">
      <formula>0</formula>
    </cfRule>
  </conditionalFormatting>
  <printOptions horizontalCentered="1" verticalCentered="1"/>
  <pageMargins left="0.28" right="0.275590551181102" top="0.63" bottom="0.26" header="0.275590551181102" footer="0.23"/>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B2:B28"/>
  <sheetViews>
    <sheetView showGridLines="0" tabSelected="1" workbookViewId="0" topLeftCell="A1">
      <selection activeCell="A1" sqref="A1"/>
    </sheetView>
  </sheetViews>
  <sheetFormatPr defaultColWidth="9.00390625" defaultRowHeight="15.75"/>
  <cols>
    <col min="1" max="1" width="5.625" style="282" customWidth="1"/>
    <col min="2" max="2" width="106.375" style="282" customWidth="1"/>
    <col min="3" max="16384" width="9.00390625" style="282" customWidth="1"/>
  </cols>
  <sheetData>
    <row r="2" ht="20.25">
      <c r="B2" s="303" t="s">
        <v>86</v>
      </c>
    </row>
    <row r="4" ht="12.75">
      <c r="B4" s="304" t="s">
        <v>108</v>
      </c>
    </row>
    <row r="5" ht="6.75" customHeight="1"/>
    <row r="6" ht="102">
      <c r="B6" s="305" t="s">
        <v>116</v>
      </c>
    </row>
    <row r="7" ht="12.75" customHeight="1"/>
    <row r="8" ht="12.75">
      <c r="B8" s="304" t="s">
        <v>117</v>
      </c>
    </row>
    <row r="9" ht="6.75" customHeight="1"/>
    <row r="10" ht="25.5">
      <c r="B10" s="282" t="s">
        <v>155</v>
      </c>
    </row>
    <row r="11" ht="4.5" customHeight="1"/>
    <row r="12" ht="12.75">
      <c r="B12" s="282" t="s">
        <v>118</v>
      </c>
    </row>
    <row r="13" ht="16.5" customHeight="1">
      <c r="B13" s="282" t="s">
        <v>119</v>
      </c>
    </row>
    <row r="14" ht="28.5" customHeight="1">
      <c r="B14" s="282" t="s">
        <v>120</v>
      </c>
    </row>
    <row r="15" ht="17.25" customHeight="1">
      <c r="B15" s="282" t="s">
        <v>121</v>
      </c>
    </row>
    <row r="16" ht="15.75" customHeight="1">
      <c r="B16" s="282" t="s">
        <v>122</v>
      </c>
    </row>
    <row r="17" ht="15.75" customHeight="1">
      <c r="B17" s="282" t="s">
        <v>123</v>
      </c>
    </row>
    <row r="19" ht="12.75">
      <c r="B19" s="304" t="s">
        <v>124</v>
      </c>
    </row>
    <row r="20" ht="6.75" customHeight="1"/>
    <row r="21" ht="63.75">
      <c r="B21" s="282" t="s">
        <v>125</v>
      </c>
    </row>
    <row r="22" ht="76.5">
      <c r="B22" s="282" t="s">
        <v>156</v>
      </c>
    </row>
    <row r="25" ht="78.75" customHeight="1">
      <c r="B25" s="306" t="s">
        <v>126</v>
      </c>
    </row>
    <row r="26" ht="9" customHeight="1">
      <c r="B26" s="306"/>
    </row>
    <row r="28" ht="12.75">
      <c r="B28" s="307" t="s">
        <v>85</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2:I20"/>
  <sheetViews>
    <sheetView showGridLines="0" workbookViewId="0" topLeftCell="A1">
      <selection activeCell="G64" sqref="G64"/>
    </sheetView>
  </sheetViews>
  <sheetFormatPr defaultColWidth="9.00390625" defaultRowHeight="15.75"/>
  <cols>
    <col min="1" max="1" width="5.00390625" style="308" customWidth="1"/>
    <col min="2" max="2" width="15.75390625" style="308" bestFit="1" customWidth="1"/>
    <col min="3" max="3" width="41.50390625" style="308" customWidth="1"/>
    <col min="4" max="5" width="11.75390625" style="308" customWidth="1"/>
    <col min="6" max="6" width="12.625" style="308" customWidth="1"/>
    <col min="7" max="7" width="12.375" style="308" customWidth="1"/>
    <col min="8" max="8" width="5.00390625" style="308" customWidth="1"/>
    <col min="9" max="9" width="16.875" style="308" customWidth="1"/>
    <col min="10" max="16384" width="9.00390625" style="308" customWidth="1"/>
  </cols>
  <sheetData>
    <row r="1" ht="12.75"/>
    <row r="2" spans="2:4" ht="20.25">
      <c r="B2" s="309" t="s">
        <v>86</v>
      </c>
      <c r="D2" s="310"/>
    </row>
    <row r="3" ht="12.75"/>
    <row r="4" spans="2:7" ht="18">
      <c r="B4" s="311" t="s">
        <v>132</v>
      </c>
      <c r="G4" s="312" t="s">
        <v>85</v>
      </c>
    </row>
    <row r="6" spans="2:7" ht="39" customHeight="1">
      <c r="B6" s="428" t="s">
        <v>149</v>
      </c>
      <c r="C6" s="428"/>
      <c r="D6" s="428"/>
      <c r="E6" s="428"/>
      <c r="F6" s="428"/>
      <c r="G6" s="428"/>
    </row>
    <row r="8" spans="2:7" ht="12.75">
      <c r="B8" s="429" t="s">
        <v>137</v>
      </c>
      <c r="C8" s="429" t="s">
        <v>133</v>
      </c>
      <c r="D8" s="431" t="s">
        <v>134</v>
      </c>
      <c r="E8" s="431"/>
      <c r="F8" s="431"/>
      <c r="G8" s="431"/>
    </row>
    <row r="9" spans="2:9" ht="39" thickBot="1">
      <c r="B9" s="430"/>
      <c r="C9" s="430"/>
      <c r="D9" s="313" t="s">
        <v>138</v>
      </c>
      <c r="E9" s="314" t="s">
        <v>139</v>
      </c>
      <c r="F9" s="314" t="s">
        <v>140</v>
      </c>
      <c r="G9" s="314" t="s">
        <v>135</v>
      </c>
      <c r="I9" s="315" t="s">
        <v>145</v>
      </c>
    </row>
    <row r="10" spans="2:9" ht="33" customHeight="1">
      <c r="B10" s="299" t="s">
        <v>108</v>
      </c>
      <c r="C10" s="316" t="s">
        <v>141</v>
      </c>
      <c r="D10" s="317">
        <v>1</v>
      </c>
      <c r="E10" s="318">
        <v>1</v>
      </c>
      <c r="F10" s="319" t="s">
        <v>142</v>
      </c>
      <c r="G10" s="320">
        <f>D10</f>
        <v>1</v>
      </c>
      <c r="I10" s="321" t="str">
        <f>IF(D10=E10,IF(D11=E11,"Y","N"),"N")</f>
        <v>Y</v>
      </c>
    </row>
    <row r="11" spans="2:9" ht="33" customHeight="1">
      <c r="B11" s="322" t="s">
        <v>108</v>
      </c>
      <c r="C11" s="316" t="s">
        <v>143</v>
      </c>
      <c r="D11" s="317">
        <v>1</v>
      </c>
      <c r="E11" s="318">
        <v>1</v>
      </c>
      <c r="F11" s="319" t="s">
        <v>142</v>
      </c>
      <c r="G11" s="320">
        <f>D11</f>
        <v>1</v>
      </c>
      <c r="I11" s="323" t="str">
        <f>IF(D13=E13,IF(D14=E14,"Y","N"),"N")</f>
        <v>Y</v>
      </c>
    </row>
    <row r="12" spans="2:7" ht="12.75">
      <c r="B12" s="324"/>
      <c r="C12" s="324"/>
      <c r="D12" s="325"/>
      <c r="E12" s="326"/>
      <c r="F12" s="326"/>
      <c r="G12" s="326"/>
    </row>
    <row r="13" spans="2:9" ht="33" customHeight="1">
      <c r="B13" s="327" t="s">
        <v>144</v>
      </c>
      <c r="C13" s="328" t="s">
        <v>153</v>
      </c>
      <c r="D13" s="353">
        <v>0.05</v>
      </c>
      <c r="E13" s="354">
        <v>0.05</v>
      </c>
      <c r="F13" s="329" t="s">
        <v>129</v>
      </c>
      <c r="G13" s="355">
        <f>IF($I$10="Y",D13,E13)</f>
        <v>0.05</v>
      </c>
      <c r="I13" s="330" t="s">
        <v>146</v>
      </c>
    </row>
    <row r="14" spans="2:9" ht="33" customHeight="1">
      <c r="B14" s="333" t="s">
        <v>144</v>
      </c>
      <c r="C14" s="417" t="s">
        <v>154</v>
      </c>
      <c r="D14" s="444">
        <v>0.9</v>
      </c>
      <c r="E14" s="445">
        <v>0.9</v>
      </c>
      <c r="F14" s="334" t="s">
        <v>157</v>
      </c>
      <c r="G14" s="446">
        <f>IF($I$10="Y",D14,E14)</f>
        <v>0.9</v>
      </c>
      <c r="I14" s="331" t="s">
        <v>150</v>
      </c>
    </row>
    <row r="15" spans="2:9" ht="33" customHeight="1">
      <c r="B15" s="335"/>
      <c r="C15" s="336"/>
      <c r="D15" s="337"/>
      <c r="E15" s="338"/>
      <c r="F15" s="339"/>
      <c r="G15" s="340"/>
      <c r="I15" s="332" t="s">
        <v>151</v>
      </c>
    </row>
    <row r="16" spans="2:7" ht="12.75">
      <c r="B16" s="416">
        <f>IF(I10="N",IF(I11="N","Reminder: Please reset all summary parameters to original values before changing specific parameters.  Specific parameters will only be used in ERR computation when all summary parameters are set to initial values.",0),0)</f>
        <v>0</v>
      </c>
      <c r="C16" s="416"/>
      <c r="D16" s="416"/>
      <c r="E16" s="416"/>
      <c r="F16" s="416"/>
      <c r="G16" s="416"/>
    </row>
    <row r="17" spans="4:8" ht="27" customHeight="1">
      <c r="D17" s="341"/>
      <c r="H17" s="416"/>
    </row>
    <row r="18" spans="3:5" ht="12.75">
      <c r="C18" s="342" t="s">
        <v>136</v>
      </c>
      <c r="D18" s="343">
        <f>'Cohorts Analysis'!D162</f>
        <v>0.12078378027168984</v>
      </c>
      <c r="E18" s="344"/>
    </row>
    <row r="19" spans="3:5" ht="12.75">
      <c r="C19" s="342"/>
      <c r="D19" s="345"/>
      <c r="E19" s="344"/>
    </row>
    <row r="20" spans="3:5" ht="12.75">
      <c r="C20" s="346" t="s">
        <v>152</v>
      </c>
      <c r="D20" s="347">
        <v>0.121</v>
      </c>
      <c r="E20" s="344"/>
    </row>
  </sheetData>
  <mergeCells count="4">
    <mergeCell ref="B6:G6"/>
    <mergeCell ref="B8:B9"/>
    <mergeCell ref="C8:C9"/>
    <mergeCell ref="D8:G8"/>
  </mergeCells>
  <conditionalFormatting sqref="B16">
    <cfRule type="cellIs" priority="1" dxfId="0" operator="equal" stopIfTrue="1">
      <formula>0</formula>
    </cfRule>
    <cfRule type="cellIs" priority="2" dxfId="1" operator="notEqual" stopIfTrue="1">
      <formula>0</formula>
    </cfRule>
  </conditionalFormatting>
  <hyperlinks>
    <hyperlink ref="I15" location="'User''s Guide'!A1" display="User's Guide"/>
    <hyperlink ref="I14" location="'Activity Description'!A1" display="   Activity Description"/>
  </hyperlinks>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CE42"/>
  <sheetViews>
    <sheetView workbookViewId="0" topLeftCell="A1">
      <selection activeCell="F23" sqref="F23"/>
    </sheetView>
  </sheetViews>
  <sheetFormatPr defaultColWidth="9.00390625" defaultRowHeight="15.75"/>
  <cols>
    <col min="1" max="1" width="5.875" style="152" customWidth="1"/>
    <col min="2" max="2" width="19.625" style="161" customWidth="1"/>
    <col min="3" max="3" width="19.25390625" style="152" customWidth="1"/>
    <col min="4" max="4" width="4.75390625" style="152" customWidth="1"/>
    <col min="5" max="6" width="17.625" style="152" customWidth="1"/>
    <col min="7" max="7" width="5.625" style="152" customWidth="1"/>
    <col min="8" max="8" width="9.00390625" style="152" customWidth="1"/>
    <col min="9" max="10" width="11.00390625" style="153" customWidth="1"/>
    <col min="11" max="45" width="11.00390625" style="152" customWidth="1"/>
    <col min="46" max="16384" width="9.00390625" style="152" customWidth="1"/>
  </cols>
  <sheetData>
    <row r="1" spans="1:10" s="157" customFormat="1" ht="21" thickTop="1">
      <c r="A1" s="239"/>
      <c r="B1" s="240"/>
      <c r="C1" s="240"/>
      <c r="D1" s="241"/>
      <c r="E1" s="240"/>
      <c r="F1" s="240"/>
      <c r="G1" s="242"/>
      <c r="I1" s="158"/>
      <c r="J1" s="158"/>
    </row>
    <row r="2" spans="1:10" s="157" customFormat="1" ht="23.25" customHeight="1">
      <c r="A2" s="154"/>
      <c r="B2" s="243" t="s">
        <v>80</v>
      </c>
      <c r="C2" s="155"/>
      <c r="D2" s="155"/>
      <c r="E2" s="155"/>
      <c r="F2" s="155"/>
      <c r="G2" s="156"/>
      <c r="I2" s="158"/>
      <c r="J2" s="158"/>
    </row>
    <row r="3" spans="1:10" s="157" customFormat="1" ht="20.25">
      <c r="A3" s="154"/>
      <c r="B3" s="243" t="s">
        <v>81</v>
      </c>
      <c r="C3" s="244"/>
      <c r="D3" s="244"/>
      <c r="E3" s="244"/>
      <c r="F3" s="244"/>
      <c r="G3" s="156"/>
      <c r="I3" s="158"/>
      <c r="J3" s="158"/>
    </row>
    <row r="4" spans="1:10" s="157" customFormat="1" ht="20.25">
      <c r="A4" s="154"/>
      <c r="B4" s="243" t="s">
        <v>82</v>
      </c>
      <c r="C4" s="155"/>
      <c r="D4" s="155"/>
      <c r="E4" s="155"/>
      <c r="F4" s="155"/>
      <c r="G4" s="156"/>
      <c r="I4" s="158"/>
      <c r="J4" s="158"/>
    </row>
    <row r="5" spans="1:10" s="157" customFormat="1" ht="20.25">
      <c r="A5" s="154"/>
      <c r="B5" s="155"/>
      <c r="C5" s="155"/>
      <c r="D5" s="155"/>
      <c r="E5" s="155"/>
      <c r="F5" s="155"/>
      <c r="G5" s="156"/>
      <c r="I5" s="158"/>
      <c r="J5" s="158"/>
    </row>
    <row r="6" spans="1:10" s="249" customFormat="1" ht="16.5">
      <c r="A6" s="245"/>
      <c r="B6" s="246"/>
      <c r="C6" s="247" t="s">
        <v>6</v>
      </c>
      <c r="D6" s="247"/>
      <c r="E6" s="247" t="s">
        <v>35</v>
      </c>
      <c r="F6" s="247" t="s">
        <v>5</v>
      </c>
      <c r="G6" s="248"/>
      <c r="I6" s="250"/>
      <c r="J6" s="250"/>
    </row>
    <row r="7" spans="1:61" s="249" customFormat="1" ht="16.5">
      <c r="A7" s="245"/>
      <c r="B7" s="251" t="s">
        <v>6</v>
      </c>
      <c r="C7" s="247" t="s">
        <v>5</v>
      </c>
      <c r="D7" s="247"/>
      <c r="E7" s="247" t="s">
        <v>36</v>
      </c>
      <c r="F7" s="247"/>
      <c r="G7" s="248"/>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row>
    <row r="8" spans="1:10" s="249" customFormat="1" ht="16.5">
      <c r="A8" s="245"/>
      <c r="B8" s="253"/>
      <c r="C8" s="254"/>
      <c r="D8" s="254"/>
      <c r="E8" s="254"/>
      <c r="F8" s="254"/>
      <c r="G8" s="248"/>
      <c r="I8" s="250"/>
      <c r="J8" s="250"/>
    </row>
    <row r="9" spans="1:10" s="260" customFormat="1" ht="16.5">
      <c r="A9" s="255"/>
      <c r="B9" s="256" t="s">
        <v>9</v>
      </c>
      <c r="C9" s="257">
        <v>792.5</v>
      </c>
      <c r="D9" s="364" t="e">
        <f>'ERR &amp; Sensitivity Analysis'!#REF!</f>
        <v>#REF!</v>
      </c>
      <c r="E9" s="258">
        <v>0.26</v>
      </c>
      <c r="F9" s="358" t="e">
        <f>C9*D9</f>
        <v>#REF!</v>
      </c>
      <c r="G9" s="259"/>
      <c r="I9" s="250"/>
      <c r="J9" s="250"/>
    </row>
    <row r="10" spans="1:10" s="260" customFormat="1" ht="16.5">
      <c r="A10" s="255"/>
      <c r="B10" s="256" t="s">
        <v>58</v>
      </c>
      <c r="C10" s="261">
        <v>1057.5</v>
      </c>
      <c r="D10" s="364" t="e">
        <f>'ERR &amp; Sensitivity Analysis'!#REF!</f>
        <v>#REF!</v>
      </c>
      <c r="E10" s="258">
        <v>0.18</v>
      </c>
      <c r="F10" s="358" t="e">
        <f>C10*D10</f>
        <v>#REF!</v>
      </c>
      <c r="G10" s="259"/>
      <c r="I10" s="250"/>
      <c r="J10" s="250"/>
    </row>
    <row r="11" spans="1:10" s="260" customFormat="1" ht="16.5">
      <c r="A11" s="255"/>
      <c r="B11" s="256" t="s">
        <v>76</v>
      </c>
      <c r="C11" s="261">
        <v>13149.4</v>
      </c>
      <c r="D11" s="364" t="e">
        <f>'ERR &amp; Sensitivity Analysis'!#REF!</f>
        <v>#REF!</v>
      </c>
      <c r="E11" s="281">
        <v>0.08</v>
      </c>
      <c r="F11" s="358" t="e">
        <f>C11*D11</f>
        <v>#REF!</v>
      </c>
      <c r="G11" s="259"/>
      <c r="I11" s="250"/>
      <c r="J11" s="250"/>
    </row>
    <row r="12" spans="1:83" s="267" customFormat="1" ht="17.25" thickBot="1">
      <c r="A12" s="262"/>
      <c r="B12" s="263"/>
      <c r="C12" s="261"/>
      <c r="D12" s="264"/>
      <c r="E12" s="264"/>
      <c r="F12" s="360"/>
      <c r="G12" s="265"/>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266"/>
      <c r="CA12" s="266"/>
      <c r="CB12" s="266"/>
      <c r="CC12" s="266"/>
      <c r="CD12" s="266"/>
      <c r="CE12" s="266"/>
    </row>
    <row r="13" spans="1:83" s="267" customFormat="1" ht="16.5">
      <c r="A13" s="262"/>
      <c r="B13" s="268" t="s">
        <v>130</v>
      </c>
      <c r="C13" s="361">
        <f>SUM(C9:C11)</f>
        <v>14999.4</v>
      </c>
      <c r="D13" s="362" t="e">
        <f>SUM(D9:D11)</f>
        <v>#REF!</v>
      </c>
      <c r="E13" s="363">
        <f>'Cohorts Analysis'!D162</f>
        <v>0.12078378027168984</v>
      </c>
      <c r="F13" s="359" t="e">
        <f>SUM(F9:F11)</f>
        <v>#REF!</v>
      </c>
      <c r="G13" s="265"/>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c r="BY13" s="266"/>
      <c r="BZ13" s="266"/>
      <c r="CA13" s="266"/>
      <c r="CB13" s="266"/>
      <c r="CC13" s="266"/>
      <c r="CD13" s="266"/>
      <c r="CE13" s="266"/>
    </row>
    <row r="14" spans="1:83" s="267" customFormat="1" ht="16.5">
      <c r="A14" s="262"/>
      <c r="B14" s="263"/>
      <c r="C14" s="269"/>
      <c r="D14" s="270"/>
      <c r="E14" s="270"/>
      <c r="F14" s="270"/>
      <c r="G14" s="265"/>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c r="CD14" s="266"/>
      <c r="CE14" s="266"/>
    </row>
    <row r="15" spans="1:83" s="267" customFormat="1" ht="16.5">
      <c r="A15" s="262"/>
      <c r="B15" s="263"/>
      <c r="C15" s="271"/>
      <c r="D15" s="271"/>
      <c r="E15" s="266"/>
      <c r="F15" s="266"/>
      <c r="G15" s="265"/>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6"/>
      <c r="CC15" s="266"/>
      <c r="CD15" s="266"/>
      <c r="CE15" s="266"/>
    </row>
    <row r="16" spans="1:83" s="267" customFormat="1" ht="17.25" thickBot="1">
      <c r="A16" s="272"/>
      <c r="B16" s="273"/>
      <c r="C16" s="274"/>
      <c r="D16" s="274"/>
      <c r="E16" s="274"/>
      <c r="F16" s="274"/>
      <c r="G16" s="275"/>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266"/>
      <c r="BZ16" s="266"/>
      <c r="CA16" s="266"/>
      <c r="CB16" s="266"/>
      <c r="CC16" s="266"/>
      <c r="CD16" s="266"/>
      <c r="CE16" s="266"/>
    </row>
    <row r="17" spans="3:83" s="267" customFormat="1" ht="17.25" thickTop="1">
      <c r="C17" s="276"/>
      <c r="D17" s="276"/>
      <c r="E17" s="276"/>
      <c r="F17" s="27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266"/>
    </row>
    <row r="18" spans="1:83" ht="15.75" customHeight="1">
      <c r="A18" s="427">
        <f>IF('ERR &amp; Sensitivity Analysis'!$I$10="N","Note: Current calculations are based on user input and are not the original MCC estimates.",IF('ERR &amp; Sensitivity Analysis'!$I$11="N","Note: Current calculations are based on user input and are not the original MCC estimates.",0))</f>
        <v>0</v>
      </c>
      <c r="B18" s="427"/>
      <c r="C18" s="427"/>
      <c r="D18" s="427"/>
      <c r="E18" s="427"/>
      <c r="F18" s="427"/>
      <c r="G18" s="427"/>
      <c r="H18" s="369"/>
      <c r="I18" s="36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row>
    <row r="19" spans="2:83" ht="22.5">
      <c r="B19" s="162"/>
      <c r="C19" s="163"/>
      <c r="D19" s="163"/>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row>
    <row r="20" spans="2:83" ht="15.75">
      <c r="B20" s="152"/>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row>
    <row r="21" spans="2:83" ht="15.75">
      <c r="B21" s="152"/>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row>
    <row r="22" spans="2:83" ht="15.75">
      <c r="B22" s="152"/>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row>
    <row r="23" spans="2:83" ht="15.75">
      <c r="B23" s="152"/>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row>
    <row r="24" spans="2:83" ht="15.75">
      <c r="B24" s="152"/>
      <c r="C24" s="368"/>
      <c r="D24" s="368"/>
      <c r="E24" s="368"/>
      <c r="G24" s="159"/>
      <c r="H24" s="159"/>
      <c r="I24" s="159"/>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row>
    <row r="25" spans="2:83" ht="15.75">
      <c r="B25" s="152"/>
      <c r="G25" s="159"/>
      <c r="H25" s="159"/>
      <c r="I25" s="159"/>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row>
    <row r="26" spans="2:83" ht="15.75">
      <c r="B26" s="152"/>
      <c r="E26" s="368"/>
      <c r="G26" s="159"/>
      <c r="H26" s="159"/>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row>
    <row r="27" spans="3:83" s="166" customFormat="1" ht="15.75">
      <c r="C27" s="365"/>
      <c r="D27" s="365"/>
      <c r="E27" s="365"/>
      <c r="G27" s="167"/>
      <c r="H27" s="167"/>
      <c r="I27" s="168"/>
      <c r="J27" s="164"/>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row>
    <row r="28" spans="2:83" ht="15.75">
      <c r="B28" s="152"/>
      <c r="C28" s="366"/>
      <c r="D28" s="366"/>
      <c r="E28" s="366"/>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c r="CA28" s="159"/>
      <c r="CB28" s="159"/>
      <c r="CC28" s="159"/>
      <c r="CD28" s="159"/>
      <c r="CE28" s="159"/>
    </row>
    <row r="29" spans="2:83" ht="15.75">
      <c r="B29" s="152"/>
      <c r="C29" s="366"/>
      <c r="D29" s="366"/>
      <c r="E29" s="366"/>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c r="BT29" s="159"/>
      <c r="BU29" s="159"/>
      <c r="BV29" s="159"/>
      <c r="BW29" s="159"/>
      <c r="BX29" s="159"/>
      <c r="BY29" s="159"/>
      <c r="BZ29" s="159"/>
      <c r="CA29" s="159"/>
      <c r="CB29" s="159"/>
      <c r="CC29" s="159"/>
      <c r="CD29" s="159"/>
      <c r="CE29" s="159"/>
    </row>
    <row r="30" spans="2:83" ht="15.75">
      <c r="B30" s="152"/>
      <c r="C30" s="366"/>
      <c r="D30" s="366"/>
      <c r="E30" s="366"/>
      <c r="G30" s="165"/>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c r="CC30" s="159"/>
      <c r="CD30" s="159"/>
      <c r="CE30" s="159"/>
    </row>
    <row r="31" spans="2:83" ht="18.75">
      <c r="B31" s="160"/>
      <c r="C31" s="367"/>
      <c r="D31" s="367"/>
      <c r="E31" s="367"/>
      <c r="F31" s="165"/>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row>
    <row r="32" spans="2:83" ht="15.75">
      <c r="B32" s="170"/>
      <c r="C32" s="165"/>
      <c r="D32" s="165"/>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row>
    <row r="33" spans="2:83" ht="15.75">
      <c r="B33" s="171"/>
      <c r="C33" s="165"/>
      <c r="D33" s="159"/>
      <c r="E33" s="159"/>
      <c r="F33" s="159"/>
      <c r="G33" s="159"/>
      <c r="H33" s="159"/>
      <c r="I33" s="159"/>
      <c r="J33" s="159"/>
      <c r="K33" s="159"/>
      <c r="L33" s="159"/>
      <c r="M33" s="159"/>
      <c r="N33" s="159"/>
      <c r="O33" s="159"/>
      <c r="P33" s="159"/>
      <c r="Q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row>
    <row r="34" spans="2:83" ht="15.75">
      <c r="B34" s="171"/>
      <c r="C34" s="165"/>
      <c r="D34" s="159"/>
      <c r="E34" s="159"/>
      <c r="F34" s="159"/>
      <c r="G34" s="159"/>
      <c r="H34" s="159"/>
      <c r="I34" s="159"/>
      <c r="J34" s="159"/>
      <c r="K34" s="159"/>
      <c r="L34" s="159"/>
      <c r="M34" s="159"/>
      <c r="N34" s="159"/>
      <c r="O34" s="159"/>
      <c r="P34" s="159"/>
      <c r="Q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row>
    <row r="35" spans="2:83" ht="15.75">
      <c r="B35" s="171"/>
      <c r="C35" s="165"/>
      <c r="D35" s="159"/>
      <c r="E35" s="159"/>
      <c r="F35" s="159"/>
      <c r="G35" s="163"/>
      <c r="H35" s="163"/>
      <c r="I35" s="159"/>
      <c r="J35" s="159"/>
      <c r="K35" s="163"/>
      <c r="L35" s="163"/>
      <c r="M35" s="163"/>
      <c r="N35" s="163"/>
      <c r="O35" s="163"/>
      <c r="P35" s="163"/>
      <c r="Q35" s="163"/>
      <c r="S35" s="163"/>
      <c r="T35" s="163"/>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59"/>
      <c r="CE35" s="159"/>
    </row>
    <row r="36" spans="2:83" ht="15.75">
      <c r="B36" s="171"/>
      <c r="C36" s="165"/>
      <c r="D36" s="159"/>
      <c r="E36" s="159"/>
      <c r="F36" s="159"/>
      <c r="G36" s="163"/>
      <c r="H36" s="163"/>
      <c r="I36" s="159"/>
      <c r="J36" s="159"/>
      <c r="K36" s="163"/>
      <c r="L36" s="163"/>
      <c r="M36" s="163"/>
      <c r="N36" s="163"/>
      <c r="O36" s="163"/>
      <c r="P36" s="163"/>
      <c r="Q36" s="163"/>
      <c r="S36" s="163"/>
      <c r="T36" s="163"/>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row>
    <row r="37" spans="2:83" ht="15.75">
      <c r="B37" s="171"/>
      <c r="C37" s="165"/>
      <c r="D37" s="159"/>
      <c r="E37" s="159"/>
      <c r="F37" s="159"/>
      <c r="G37" s="163"/>
      <c r="H37" s="163"/>
      <c r="I37" s="159"/>
      <c r="J37" s="159"/>
      <c r="K37" s="163"/>
      <c r="L37" s="163"/>
      <c r="M37" s="163"/>
      <c r="N37" s="163"/>
      <c r="O37" s="163"/>
      <c r="P37" s="163"/>
      <c r="Q37" s="163"/>
      <c r="S37" s="163"/>
      <c r="T37" s="163"/>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row>
    <row r="38" spans="2:83" ht="15.75">
      <c r="B38" s="171"/>
      <c r="C38" s="165"/>
      <c r="D38" s="159"/>
      <c r="E38" s="159"/>
      <c r="F38" s="159"/>
      <c r="G38" s="163"/>
      <c r="H38" s="163"/>
      <c r="I38" s="159"/>
      <c r="J38" s="159"/>
      <c r="K38" s="163"/>
      <c r="L38" s="163"/>
      <c r="M38" s="163"/>
      <c r="N38" s="163"/>
      <c r="O38" s="163"/>
      <c r="P38" s="163"/>
      <c r="Q38" s="163"/>
      <c r="S38" s="163"/>
      <c r="T38" s="163"/>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c r="CB38" s="159"/>
      <c r="CC38" s="159"/>
      <c r="CD38" s="159"/>
      <c r="CE38" s="159"/>
    </row>
    <row r="39" spans="3:83" ht="18.75">
      <c r="C39" s="165"/>
      <c r="D39" s="163"/>
      <c r="E39" s="163"/>
      <c r="F39" s="163"/>
      <c r="G39" s="163"/>
      <c r="H39" s="163"/>
      <c r="I39" s="159"/>
      <c r="J39" s="159"/>
      <c r="K39" s="163"/>
      <c r="L39" s="163"/>
      <c r="M39" s="163"/>
      <c r="N39" s="163"/>
      <c r="O39" s="163"/>
      <c r="P39" s="163"/>
      <c r="Q39" s="163"/>
      <c r="S39" s="163"/>
      <c r="T39" s="163"/>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c r="CA39" s="159"/>
      <c r="CB39" s="159"/>
      <c r="CC39" s="159"/>
      <c r="CD39" s="159"/>
      <c r="CE39" s="159"/>
    </row>
    <row r="40" spans="3:83" ht="18.75">
      <c r="C40" s="165"/>
      <c r="D40" s="163"/>
      <c r="E40" s="163"/>
      <c r="F40" s="163"/>
      <c r="G40" s="163"/>
      <c r="H40" s="163"/>
      <c r="I40" s="159"/>
      <c r="J40" s="159"/>
      <c r="K40" s="163"/>
      <c r="L40" s="163"/>
      <c r="M40" s="163"/>
      <c r="N40" s="163"/>
      <c r="O40" s="163"/>
      <c r="P40" s="163"/>
      <c r="Q40" s="163"/>
      <c r="S40" s="163"/>
      <c r="T40" s="163"/>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59"/>
      <c r="BY40" s="159"/>
      <c r="BZ40" s="159"/>
      <c r="CA40" s="159"/>
      <c r="CB40" s="159"/>
      <c r="CC40" s="159"/>
      <c r="CD40" s="159"/>
      <c r="CE40" s="159"/>
    </row>
    <row r="41" spans="3:83" ht="18.75">
      <c r="C41" s="165"/>
      <c r="D41" s="163"/>
      <c r="E41" s="163"/>
      <c r="F41" s="163"/>
      <c r="G41" s="163"/>
      <c r="H41" s="163"/>
      <c r="I41" s="159"/>
      <c r="J41" s="159"/>
      <c r="K41" s="163"/>
      <c r="L41" s="163"/>
      <c r="M41" s="163"/>
      <c r="N41" s="163"/>
      <c r="O41" s="163"/>
      <c r="P41" s="163"/>
      <c r="Q41" s="163"/>
      <c r="S41" s="163"/>
      <c r="T41" s="163"/>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row>
    <row r="42" spans="3:83" ht="18.75">
      <c r="C42" s="169"/>
      <c r="D42" s="163"/>
      <c r="E42" s="163"/>
      <c r="F42" s="163"/>
      <c r="G42" s="163"/>
      <c r="H42" s="163"/>
      <c r="I42" s="159"/>
      <c r="J42" s="159"/>
      <c r="K42" s="163"/>
      <c r="L42" s="163"/>
      <c r="M42" s="163"/>
      <c r="N42" s="163"/>
      <c r="O42" s="163"/>
      <c r="P42" s="163"/>
      <c r="Q42" s="163"/>
      <c r="S42" s="163"/>
      <c r="T42" s="163"/>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row>
  </sheetData>
  <mergeCells count="1">
    <mergeCell ref="A18:G18"/>
  </mergeCells>
  <conditionalFormatting sqref="A18">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DL200"/>
  <sheetViews>
    <sheetView zoomScale="50" zoomScaleNormal="50" workbookViewId="0" topLeftCell="A1">
      <selection activeCell="A2" sqref="A2"/>
    </sheetView>
  </sheetViews>
  <sheetFormatPr defaultColWidth="9.00390625" defaultRowHeight="15.75"/>
  <cols>
    <col min="1" max="1" width="9.00390625" style="4" customWidth="1"/>
    <col min="2" max="2" width="7.375" style="16" customWidth="1"/>
    <col min="3" max="3" width="65.00390625" style="18" customWidth="1"/>
    <col min="4" max="39" width="17.00390625" style="4" customWidth="1"/>
    <col min="40" max="41" width="9.00390625" style="4" customWidth="1"/>
    <col min="42" max="42" width="15.75390625" style="25" customWidth="1"/>
    <col min="43" max="43" width="11.00390625" style="25" customWidth="1"/>
    <col min="44" max="78" width="11.00390625" style="4" customWidth="1"/>
    <col min="79" max="16384" width="9.00390625" style="4" customWidth="1"/>
  </cols>
  <sheetData>
    <row r="1" spans="1:43" ht="23.25">
      <c r="A1" s="432">
        <f>IF('ERR &amp; Sensitivity Analysis'!$I$10="N","Note: Current calculations are based on user input and are not the original MCC estimates.",IF('ERR &amp; Sensitivity Analysis'!$I$11="N","Note: Current calculations are based on user input and are not the original MCC estimates.",0))</f>
        <v>0</v>
      </c>
      <c r="B1" s="433"/>
      <c r="C1" s="433"/>
      <c r="D1" s="433"/>
      <c r="E1" s="433"/>
      <c r="F1" s="433"/>
      <c r="G1" s="433"/>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90"/>
      <c r="AP1" s="20"/>
      <c r="AQ1" s="20"/>
    </row>
    <row r="2" spans="1:43" s="28" customFormat="1" ht="30.75" customHeight="1">
      <c r="A2" s="391"/>
      <c r="B2" s="26" t="s">
        <v>84</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392"/>
      <c r="AP2" s="29"/>
      <c r="AQ2" s="29"/>
    </row>
    <row r="3" spans="1:43" s="31" customFormat="1" ht="30.75">
      <c r="A3" s="393"/>
      <c r="B3" s="26" t="str">
        <f>+Projects!B4</f>
        <v>Education Projects</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94"/>
      <c r="AP3" s="32"/>
      <c r="AQ3" s="32"/>
    </row>
    <row r="4" spans="1:43" s="28" customFormat="1" ht="30">
      <c r="A4" s="391"/>
      <c r="B4" s="26" t="s">
        <v>83</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392"/>
      <c r="AP4" s="29"/>
      <c r="AQ4" s="29"/>
    </row>
    <row r="5" spans="1:43" s="35" customFormat="1" ht="20.25">
      <c r="A5" s="395"/>
      <c r="B5" s="33"/>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96"/>
      <c r="AP5" s="36"/>
      <c r="AQ5" s="36"/>
    </row>
    <row r="6" spans="1:40" ht="18.75">
      <c r="A6" s="371"/>
      <c r="B6" s="37"/>
      <c r="C6" s="38"/>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72"/>
    </row>
    <row r="7" spans="1:43" s="41" customFormat="1" ht="18.75">
      <c r="A7" s="397"/>
      <c r="B7" s="39"/>
      <c r="C7" s="39"/>
      <c r="D7" s="40"/>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398"/>
      <c r="AP7" s="42"/>
      <c r="AQ7" s="42"/>
    </row>
    <row r="8" spans="1:94" s="41" customFormat="1" ht="18.75">
      <c r="A8" s="397"/>
      <c r="B8" s="39"/>
      <c r="C8" s="39" t="s">
        <v>19</v>
      </c>
      <c r="D8" s="40">
        <v>11</v>
      </c>
      <c r="E8" s="40">
        <f>+D8+1</f>
        <v>12</v>
      </c>
      <c r="F8" s="40">
        <f aca="true" t="shared" si="0" ref="F8:AL8">+E8+1</f>
        <v>13</v>
      </c>
      <c r="G8" s="40">
        <f t="shared" si="0"/>
        <v>14</v>
      </c>
      <c r="H8" s="40">
        <f t="shared" si="0"/>
        <v>15</v>
      </c>
      <c r="I8" s="40">
        <f t="shared" si="0"/>
        <v>16</v>
      </c>
      <c r="J8" s="40">
        <f t="shared" si="0"/>
        <v>17</v>
      </c>
      <c r="K8" s="40">
        <f t="shared" si="0"/>
        <v>18</v>
      </c>
      <c r="L8" s="40">
        <f t="shared" si="0"/>
        <v>19</v>
      </c>
      <c r="M8" s="40">
        <f t="shared" si="0"/>
        <v>20</v>
      </c>
      <c r="N8" s="40">
        <f t="shared" si="0"/>
        <v>21</v>
      </c>
      <c r="O8" s="40">
        <f t="shared" si="0"/>
        <v>22</v>
      </c>
      <c r="P8" s="40">
        <f t="shared" si="0"/>
        <v>23</v>
      </c>
      <c r="Q8" s="40">
        <f t="shared" si="0"/>
        <v>24</v>
      </c>
      <c r="R8" s="40">
        <f t="shared" si="0"/>
        <v>25</v>
      </c>
      <c r="S8" s="40">
        <f t="shared" si="0"/>
        <v>26</v>
      </c>
      <c r="T8" s="40">
        <f t="shared" si="0"/>
        <v>27</v>
      </c>
      <c r="U8" s="40">
        <f t="shared" si="0"/>
        <v>28</v>
      </c>
      <c r="V8" s="40">
        <f t="shared" si="0"/>
        <v>29</v>
      </c>
      <c r="W8" s="40">
        <f t="shared" si="0"/>
        <v>30</v>
      </c>
      <c r="X8" s="40">
        <f t="shared" si="0"/>
        <v>31</v>
      </c>
      <c r="Y8" s="40">
        <f t="shared" si="0"/>
        <v>32</v>
      </c>
      <c r="Z8" s="40">
        <f t="shared" si="0"/>
        <v>33</v>
      </c>
      <c r="AA8" s="40">
        <f t="shared" si="0"/>
        <v>34</v>
      </c>
      <c r="AB8" s="40">
        <f t="shared" si="0"/>
        <v>35</v>
      </c>
      <c r="AC8" s="40">
        <f t="shared" si="0"/>
        <v>36</v>
      </c>
      <c r="AD8" s="40">
        <f t="shared" si="0"/>
        <v>37</v>
      </c>
      <c r="AE8" s="40">
        <f t="shared" si="0"/>
        <v>38</v>
      </c>
      <c r="AF8" s="40">
        <f t="shared" si="0"/>
        <v>39</v>
      </c>
      <c r="AG8" s="40">
        <f t="shared" si="0"/>
        <v>40</v>
      </c>
      <c r="AH8" s="40">
        <f t="shared" si="0"/>
        <v>41</v>
      </c>
      <c r="AI8" s="40">
        <f t="shared" si="0"/>
        <v>42</v>
      </c>
      <c r="AJ8" s="40">
        <f t="shared" si="0"/>
        <v>43</v>
      </c>
      <c r="AK8" s="40">
        <f t="shared" si="0"/>
        <v>44</v>
      </c>
      <c r="AL8" s="40">
        <f t="shared" si="0"/>
        <v>45</v>
      </c>
      <c r="AM8" s="40"/>
      <c r="AN8" s="398"/>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row>
    <row r="9" spans="1:43" s="41" customFormat="1" ht="18.75">
      <c r="A9" s="397"/>
      <c r="B9" s="39"/>
      <c r="C9" s="3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398"/>
      <c r="AP9" s="42"/>
      <c r="AQ9" s="42"/>
    </row>
    <row r="10" spans="1:43" s="46" customFormat="1" ht="22.5">
      <c r="A10" s="399"/>
      <c r="B10" s="57" t="s">
        <v>16</v>
      </c>
      <c r="C10" s="58"/>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00"/>
      <c r="AP10" s="47"/>
      <c r="AQ10" s="47"/>
    </row>
    <row r="11" spans="1:43" s="49" customFormat="1" ht="22.5">
      <c r="A11" s="401"/>
      <c r="B11" s="59"/>
      <c r="C11" s="60"/>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02"/>
      <c r="AP11" s="42"/>
      <c r="AQ11" s="42"/>
    </row>
    <row r="12" spans="1:116" ht="18.75">
      <c r="A12" s="371"/>
      <c r="B12" s="61" t="s">
        <v>17</v>
      </c>
      <c r="C12" s="69"/>
      <c r="D12" s="71"/>
      <c r="E12" s="71"/>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403"/>
      <c r="AO12" s="24"/>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row>
    <row r="13" spans="1:116" s="150" customFormat="1" ht="18.75">
      <c r="A13" s="404"/>
      <c r="B13" s="147"/>
      <c r="C13" s="148" t="s">
        <v>27</v>
      </c>
      <c r="D13" s="149">
        <f>+('Education Model'!E65*'Age Earning Profiles'!$D10+'Education Model'!E66*'Age Earning Profiles'!$E10+'Education Model'!E67*'Age Earning Profiles'!$F10+'Education Model'!E68*'Age Earning Profiles'!$G10+'Education Model'!E69*'Age Earning Profiles'!$H10)*260/1000000</f>
        <v>262.79017945439995</v>
      </c>
      <c r="E13" s="149">
        <f>+('Education Model'!F65*'Age Earning Profiles'!$D10+'Education Model'!F66*'Age Earning Profiles'!$E10+'Education Model'!F67*'Age Earning Profiles'!$F10+'Education Model'!F68*'Age Earning Profiles'!$G10+'Education Model'!F69*'Age Earning Profiles'!$H10)*260/1000000</f>
        <v>270.9641764128</v>
      </c>
      <c r="F13" s="149">
        <f>+('Education Model'!G65*'Age Earning Profiles'!$D10+'Education Model'!G66*'Age Earning Profiles'!$E10+'Education Model'!G67*'Age Earning Profiles'!$F10+'Education Model'!G68*'Age Earning Profiles'!$G10+'Education Model'!G69*'Age Earning Profiles'!$H10)*260/1000000</f>
        <v>572.6664041473441</v>
      </c>
      <c r="G13" s="149">
        <f>+('Education Model'!H65*'Age Earning Profiles'!$D10+'Education Model'!H66*'Age Earning Profiles'!$E10+'Education Model'!H67*'Age Earning Profiles'!$F10+'Education Model'!H68*'Age Earning Profiles'!$G10+'Education Model'!H69*'Age Earning Profiles'!$H10)*260/1000000</f>
        <v>580.1366199676257</v>
      </c>
      <c r="H13" s="149">
        <f>+('Education Model'!I65*'Age Earning Profiles'!$D11+'Education Model'!I66*'Age Earning Profiles'!$E11+'Education Model'!I67*'Age Earning Profiles'!$F11+'Education Model'!I68*'Age Earning Profiles'!$G11+'Education Model'!I69*'Age Earning Profiles'!$H11)*260/1000000</f>
        <v>1877.50010418043</v>
      </c>
      <c r="I13" s="149">
        <f>+('Education Model'!J65*'Age Earning Profiles'!$D11+'Education Model'!J66*'Age Earning Profiles'!$E11+'Education Model'!J67*'Age Earning Profiles'!$F11+'Education Model'!J68*'Age Earning Profiles'!$G11+'Education Model'!J69*'Age Earning Profiles'!$H11)*260/1000000</f>
        <v>1907.380967461557</v>
      </c>
      <c r="J13" s="149">
        <f>+('Education Model'!K65*'Age Earning Profiles'!$D11+'Education Model'!K66*'Age Earning Profiles'!$E11+'Education Model'!K67*'Age Earning Profiles'!$F11+'Education Model'!K68*'Age Earning Profiles'!$G11+'Education Model'!K69*'Age Earning Profiles'!$H11)*260/1000000</f>
        <v>1907.380967461557</v>
      </c>
      <c r="K13" s="149">
        <f>+('Education Model'!L65*'Age Earning Profiles'!$D11+'Education Model'!L66*'Age Earning Profiles'!$E11+'Education Model'!L67*'Age Earning Profiles'!$F11+'Education Model'!L68*'Age Earning Profiles'!$G11+'Education Model'!L69*'Age Earning Profiles'!$H11)*260/1000000</f>
        <v>1907.380967461557</v>
      </c>
      <c r="L13" s="149">
        <f>+('Education Model'!M65*'Age Earning Profiles'!$D11+'Education Model'!M66*'Age Earning Profiles'!$E11+'Education Model'!M67*'Age Earning Profiles'!$F11+'Education Model'!M68*'Age Earning Profiles'!$G11+'Education Model'!M69*'Age Earning Profiles'!$H11)*260/1000000</f>
        <v>1907.380967461557</v>
      </c>
      <c r="M13" s="149">
        <f>+('Education Model'!$N65*'Age Earning Profiles'!$D12+'Education Model'!$N66*'Age Earning Profiles'!$E12+'Education Model'!$N67*'Age Earning Profiles'!$F12+'Education Model'!$N68*'Age Earning Profiles'!$G12+'Education Model'!$N69*'Age Earning Profiles'!$H12)*260/1000000</f>
        <v>6672.810152789533</v>
      </c>
      <c r="N13" s="149">
        <f>+('Education Model'!$N65*'Age Earning Profiles'!$D12+'Education Model'!$N66*'Age Earning Profiles'!$E12+'Education Model'!$N67*'Age Earning Profiles'!$F12+'Education Model'!$N68*'Age Earning Profiles'!$G12+'Education Model'!$N69*'Age Earning Profiles'!$H12)*260/1000000</f>
        <v>6672.810152789533</v>
      </c>
      <c r="O13" s="149">
        <f>+('Education Model'!$N65*'Age Earning Profiles'!$D12+'Education Model'!$N66*'Age Earning Profiles'!$E12+'Education Model'!$N67*'Age Earning Profiles'!$F12+'Education Model'!$N68*'Age Earning Profiles'!$G12+'Education Model'!$N69*'Age Earning Profiles'!$H12)*260/1000000</f>
        <v>6672.810152789533</v>
      </c>
      <c r="P13" s="149">
        <f>+('Education Model'!$N65*'Age Earning Profiles'!$D12+'Education Model'!$N66*'Age Earning Profiles'!$E12+'Education Model'!$N67*'Age Earning Profiles'!$F12+'Education Model'!$N68*'Age Earning Profiles'!$G12+'Education Model'!$N69*'Age Earning Profiles'!$H12)*260/1000000</f>
        <v>6672.810152789533</v>
      </c>
      <c r="Q13" s="149">
        <f>+('Education Model'!$N65*'Age Earning Profiles'!$D12+'Education Model'!$N66*'Age Earning Profiles'!$E12+'Education Model'!$N67*'Age Earning Profiles'!$F12+'Education Model'!$N68*'Age Earning Profiles'!$G12+'Education Model'!$N69*'Age Earning Profiles'!$H12)*260/1000000</f>
        <v>6672.810152789533</v>
      </c>
      <c r="R13" s="149">
        <f>+('Education Model'!$N65*'Age Earning Profiles'!$D13+'Education Model'!$N66*'Age Earning Profiles'!$E13+'Education Model'!$N67*'Age Earning Profiles'!$F13+'Education Model'!$N68*'Age Earning Profiles'!$G13+'Education Model'!$N69*'Age Earning Profiles'!$H13)*260/1000000</f>
        <v>7726.089325948422</v>
      </c>
      <c r="S13" s="149">
        <f>+('Education Model'!$N65*'Age Earning Profiles'!$D13+'Education Model'!$N66*'Age Earning Profiles'!$E13+'Education Model'!$N67*'Age Earning Profiles'!$F13+'Education Model'!$N68*'Age Earning Profiles'!$G13+'Education Model'!$N69*'Age Earning Profiles'!$H13)*260/1000000</f>
        <v>7726.089325948422</v>
      </c>
      <c r="T13" s="149">
        <f>+('Education Model'!$N65*'Age Earning Profiles'!$D13+'Education Model'!$N66*'Age Earning Profiles'!$E13+'Education Model'!$N67*'Age Earning Profiles'!$F13+'Education Model'!$N68*'Age Earning Profiles'!$G13+'Education Model'!$N69*'Age Earning Profiles'!$H13)*260/1000000</f>
        <v>7726.089325948422</v>
      </c>
      <c r="U13" s="149">
        <f>+('Education Model'!$N65*'Age Earning Profiles'!$D13+'Education Model'!$N66*'Age Earning Profiles'!$E13+'Education Model'!$N67*'Age Earning Profiles'!$F13+'Education Model'!$N68*'Age Earning Profiles'!$G13+'Education Model'!$N69*'Age Earning Profiles'!$H13)*260/1000000</f>
        <v>7726.089325948422</v>
      </c>
      <c r="V13" s="149">
        <f>+('Education Model'!$N65*'Age Earning Profiles'!$D13+'Education Model'!$N66*'Age Earning Profiles'!$E13+'Education Model'!$N67*'Age Earning Profiles'!$F13+'Education Model'!$N68*'Age Earning Profiles'!$G13+'Education Model'!$N69*'Age Earning Profiles'!$H13)*260/1000000</f>
        <v>7726.089325948422</v>
      </c>
      <c r="W13" s="149">
        <f>+('Education Model'!$N65*'Age Earning Profiles'!$D14+'Education Model'!$N66*'Age Earning Profiles'!$E14+'Education Model'!$N67*'Age Earning Profiles'!$F14+'Education Model'!$N68*'Age Earning Profiles'!$G14+'Education Model'!$N69*'Age Earning Profiles'!$H14)*260/1000000</f>
        <v>10318.384813888246</v>
      </c>
      <c r="X13" s="149">
        <f>+('Education Model'!$N65*'Age Earning Profiles'!$D14+'Education Model'!$N66*'Age Earning Profiles'!$E14+'Education Model'!$N67*'Age Earning Profiles'!$F14+'Education Model'!$N68*'Age Earning Profiles'!$G14+'Education Model'!$N69*'Age Earning Profiles'!$H14)*260/1000000</f>
        <v>10318.384813888246</v>
      </c>
      <c r="Y13" s="149">
        <f>+('Education Model'!$N65*'Age Earning Profiles'!$D14+'Education Model'!$N66*'Age Earning Profiles'!$E14+'Education Model'!$N67*'Age Earning Profiles'!$F14+'Education Model'!$N68*'Age Earning Profiles'!$G14+'Education Model'!$N69*'Age Earning Profiles'!$H14)*260/1000000</f>
        <v>10318.384813888246</v>
      </c>
      <c r="Z13" s="149">
        <f>+('Education Model'!$N65*'Age Earning Profiles'!$D14+'Education Model'!$N66*'Age Earning Profiles'!$E14+'Education Model'!$N67*'Age Earning Profiles'!$F14+'Education Model'!$N68*'Age Earning Profiles'!$G14+'Education Model'!$N69*'Age Earning Profiles'!$H14)*260/1000000</f>
        <v>10318.384813888246</v>
      </c>
      <c r="AA13" s="149">
        <f>+('Education Model'!$N65*'Age Earning Profiles'!$D14+'Education Model'!$N66*'Age Earning Profiles'!$E14+'Education Model'!$N67*'Age Earning Profiles'!$F14+'Education Model'!$N68*'Age Earning Profiles'!$G14+'Education Model'!$N69*'Age Earning Profiles'!$H14)*260/1000000</f>
        <v>10318.384813888246</v>
      </c>
      <c r="AB13" s="149">
        <f>+('Education Model'!$N65*'Age Earning Profiles'!$D15+'Education Model'!$N66*'Age Earning Profiles'!$E15+'Education Model'!$N67*'Age Earning Profiles'!$F15+'Education Model'!$N68*'Age Earning Profiles'!$G15+'Education Model'!$N69*'Age Earning Profiles'!$H15)*260/1000000</f>
        <v>12337.413507706404</v>
      </c>
      <c r="AC13" s="149">
        <f>+('Education Model'!$N65*'Age Earning Profiles'!$D15+'Education Model'!$N66*'Age Earning Profiles'!$E15+'Education Model'!$N67*'Age Earning Profiles'!$F15+'Education Model'!$N68*'Age Earning Profiles'!$G15+'Education Model'!$N69*'Age Earning Profiles'!$H15)*260/1000000</f>
        <v>12337.413507706404</v>
      </c>
      <c r="AD13" s="149">
        <f>+('Education Model'!$N65*'Age Earning Profiles'!$D15+'Education Model'!$N66*'Age Earning Profiles'!$E15+'Education Model'!$N67*'Age Earning Profiles'!$F15+'Education Model'!$N68*'Age Earning Profiles'!$G15+'Education Model'!$N69*'Age Earning Profiles'!$H15)*260/1000000</f>
        <v>12337.413507706404</v>
      </c>
      <c r="AE13" s="149">
        <f>+('Education Model'!$N65*'Age Earning Profiles'!$D15+'Education Model'!$N66*'Age Earning Profiles'!$E15+'Education Model'!$N67*'Age Earning Profiles'!$F15+'Education Model'!$N68*'Age Earning Profiles'!$G15+'Education Model'!$N69*'Age Earning Profiles'!$H15)*260/1000000</f>
        <v>12337.413507706404</v>
      </c>
      <c r="AF13" s="149">
        <f>+('Education Model'!$N65*'Age Earning Profiles'!$D15+'Education Model'!$N66*'Age Earning Profiles'!$E15+'Education Model'!$N67*'Age Earning Profiles'!$F15+'Education Model'!$N68*'Age Earning Profiles'!$G15+'Education Model'!$N69*'Age Earning Profiles'!$H15)*260/1000000</f>
        <v>12337.413507706404</v>
      </c>
      <c r="AG13" s="149">
        <f>+('Education Model'!$N65*'Age Earning Profiles'!$D16+'Education Model'!$N66*'Age Earning Profiles'!$E16+'Education Model'!$N67*'Age Earning Profiles'!$F16+'Education Model'!$N68*'Age Earning Profiles'!$G16+'Education Model'!$N69*'Age Earning Profiles'!$H16)*260/1000000</f>
        <v>17235.620722993848</v>
      </c>
      <c r="AH13" s="149">
        <f>+('Education Model'!$N65*'Age Earning Profiles'!$D16+'Education Model'!$N66*'Age Earning Profiles'!$E16+'Education Model'!$N67*'Age Earning Profiles'!$F16+'Education Model'!$N68*'Age Earning Profiles'!$G16+'Education Model'!$N69*'Age Earning Profiles'!$H16)*260/1000000</f>
        <v>17235.620722993848</v>
      </c>
      <c r="AI13" s="149">
        <f>+('Education Model'!$N65*'Age Earning Profiles'!$D16+'Education Model'!$N66*'Age Earning Profiles'!$E16+'Education Model'!$N67*'Age Earning Profiles'!$F16+'Education Model'!$N68*'Age Earning Profiles'!$G16+'Education Model'!$N69*'Age Earning Profiles'!$H16)*260/1000000</f>
        <v>17235.620722993848</v>
      </c>
      <c r="AJ13" s="149">
        <f>+('Education Model'!$N65*'Age Earning Profiles'!$D16+'Education Model'!$N66*'Age Earning Profiles'!$E16+'Education Model'!$N67*'Age Earning Profiles'!$F16+'Education Model'!$N68*'Age Earning Profiles'!$G16+'Education Model'!$N69*'Age Earning Profiles'!$H16)*260/1000000</f>
        <v>17235.620722993848</v>
      </c>
      <c r="AK13" s="149">
        <f>+('Education Model'!$N65*'Age Earning Profiles'!$D16+'Education Model'!$N66*'Age Earning Profiles'!$E16+'Education Model'!$N67*'Age Earning Profiles'!$F16+'Education Model'!$N68*'Age Earning Profiles'!$G16+'Education Model'!$N69*'Age Earning Profiles'!$H16)*260/1000000</f>
        <v>17235.620722993848</v>
      </c>
      <c r="AL13" s="149">
        <f>+('Education Model'!$N65*'Age Earning Profiles'!$D16+'Education Model'!$N66*'Age Earning Profiles'!$E16+'Education Model'!$N67*'Age Earning Profiles'!$F16+'Education Model'!$N68*'Age Earning Profiles'!$G16+'Education Model'!$N69*'Age Earning Profiles'!$H16)*260/1000000</f>
        <v>17235.620722993848</v>
      </c>
      <c r="AM13" s="149"/>
      <c r="AN13" s="405"/>
      <c r="AO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row>
    <row r="14" spans="1:116" s="150" customFormat="1" ht="18.75">
      <c r="A14" s="404"/>
      <c r="B14" s="147"/>
      <c r="C14" s="148"/>
      <c r="D14" s="149"/>
      <c r="E14" s="149">
        <f>+D13</f>
        <v>262.79017945439995</v>
      </c>
      <c r="F14" s="149">
        <f aca="true" t="shared" si="1" ref="F14:AL14">+E13</f>
        <v>270.9641764128</v>
      </c>
      <c r="G14" s="149">
        <f t="shared" si="1"/>
        <v>572.6664041473441</v>
      </c>
      <c r="H14" s="149">
        <f t="shared" si="1"/>
        <v>580.1366199676257</v>
      </c>
      <c r="I14" s="149">
        <f t="shared" si="1"/>
        <v>1877.50010418043</v>
      </c>
      <c r="J14" s="149">
        <f t="shared" si="1"/>
        <v>1907.380967461557</v>
      </c>
      <c r="K14" s="149">
        <f t="shared" si="1"/>
        <v>1907.380967461557</v>
      </c>
      <c r="L14" s="149">
        <f t="shared" si="1"/>
        <v>1907.380967461557</v>
      </c>
      <c r="M14" s="149">
        <f t="shared" si="1"/>
        <v>1907.380967461557</v>
      </c>
      <c r="N14" s="149">
        <f t="shared" si="1"/>
        <v>6672.810152789533</v>
      </c>
      <c r="O14" s="149">
        <f t="shared" si="1"/>
        <v>6672.810152789533</v>
      </c>
      <c r="P14" s="149">
        <f t="shared" si="1"/>
        <v>6672.810152789533</v>
      </c>
      <c r="Q14" s="149">
        <f t="shared" si="1"/>
        <v>6672.810152789533</v>
      </c>
      <c r="R14" s="149">
        <f t="shared" si="1"/>
        <v>6672.810152789533</v>
      </c>
      <c r="S14" s="149">
        <f t="shared" si="1"/>
        <v>7726.089325948422</v>
      </c>
      <c r="T14" s="149">
        <f t="shared" si="1"/>
        <v>7726.089325948422</v>
      </c>
      <c r="U14" s="149">
        <f t="shared" si="1"/>
        <v>7726.089325948422</v>
      </c>
      <c r="V14" s="149">
        <f t="shared" si="1"/>
        <v>7726.089325948422</v>
      </c>
      <c r="W14" s="149">
        <f t="shared" si="1"/>
        <v>7726.089325948422</v>
      </c>
      <c r="X14" s="149">
        <f t="shared" si="1"/>
        <v>10318.384813888246</v>
      </c>
      <c r="Y14" s="149">
        <f t="shared" si="1"/>
        <v>10318.384813888246</v>
      </c>
      <c r="Z14" s="149">
        <f t="shared" si="1"/>
        <v>10318.384813888246</v>
      </c>
      <c r="AA14" s="149">
        <f t="shared" si="1"/>
        <v>10318.384813888246</v>
      </c>
      <c r="AB14" s="149">
        <f t="shared" si="1"/>
        <v>10318.384813888246</v>
      </c>
      <c r="AC14" s="149">
        <f t="shared" si="1"/>
        <v>12337.413507706404</v>
      </c>
      <c r="AD14" s="149">
        <f t="shared" si="1"/>
        <v>12337.413507706404</v>
      </c>
      <c r="AE14" s="149">
        <f t="shared" si="1"/>
        <v>12337.413507706404</v>
      </c>
      <c r="AF14" s="149">
        <f t="shared" si="1"/>
        <v>12337.413507706404</v>
      </c>
      <c r="AG14" s="149">
        <f t="shared" si="1"/>
        <v>12337.413507706404</v>
      </c>
      <c r="AH14" s="149">
        <f t="shared" si="1"/>
        <v>17235.620722993848</v>
      </c>
      <c r="AI14" s="149">
        <f t="shared" si="1"/>
        <v>17235.620722993848</v>
      </c>
      <c r="AJ14" s="149">
        <f t="shared" si="1"/>
        <v>17235.620722993848</v>
      </c>
      <c r="AK14" s="149">
        <f t="shared" si="1"/>
        <v>17235.620722993848</v>
      </c>
      <c r="AL14" s="149">
        <f t="shared" si="1"/>
        <v>17235.620722993848</v>
      </c>
      <c r="AM14" s="149"/>
      <c r="AN14" s="405"/>
      <c r="AO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row>
    <row r="15" spans="1:116" s="150" customFormat="1" ht="18.75">
      <c r="A15" s="404"/>
      <c r="B15" s="147"/>
      <c r="C15" s="148"/>
      <c r="D15" s="149"/>
      <c r="E15" s="149"/>
      <c r="F15" s="149">
        <f>+D13</f>
        <v>262.79017945439995</v>
      </c>
      <c r="G15" s="149">
        <f aca="true" t="shared" si="2" ref="G15:AL15">+E13</f>
        <v>270.9641764128</v>
      </c>
      <c r="H15" s="149">
        <f t="shared" si="2"/>
        <v>572.6664041473441</v>
      </c>
      <c r="I15" s="149">
        <f t="shared" si="2"/>
        <v>580.1366199676257</v>
      </c>
      <c r="J15" s="149">
        <f t="shared" si="2"/>
        <v>1877.50010418043</v>
      </c>
      <c r="K15" s="149">
        <f t="shared" si="2"/>
        <v>1907.380967461557</v>
      </c>
      <c r="L15" s="149">
        <f t="shared" si="2"/>
        <v>1907.380967461557</v>
      </c>
      <c r="M15" s="149">
        <f t="shared" si="2"/>
        <v>1907.380967461557</v>
      </c>
      <c r="N15" s="149">
        <f t="shared" si="2"/>
        <v>1907.380967461557</v>
      </c>
      <c r="O15" s="149">
        <f t="shared" si="2"/>
        <v>6672.810152789533</v>
      </c>
      <c r="P15" s="149">
        <f t="shared" si="2"/>
        <v>6672.810152789533</v>
      </c>
      <c r="Q15" s="149">
        <f t="shared" si="2"/>
        <v>6672.810152789533</v>
      </c>
      <c r="R15" s="149">
        <f t="shared" si="2"/>
        <v>6672.810152789533</v>
      </c>
      <c r="S15" s="149">
        <f t="shared" si="2"/>
        <v>6672.810152789533</v>
      </c>
      <c r="T15" s="149">
        <f t="shared" si="2"/>
        <v>7726.089325948422</v>
      </c>
      <c r="U15" s="149">
        <f t="shared" si="2"/>
        <v>7726.089325948422</v>
      </c>
      <c r="V15" s="149">
        <f t="shared" si="2"/>
        <v>7726.089325948422</v>
      </c>
      <c r="W15" s="149">
        <f t="shared" si="2"/>
        <v>7726.089325948422</v>
      </c>
      <c r="X15" s="149">
        <f t="shared" si="2"/>
        <v>7726.089325948422</v>
      </c>
      <c r="Y15" s="149">
        <f t="shared" si="2"/>
        <v>10318.384813888246</v>
      </c>
      <c r="Z15" s="149">
        <f t="shared" si="2"/>
        <v>10318.384813888246</v>
      </c>
      <c r="AA15" s="149">
        <f t="shared" si="2"/>
        <v>10318.384813888246</v>
      </c>
      <c r="AB15" s="149">
        <f t="shared" si="2"/>
        <v>10318.384813888246</v>
      </c>
      <c r="AC15" s="149">
        <f t="shared" si="2"/>
        <v>10318.384813888246</v>
      </c>
      <c r="AD15" s="149">
        <f t="shared" si="2"/>
        <v>12337.413507706404</v>
      </c>
      <c r="AE15" s="149">
        <f t="shared" si="2"/>
        <v>12337.413507706404</v>
      </c>
      <c r="AF15" s="149">
        <f t="shared" si="2"/>
        <v>12337.413507706404</v>
      </c>
      <c r="AG15" s="149">
        <f t="shared" si="2"/>
        <v>12337.413507706404</v>
      </c>
      <c r="AH15" s="149">
        <f t="shared" si="2"/>
        <v>12337.413507706404</v>
      </c>
      <c r="AI15" s="149">
        <f t="shared" si="2"/>
        <v>17235.620722993848</v>
      </c>
      <c r="AJ15" s="149">
        <f t="shared" si="2"/>
        <v>17235.620722993848</v>
      </c>
      <c r="AK15" s="149">
        <f t="shared" si="2"/>
        <v>17235.620722993848</v>
      </c>
      <c r="AL15" s="149">
        <f t="shared" si="2"/>
        <v>17235.620722993848</v>
      </c>
      <c r="AM15" s="149"/>
      <c r="AN15" s="405"/>
      <c r="AO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row>
    <row r="16" spans="1:116" s="150" customFormat="1" ht="18.75">
      <c r="A16" s="404"/>
      <c r="B16" s="147"/>
      <c r="C16" s="148"/>
      <c r="D16" s="149"/>
      <c r="E16" s="149"/>
      <c r="F16" s="149"/>
      <c r="G16" s="149">
        <f>+D13</f>
        <v>262.79017945439995</v>
      </c>
      <c r="H16" s="149">
        <f aca="true" t="shared" si="3" ref="H16:R16">+E13</f>
        <v>270.9641764128</v>
      </c>
      <c r="I16" s="149">
        <f t="shared" si="3"/>
        <v>572.6664041473441</v>
      </c>
      <c r="J16" s="149">
        <f t="shared" si="3"/>
        <v>580.1366199676257</v>
      </c>
      <c r="K16" s="149">
        <f t="shared" si="3"/>
        <v>1877.50010418043</v>
      </c>
      <c r="L16" s="149">
        <f t="shared" si="3"/>
        <v>1907.380967461557</v>
      </c>
      <c r="M16" s="149">
        <f t="shared" si="3"/>
        <v>1907.380967461557</v>
      </c>
      <c r="N16" s="149">
        <f t="shared" si="3"/>
        <v>1907.380967461557</v>
      </c>
      <c r="O16" s="149">
        <f t="shared" si="3"/>
        <v>1907.380967461557</v>
      </c>
      <c r="P16" s="149">
        <f t="shared" si="3"/>
        <v>6672.810152789533</v>
      </c>
      <c r="Q16" s="149">
        <f t="shared" si="3"/>
        <v>6672.810152789533</v>
      </c>
      <c r="R16" s="149">
        <f t="shared" si="3"/>
        <v>6672.810152789533</v>
      </c>
      <c r="S16" s="149">
        <f aca="true" t="shared" si="4" ref="S16:S27">+P13</f>
        <v>6672.810152789533</v>
      </c>
      <c r="T16" s="149">
        <f aca="true" t="shared" si="5" ref="T16:T28">+Q13</f>
        <v>6672.810152789533</v>
      </c>
      <c r="U16" s="149">
        <f aca="true" t="shared" si="6" ref="U16:U29">+R13</f>
        <v>7726.089325948422</v>
      </c>
      <c r="V16" s="149">
        <f aca="true" t="shared" si="7" ref="V16:V30">+S13</f>
        <v>7726.089325948422</v>
      </c>
      <c r="W16" s="149">
        <f aca="true" t="shared" si="8" ref="W16:W30">+T13</f>
        <v>7726.089325948422</v>
      </c>
      <c r="X16" s="149">
        <f aca="true" t="shared" si="9" ref="X16:X32">+U13</f>
        <v>7726.089325948422</v>
      </c>
      <c r="Y16" s="149">
        <f aca="true" t="shared" si="10" ref="Y16:Y32">+V13</f>
        <v>7726.089325948422</v>
      </c>
      <c r="Z16" s="149">
        <f aca="true" t="shared" si="11" ref="Z16:Z32">+W13</f>
        <v>10318.384813888246</v>
      </c>
      <c r="AA16" s="149">
        <f aca="true" t="shared" si="12" ref="AA16:AC21">+X13</f>
        <v>10318.384813888246</v>
      </c>
      <c r="AB16" s="149">
        <f t="shared" si="12"/>
        <v>10318.384813888246</v>
      </c>
      <c r="AC16" s="149">
        <f t="shared" si="12"/>
        <v>10318.384813888246</v>
      </c>
      <c r="AD16" s="149">
        <f aca="true" t="shared" si="13" ref="AD16:AD32">+AA13</f>
        <v>10318.384813888246</v>
      </c>
      <c r="AE16" s="149">
        <f aca="true" t="shared" si="14" ref="AE16:AE32">+AB13</f>
        <v>12337.413507706404</v>
      </c>
      <c r="AF16" s="149">
        <f aca="true" t="shared" si="15" ref="AF16:AF32">+AC13</f>
        <v>12337.413507706404</v>
      </c>
      <c r="AG16" s="149">
        <f aca="true" t="shared" si="16" ref="AG16:AG32">+AD13</f>
        <v>12337.413507706404</v>
      </c>
      <c r="AH16" s="149">
        <f aca="true" t="shared" si="17" ref="AH16:AH32">+AE13</f>
        <v>12337.413507706404</v>
      </c>
      <c r="AI16" s="149">
        <f aca="true" t="shared" si="18" ref="AI16:AI21">+AF13</f>
        <v>12337.413507706404</v>
      </c>
      <c r="AJ16" s="149">
        <f aca="true" t="shared" si="19" ref="AJ16:AJ32">+AG13</f>
        <v>17235.620722993848</v>
      </c>
      <c r="AK16" s="149">
        <f aca="true" t="shared" si="20" ref="AK16:AK32">+AH13</f>
        <v>17235.620722993848</v>
      </c>
      <c r="AL16" s="149">
        <f aca="true" t="shared" si="21" ref="AL16:AL32">+AI13</f>
        <v>17235.620722993848</v>
      </c>
      <c r="AM16" s="149"/>
      <c r="AN16" s="405"/>
      <c r="AO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row>
    <row r="17" spans="1:116" s="150" customFormat="1" ht="18.75">
      <c r="A17" s="404"/>
      <c r="B17" s="147"/>
      <c r="C17" s="148"/>
      <c r="D17" s="149"/>
      <c r="E17" s="149"/>
      <c r="F17" s="149"/>
      <c r="G17" s="149"/>
      <c r="H17" s="149">
        <f aca="true" t="shared" si="22" ref="H17:R17">+E14</f>
        <v>262.79017945439995</v>
      </c>
      <c r="I17" s="149">
        <f t="shared" si="22"/>
        <v>270.9641764128</v>
      </c>
      <c r="J17" s="149">
        <f t="shared" si="22"/>
        <v>572.6664041473441</v>
      </c>
      <c r="K17" s="149">
        <f t="shared" si="22"/>
        <v>580.1366199676257</v>
      </c>
      <c r="L17" s="149">
        <f t="shared" si="22"/>
        <v>1877.50010418043</v>
      </c>
      <c r="M17" s="149">
        <f t="shared" si="22"/>
        <v>1907.380967461557</v>
      </c>
      <c r="N17" s="149">
        <f t="shared" si="22"/>
        <v>1907.380967461557</v>
      </c>
      <c r="O17" s="149">
        <f t="shared" si="22"/>
        <v>1907.380967461557</v>
      </c>
      <c r="P17" s="149">
        <f t="shared" si="22"/>
        <v>1907.380967461557</v>
      </c>
      <c r="Q17" s="149">
        <f t="shared" si="22"/>
        <v>6672.810152789533</v>
      </c>
      <c r="R17" s="149">
        <f t="shared" si="22"/>
        <v>6672.810152789533</v>
      </c>
      <c r="S17" s="149">
        <f t="shared" si="4"/>
        <v>6672.810152789533</v>
      </c>
      <c r="T17" s="149">
        <f t="shared" si="5"/>
        <v>6672.810152789533</v>
      </c>
      <c r="U17" s="149">
        <f t="shared" si="6"/>
        <v>6672.810152789533</v>
      </c>
      <c r="V17" s="149">
        <f t="shared" si="7"/>
        <v>7726.089325948422</v>
      </c>
      <c r="W17" s="149">
        <f t="shared" si="8"/>
        <v>7726.089325948422</v>
      </c>
      <c r="X17" s="149">
        <f t="shared" si="9"/>
        <v>7726.089325948422</v>
      </c>
      <c r="Y17" s="149">
        <f t="shared" si="10"/>
        <v>7726.089325948422</v>
      </c>
      <c r="Z17" s="149">
        <f t="shared" si="11"/>
        <v>7726.089325948422</v>
      </c>
      <c r="AA17" s="149">
        <f t="shared" si="12"/>
        <v>10318.384813888246</v>
      </c>
      <c r="AB17" s="149">
        <f t="shared" si="12"/>
        <v>10318.384813888246</v>
      </c>
      <c r="AC17" s="149">
        <f t="shared" si="12"/>
        <v>10318.384813888246</v>
      </c>
      <c r="AD17" s="149">
        <f t="shared" si="13"/>
        <v>10318.384813888246</v>
      </c>
      <c r="AE17" s="149">
        <f t="shared" si="14"/>
        <v>10318.384813888246</v>
      </c>
      <c r="AF17" s="149">
        <f t="shared" si="15"/>
        <v>12337.413507706404</v>
      </c>
      <c r="AG17" s="149">
        <f t="shared" si="16"/>
        <v>12337.413507706404</v>
      </c>
      <c r="AH17" s="149">
        <f t="shared" si="17"/>
        <v>12337.413507706404</v>
      </c>
      <c r="AI17" s="149">
        <f t="shared" si="18"/>
        <v>12337.413507706404</v>
      </c>
      <c r="AJ17" s="149">
        <f t="shared" si="19"/>
        <v>12337.413507706404</v>
      </c>
      <c r="AK17" s="149">
        <f t="shared" si="20"/>
        <v>17235.620722993848</v>
      </c>
      <c r="AL17" s="149">
        <f t="shared" si="21"/>
        <v>17235.620722993848</v>
      </c>
      <c r="AM17" s="149"/>
      <c r="AN17" s="405"/>
      <c r="AO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row>
    <row r="18" spans="1:116" s="150" customFormat="1" ht="18.75">
      <c r="A18" s="404"/>
      <c r="B18" s="147"/>
      <c r="C18" s="148"/>
      <c r="D18" s="149"/>
      <c r="E18" s="149"/>
      <c r="F18" s="149"/>
      <c r="G18" s="149"/>
      <c r="H18" s="149"/>
      <c r="I18" s="149">
        <f aca="true" t="shared" si="23" ref="I18:R18">+F15</f>
        <v>262.79017945439995</v>
      </c>
      <c r="J18" s="149">
        <f t="shared" si="23"/>
        <v>270.9641764128</v>
      </c>
      <c r="K18" s="149">
        <f t="shared" si="23"/>
        <v>572.6664041473441</v>
      </c>
      <c r="L18" s="149">
        <f t="shared" si="23"/>
        <v>580.1366199676257</v>
      </c>
      <c r="M18" s="149">
        <f t="shared" si="23"/>
        <v>1877.50010418043</v>
      </c>
      <c r="N18" s="149">
        <f t="shared" si="23"/>
        <v>1907.380967461557</v>
      </c>
      <c r="O18" s="149">
        <f t="shared" si="23"/>
        <v>1907.380967461557</v>
      </c>
      <c r="P18" s="149">
        <f t="shared" si="23"/>
        <v>1907.380967461557</v>
      </c>
      <c r="Q18" s="149">
        <f t="shared" si="23"/>
        <v>1907.380967461557</v>
      </c>
      <c r="R18" s="149">
        <f t="shared" si="23"/>
        <v>6672.810152789533</v>
      </c>
      <c r="S18" s="149">
        <f t="shared" si="4"/>
        <v>6672.810152789533</v>
      </c>
      <c r="T18" s="149">
        <f t="shared" si="5"/>
        <v>6672.810152789533</v>
      </c>
      <c r="U18" s="149">
        <f t="shared" si="6"/>
        <v>6672.810152789533</v>
      </c>
      <c r="V18" s="149">
        <f t="shared" si="7"/>
        <v>6672.810152789533</v>
      </c>
      <c r="W18" s="149">
        <f t="shared" si="8"/>
        <v>7726.089325948422</v>
      </c>
      <c r="X18" s="149">
        <f t="shared" si="9"/>
        <v>7726.089325948422</v>
      </c>
      <c r="Y18" s="149">
        <f t="shared" si="10"/>
        <v>7726.089325948422</v>
      </c>
      <c r="Z18" s="149">
        <f t="shared" si="11"/>
        <v>7726.089325948422</v>
      </c>
      <c r="AA18" s="149">
        <f t="shared" si="12"/>
        <v>7726.089325948422</v>
      </c>
      <c r="AB18" s="149">
        <f t="shared" si="12"/>
        <v>10318.384813888246</v>
      </c>
      <c r="AC18" s="149">
        <f t="shared" si="12"/>
        <v>10318.384813888246</v>
      </c>
      <c r="AD18" s="149">
        <f t="shared" si="13"/>
        <v>10318.384813888246</v>
      </c>
      <c r="AE18" s="149">
        <f t="shared" si="14"/>
        <v>10318.384813888246</v>
      </c>
      <c r="AF18" s="149">
        <f t="shared" si="15"/>
        <v>10318.384813888246</v>
      </c>
      <c r="AG18" s="149">
        <f t="shared" si="16"/>
        <v>12337.413507706404</v>
      </c>
      <c r="AH18" s="149">
        <f t="shared" si="17"/>
        <v>12337.413507706404</v>
      </c>
      <c r="AI18" s="149">
        <f t="shared" si="18"/>
        <v>12337.413507706404</v>
      </c>
      <c r="AJ18" s="149">
        <f t="shared" si="19"/>
        <v>12337.413507706404</v>
      </c>
      <c r="AK18" s="149">
        <f t="shared" si="20"/>
        <v>12337.413507706404</v>
      </c>
      <c r="AL18" s="149">
        <f t="shared" si="21"/>
        <v>17235.620722993848</v>
      </c>
      <c r="AM18" s="149"/>
      <c r="AN18" s="405"/>
      <c r="AO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row>
    <row r="19" spans="1:116" s="150" customFormat="1" ht="18.75">
      <c r="A19" s="404"/>
      <c r="B19" s="147"/>
      <c r="C19" s="148"/>
      <c r="D19" s="149"/>
      <c r="E19" s="149"/>
      <c r="F19" s="149"/>
      <c r="G19" s="149"/>
      <c r="H19" s="149"/>
      <c r="I19" s="149"/>
      <c r="J19" s="149">
        <f aca="true" t="shared" si="24" ref="J19:R19">+G16</f>
        <v>262.79017945439995</v>
      </c>
      <c r="K19" s="149">
        <f t="shared" si="24"/>
        <v>270.9641764128</v>
      </c>
      <c r="L19" s="149">
        <f t="shared" si="24"/>
        <v>572.6664041473441</v>
      </c>
      <c r="M19" s="149">
        <f t="shared" si="24"/>
        <v>580.1366199676257</v>
      </c>
      <c r="N19" s="149">
        <f t="shared" si="24"/>
        <v>1877.50010418043</v>
      </c>
      <c r="O19" s="149">
        <f t="shared" si="24"/>
        <v>1907.380967461557</v>
      </c>
      <c r="P19" s="149">
        <f t="shared" si="24"/>
        <v>1907.380967461557</v>
      </c>
      <c r="Q19" s="149">
        <f t="shared" si="24"/>
        <v>1907.380967461557</v>
      </c>
      <c r="R19" s="149">
        <f t="shared" si="24"/>
        <v>1907.380967461557</v>
      </c>
      <c r="S19" s="149">
        <f t="shared" si="4"/>
        <v>6672.810152789533</v>
      </c>
      <c r="T19" s="149">
        <f t="shared" si="5"/>
        <v>6672.810152789533</v>
      </c>
      <c r="U19" s="149">
        <f t="shared" si="6"/>
        <v>6672.810152789533</v>
      </c>
      <c r="V19" s="149">
        <f t="shared" si="7"/>
        <v>6672.810152789533</v>
      </c>
      <c r="W19" s="149">
        <f t="shared" si="8"/>
        <v>6672.810152789533</v>
      </c>
      <c r="X19" s="149">
        <f t="shared" si="9"/>
        <v>7726.089325948422</v>
      </c>
      <c r="Y19" s="149">
        <f t="shared" si="10"/>
        <v>7726.089325948422</v>
      </c>
      <c r="Z19" s="149">
        <f t="shared" si="11"/>
        <v>7726.089325948422</v>
      </c>
      <c r="AA19" s="149">
        <f t="shared" si="12"/>
        <v>7726.089325948422</v>
      </c>
      <c r="AB19" s="149">
        <f t="shared" si="12"/>
        <v>7726.089325948422</v>
      </c>
      <c r="AC19" s="149">
        <f t="shared" si="12"/>
        <v>10318.384813888246</v>
      </c>
      <c r="AD19" s="149">
        <f t="shared" si="13"/>
        <v>10318.384813888246</v>
      </c>
      <c r="AE19" s="149">
        <f t="shared" si="14"/>
        <v>10318.384813888246</v>
      </c>
      <c r="AF19" s="149">
        <f t="shared" si="15"/>
        <v>10318.384813888246</v>
      </c>
      <c r="AG19" s="149">
        <f t="shared" si="16"/>
        <v>10318.384813888246</v>
      </c>
      <c r="AH19" s="149">
        <f t="shared" si="17"/>
        <v>12337.413507706404</v>
      </c>
      <c r="AI19" s="149">
        <f t="shared" si="18"/>
        <v>12337.413507706404</v>
      </c>
      <c r="AJ19" s="149">
        <f t="shared" si="19"/>
        <v>12337.413507706404</v>
      </c>
      <c r="AK19" s="149">
        <f t="shared" si="20"/>
        <v>12337.413507706404</v>
      </c>
      <c r="AL19" s="149">
        <f t="shared" si="21"/>
        <v>12337.413507706404</v>
      </c>
      <c r="AM19" s="149"/>
      <c r="AN19" s="405"/>
      <c r="AO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row>
    <row r="20" spans="1:116" s="150" customFormat="1" ht="18.75">
      <c r="A20" s="404"/>
      <c r="B20" s="147"/>
      <c r="C20" s="148"/>
      <c r="D20" s="149"/>
      <c r="E20" s="149"/>
      <c r="F20" s="149"/>
      <c r="G20" s="149"/>
      <c r="H20" s="149"/>
      <c r="I20" s="149"/>
      <c r="J20" s="149"/>
      <c r="K20" s="149">
        <f aca="true" t="shared" si="25" ref="K20:R20">+H17</f>
        <v>262.79017945439995</v>
      </c>
      <c r="L20" s="149">
        <f t="shared" si="25"/>
        <v>270.9641764128</v>
      </c>
      <c r="M20" s="149">
        <f t="shared" si="25"/>
        <v>572.6664041473441</v>
      </c>
      <c r="N20" s="149">
        <f t="shared" si="25"/>
        <v>580.1366199676257</v>
      </c>
      <c r="O20" s="149">
        <f t="shared" si="25"/>
        <v>1877.50010418043</v>
      </c>
      <c r="P20" s="149">
        <f t="shared" si="25"/>
        <v>1907.380967461557</v>
      </c>
      <c r="Q20" s="149">
        <f t="shared" si="25"/>
        <v>1907.380967461557</v>
      </c>
      <c r="R20" s="149">
        <f t="shared" si="25"/>
        <v>1907.380967461557</v>
      </c>
      <c r="S20" s="149">
        <f t="shared" si="4"/>
        <v>1907.380967461557</v>
      </c>
      <c r="T20" s="149">
        <f t="shared" si="5"/>
        <v>6672.810152789533</v>
      </c>
      <c r="U20" s="149">
        <f t="shared" si="6"/>
        <v>6672.810152789533</v>
      </c>
      <c r="V20" s="149">
        <f t="shared" si="7"/>
        <v>6672.810152789533</v>
      </c>
      <c r="W20" s="149">
        <f t="shared" si="8"/>
        <v>6672.810152789533</v>
      </c>
      <c r="X20" s="149">
        <f t="shared" si="9"/>
        <v>6672.810152789533</v>
      </c>
      <c r="Y20" s="149">
        <f t="shared" si="10"/>
        <v>7726.089325948422</v>
      </c>
      <c r="Z20" s="149">
        <f t="shared" si="11"/>
        <v>7726.089325948422</v>
      </c>
      <c r="AA20" s="149">
        <f t="shared" si="12"/>
        <v>7726.089325948422</v>
      </c>
      <c r="AB20" s="149">
        <f t="shared" si="12"/>
        <v>7726.089325948422</v>
      </c>
      <c r="AC20" s="149">
        <f t="shared" si="12"/>
        <v>7726.089325948422</v>
      </c>
      <c r="AD20" s="149">
        <f t="shared" si="13"/>
        <v>10318.384813888246</v>
      </c>
      <c r="AE20" s="149">
        <f t="shared" si="14"/>
        <v>10318.384813888246</v>
      </c>
      <c r="AF20" s="149">
        <f t="shared" si="15"/>
        <v>10318.384813888246</v>
      </c>
      <c r="AG20" s="149">
        <f t="shared" si="16"/>
        <v>10318.384813888246</v>
      </c>
      <c r="AH20" s="149">
        <f t="shared" si="17"/>
        <v>10318.384813888246</v>
      </c>
      <c r="AI20" s="149">
        <f t="shared" si="18"/>
        <v>12337.413507706404</v>
      </c>
      <c r="AJ20" s="149">
        <f t="shared" si="19"/>
        <v>12337.413507706404</v>
      </c>
      <c r="AK20" s="149">
        <f t="shared" si="20"/>
        <v>12337.413507706404</v>
      </c>
      <c r="AL20" s="149">
        <f t="shared" si="21"/>
        <v>12337.413507706404</v>
      </c>
      <c r="AM20" s="149"/>
      <c r="AN20" s="405"/>
      <c r="AO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row>
    <row r="21" spans="1:116" s="150" customFormat="1" ht="18.75">
      <c r="A21" s="404"/>
      <c r="B21" s="147"/>
      <c r="C21" s="148"/>
      <c r="D21" s="149"/>
      <c r="E21" s="149"/>
      <c r="F21" s="149"/>
      <c r="G21" s="149"/>
      <c r="H21" s="149"/>
      <c r="I21" s="149"/>
      <c r="J21" s="149"/>
      <c r="K21" s="149"/>
      <c r="L21" s="149">
        <f aca="true" t="shared" si="26" ref="L21:R21">+I18</f>
        <v>262.79017945439995</v>
      </c>
      <c r="M21" s="149">
        <f t="shared" si="26"/>
        <v>270.9641764128</v>
      </c>
      <c r="N21" s="149">
        <f t="shared" si="26"/>
        <v>572.6664041473441</v>
      </c>
      <c r="O21" s="149">
        <f t="shared" si="26"/>
        <v>580.1366199676257</v>
      </c>
      <c r="P21" s="149">
        <f t="shared" si="26"/>
        <v>1877.50010418043</v>
      </c>
      <c r="Q21" s="149">
        <f t="shared" si="26"/>
        <v>1907.380967461557</v>
      </c>
      <c r="R21" s="149">
        <f t="shared" si="26"/>
        <v>1907.380967461557</v>
      </c>
      <c r="S21" s="149">
        <f t="shared" si="4"/>
        <v>1907.380967461557</v>
      </c>
      <c r="T21" s="149">
        <f t="shared" si="5"/>
        <v>1907.380967461557</v>
      </c>
      <c r="U21" s="149">
        <f t="shared" si="6"/>
        <v>6672.810152789533</v>
      </c>
      <c r="V21" s="149">
        <f t="shared" si="7"/>
        <v>6672.810152789533</v>
      </c>
      <c r="W21" s="149">
        <f t="shared" si="8"/>
        <v>6672.810152789533</v>
      </c>
      <c r="X21" s="149">
        <f t="shared" si="9"/>
        <v>6672.810152789533</v>
      </c>
      <c r="Y21" s="149">
        <f t="shared" si="10"/>
        <v>6672.810152789533</v>
      </c>
      <c r="Z21" s="149">
        <f t="shared" si="11"/>
        <v>7726.089325948422</v>
      </c>
      <c r="AA21" s="149">
        <f t="shared" si="12"/>
        <v>7726.089325948422</v>
      </c>
      <c r="AB21" s="149">
        <f t="shared" si="12"/>
        <v>7726.089325948422</v>
      </c>
      <c r="AC21" s="149">
        <f t="shared" si="12"/>
        <v>7726.089325948422</v>
      </c>
      <c r="AD21" s="149">
        <f t="shared" si="13"/>
        <v>7726.089325948422</v>
      </c>
      <c r="AE21" s="149">
        <f t="shared" si="14"/>
        <v>10318.384813888246</v>
      </c>
      <c r="AF21" s="149">
        <f t="shared" si="15"/>
        <v>10318.384813888246</v>
      </c>
      <c r="AG21" s="149">
        <f t="shared" si="16"/>
        <v>10318.384813888246</v>
      </c>
      <c r="AH21" s="149">
        <f t="shared" si="17"/>
        <v>10318.384813888246</v>
      </c>
      <c r="AI21" s="149">
        <f t="shared" si="18"/>
        <v>10318.384813888246</v>
      </c>
      <c r="AJ21" s="149">
        <f t="shared" si="19"/>
        <v>12337.413507706404</v>
      </c>
      <c r="AK21" s="149">
        <f t="shared" si="20"/>
        <v>12337.413507706404</v>
      </c>
      <c r="AL21" s="149">
        <f t="shared" si="21"/>
        <v>12337.413507706404</v>
      </c>
      <c r="AM21" s="149"/>
      <c r="AN21" s="405"/>
      <c r="AO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row>
    <row r="22" spans="1:116" s="150" customFormat="1" ht="18.75">
      <c r="A22" s="404"/>
      <c r="B22" s="147"/>
      <c r="C22" s="148"/>
      <c r="D22" s="149"/>
      <c r="E22" s="149"/>
      <c r="F22" s="149"/>
      <c r="G22" s="149"/>
      <c r="H22" s="149"/>
      <c r="I22" s="149"/>
      <c r="J22" s="149"/>
      <c r="K22" s="149"/>
      <c r="L22" s="149"/>
      <c r="M22" s="149">
        <f aca="true" t="shared" si="27" ref="M22:R22">+J19</f>
        <v>262.79017945439995</v>
      </c>
      <c r="N22" s="149">
        <f t="shared" si="27"/>
        <v>270.9641764128</v>
      </c>
      <c r="O22" s="149">
        <f t="shared" si="27"/>
        <v>572.6664041473441</v>
      </c>
      <c r="P22" s="149">
        <f t="shared" si="27"/>
        <v>580.1366199676257</v>
      </c>
      <c r="Q22" s="149">
        <f t="shared" si="27"/>
        <v>1877.50010418043</v>
      </c>
      <c r="R22" s="149">
        <f t="shared" si="27"/>
        <v>1907.380967461557</v>
      </c>
      <c r="S22" s="149">
        <f t="shared" si="4"/>
        <v>1907.380967461557</v>
      </c>
      <c r="T22" s="149">
        <f t="shared" si="5"/>
        <v>1907.380967461557</v>
      </c>
      <c r="U22" s="149">
        <f t="shared" si="6"/>
        <v>1907.380967461557</v>
      </c>
      <c r="V22" s="149">
        <f t="shared" si="7"/>
        <v>6672.810152789533</v>
      </c>
      <c r="W22" s="149">
        <f t="shared" si="8"/>
        <v>6672.810152789533</v>
      </c>
      <c r="X22" s="149">
        <f t="shared" si="9"/>
        <v>6672.810152789533</v>
      </c>
      <c r="Y22" s="149">
        <f t="shared" si="10"/>
        <v>6672.810152789533</v>
      </c>
      <c r="Z22" s="149">
        <f t="shared" si="11"/>
        <v>6672.810152789533</v>
      </c>
      <c r="AA22" s="149">
        <f aca="true" t="shared" si="28" ref="AA22:AA32">+X19</f>
        <v>7726.089325948422</v>
      </c>
      <c r="AB22" s="149">
        <f aca="true" t="shared" si="29" ref="AB22:AB32">+Y19</f>
        <v>7726.089325948422</v>
      </c>
      <c r="AC22" s="149">
        <f aca="true" t="shared" si="30" ref="AC22:AC32">+Z19</f>
        <v>7726.089325948422</v>
      </c>
      <c r="AD22" s="149">
        <f t="shared" si="13"/>
        <v>7726.089325948422</v>
      </c>
      <c r="AE22" s="149">
        <f t="shared" si="14"/>
        <v>7726.089325948422</v>
      </c>
      <c r="AF22" s="149">
        <f t="shared" si="15"/>
        <v>10318.384813888246</v>
      </c>
      <c r="AG22" s="149">
        <f t="shared" si="16"/>
        <v>10318.384813888246</v>
      </c>
      <c r="AH22" s="149">
        <f t="shared" si="17"/>
        <v>10318.384813888246</v>
      </c>
      <c r="AI22" s="149">
        <f aca="true" t="shared" si="31" ref="AI22:AI32">+AF19</f>
        <v>10318.384813888246</v>
      </c>
      <c r="AJ22" s="149">
        <f t="shared" si="19"/>
        <v>10318.384813888246</v>
      </c>
      <c r="AK22" s="149">
        <f t="shared" si="20"/>
        <v>12337.413507706404</v>
      </c>
      <c r="AL22" s="149">
        <f t="shared" si="21"/>
        <v>12337.413507706404</v>
      </c>
      <c r="AM22" s="149"/>
      <c r="AN22" s="405"/>
      <c r="AO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row>
    <row r="23" spans="1:116" s="150" customFormat="1" ht="18.75">
      <c r="A23" s="404"/>
      <c r="B23" s="147"/>
      <c r="C23" s="148"/>
      <c r="D23" s="149"/>
      <c r="E23" s="149"/>
      <c r="F23" s="149"/>
      <c r="G23" s="149"/>
      <c r="H23" s="149"/>
      <c r="I23" s="149"/>
      <c r="J23" s="149"/>
      <c r="K23" s="149"/>
      <c r="L23" s="149"/>
      <c r="M23" s="149"/>
      <c r="N23" s="149">
        <f>+K20</f>
        <v>262.79017945439995</v>
      </c>
      <c r="O23" s="149">
        <f>+L20</f>
        <v>270.9641764128</v>
      </c>
      <c r="P23" s="149">
        <f>+M20</f>
        <v>572.6664041473441</v>
      </c>
      <c r="Q23" s="149">
        <f>+N20</f>
        <v>580.1366199676257</v>
      </c>
      <c r="R23" s="149">
        <f>+O20</f>
        <v>1877.50010418043</v>
      </c>
      <c r="S23" s="149">
        <f t="shared" si="4"/>
        <v>1907.380967461557</v>
      </c>
      <c r="T23" s="149">
        <f t="shared" si="5"/>
        <v>1907.380967461557</v>
      </c>
      <c r="U23" s="149">
        <f t="shared" si="6"/>
        <v>1907.380967461557</v>
      </c>
      <c r="V23" s="149">
        <f t="shared" si="7"/>
        <v>1907.380967461557</v>
      </c>
      <c r="W23" s="149">
        <f t="shared" si="8"/>
        <v>6672.810152789533</v>
      </c>
      <c r="X23" s="149">
        <f t="shared" si="9"/>
        <v>6672.810152789533</v>
      </c>
      <c r="Y23" s="149">
        <f t="shared" si="10"/>
        <v>6672.810152789533</v>
      </c>
      <c r="Z23" s="149">
        <f t="shared" si="11"/>
        <v>6672.810152789533</v>
      </c>
      <c r="AA23" s="149">
        <f t="shared" si="28"/>
        <v>6672.810152789533</v>
      </c>
      <c r="AB23" s="149">
        <f t="shared" si="29"/>
        <v>7726.089325948422</v>
      </c>
      <c r="AC23" s="149">
        <f t="shared" si="30"/>
        <v>7726.089325948422</v>
      </c>
      <c r="AD23" s="149">
        <f t="shared" si="13"/>
        <v>7726.089325948422</v>
      </c>
      <c r="AE23" s="149">
        <f t="shared" si="14"/>
        <v>7726.089325948422</v>
      </c>
      <c r="AF23" s="149">
        <f t="shared" si="15"/>
        <v>7726.089325948422</v>
      </c>
      <c r="AG23" s="149">
        <f t="shared" si="16"/>
        <v>10318.384813888246</v>
      </c>
      <c r="AH23" s="149">
        <f t="shared" si="17"/>
        <v>10318.384813888246</v>
      </c>
      <c r="AI23" s="149">
        <f t="shared" si="31"/>
        <v>10318.384813888246</v>
      </c>
      <c r="AJ23" s="149">
        <f t="shared" si="19"/>
        <v>10318.384813888246</v>
      </c>
      <c r="AK23" s="149">
        <f t="shared" si="20"/>
        <v>10318.384813888246</v>
      </c>
      <c r="AL23" s="149">
        <f t="shared" si="21"/>
        <v>12337.413507706404</v>
      </c>
      <c r="AM23" s="149"/>
      <c r="AN23" s="405"/>
      <c r="AO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row>
    <row r="24" spans="1:116" s="150" customFormat="1" ht="18.75">
      <c r="A24" s="404"/>
      <c r="B24" s="147"/>
      <c r="C24" s="148"/>
      <c r="D24" s="149"/>
      <c r="E24" s="149"/>
      <c r="F24" s="149"/>
      <c r="G24" s="149"/>
      <c r="H24" s="149"/>
      <c r="I24" s="149"/>
      <c r="J24" s="149"/>
      <c r="K24" s="149"/>
      <c r="L24" s="149"/>
      <c r="M24" s="149"/>
      <c r="N24" s="149"/>
      <c r="O24" s="149">
        <f>+L21</f>
        <v>262.79017945439995</v>
      </c>
      <c r="P24" s="149">
        <f>+M21</f>
        <v>270.9641764128</v>
      </c>
      <c r="Q24" s="149">
        <f>+N21</f>
        <v>572.6664041473441</v>
      </c>
      <c r="R24" s="149">
        <f>+O21</f>
        <v>580.1366199676257</v>
      </c>
      <c r="S24" s="149">
        <f t="shared" si="4"/>
        <v>1877.50010418043</v>
      </c>
      <c r="T24" s="149">
        <f t="shared" si="5"/>
        <v>1907.380967461557</v>
      </c>
      <c r="U24" s="149">
        <f t="shared" si="6"/>
        <v>1907.380967461557</v>
      </c>
      <c r="V24" s="149">
        <f t="shared" si="7"/>
        <v>1907.380967461557</v>
      </c>
      <c r="W24" s="149">
        <f t="shared" si="8"/>
        <v>1907.380967461557</v>
      </c>
      <c r="X24" s="149">
        <f t="shared" si="9"/>
        <v>6672.810152789533</v>
      </c>
      <c r="Y24" s="149">
        <f t="shared" si="10"/>
        <v>6672.810152789533</v>
      </c>
      <c r="Z24" s="149">
        <f t="shared" si="11"/>
        <v>6672.810152789533</v>
      </c>
      <c r="AA24" s="149">
        <f t="shared" si="28"/>
        <v>6672.810152789533</v>
      </c>
      <c r="AB24" s="149">
        <f t="shared" si="29"/>
        <v>6672.810152789533</v>
      </c>
      <c r="AC24" s="149">
        <f t="shared" si="30"/>
        <v>7726.089325948422</v>
      </c>
      <c r="AD24" s="149">
        <f t="shared" si="13"/>
        <v>7726.089325948422</v>
      </c>
      <c r="AE24" s="149">
        <f t="shared" si="14"/>
        <v>7726.089325948422</v>
      </c>
      <c r="AF24" s="149">
        <f t="shared" si="15"/>
        <v>7726.089325948422</v>
      </c>
      <c r="AG24" s="149">
        <f t="shared" si="16"/>
        <v>7726.089325948422</v>
      </c>
      <c r="AH24" s="149">
        <f t="shared" si="17"/>
        <v>10318.384813888246</v>
      </c>
      <c r="AI24" s="149">
        <f t="shared" si="31"/>
        <v>10318.384813888246</v>
      </c>
      <c r="AJ24" s="149">
        <f t="shared" si="19"/>
        <v>10318.384813888246</v>
      </c>
      <c r="AK24" s="149">
        <f t="shared" si="20"/>
        <v>10318.384813888246</v>
      </c>
      <c r="AL24" s="149">
        <f t="shared" si="21"/>
        <v>10318.384813888246</v>
      </c>
      <c r="AM24" s="149"/>
      <c r="AN24" s="405"/>
      <c r="AO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row>
    <row r="25" spans="1:116" s="150" customFormat="1" ht="18.75">
      <c r="A25" s="404"/>
      <c r="B25" s="147"/>
      <c r="C25" s="148"/>
      <c r="D25" s="149"/>
      <c r="E25" s="149"/>
      <c r="F25" s="149"/>
      <c r="G25" s="149"/>
      <c r="H25" s="149"/>
      <c r="I25" s="149"/>
      <c r="J25" s="149"/>
      <c r="K25" s="149"/>
      <c r="L25" s="149"/>
      <c r="M25" s="149"/>
      <c r="N25" s="149"/>
      <c r="O25" s="149"/>
      <c r="P25" s="149">
        <f>+M22</f>
        <v>262.79017945439995</v>
      </c>
      <c r="Q25" s="149">
        <f>+N22</f>
        <v>270.9641764128</v>
      </c>
      <c r="R25" s="149">
        <f>+O22</f>
        <v>572.6664041473441</v>
      </c>
      <c r="S25" s="149">
        <f t="shared" si="4"/>
        <v>580.1366199676257</v>
      </c>
      <c r="T25" s="149">
        <f t="shared" si="5"/>
        <v>1877.50010418043</v>
      </c>
      <c r="U25" s="149">
        <f t="shared" si="6"/>
        <v>1907.380967461557</v>
      </c>
      <c r="V25" s="149">
        <f t="shared" si="7"/>
        <v>1907.380967461557</v>
      </c>
      <c r="W25" s="149">
        <f t="shared" si="8"/>
        <v>1907.380967461557</v>
      </c>
      <c r="X25" s="149">
        <f t="shared" si="9"/>
        <v>1907.380967461557</v>
      </c>
      <c r="Y25" s="149">
        <f t="shared" si="10"/>
        <v>6672.810152789533</v>
      </c>
      <c r="Z25" s="149">
        <f t="shared" si="11"/>
        <v>6672.810152789533</v>
      </c>
      <c r="AA25" s="149">
        <f t="shared" si="28"/>
        <v>6672.810152789533</v>
      </c>
      <c r="AB25" s="149">
        <f t="shared" si="29"/>
        <v>6672.810152789533</v>
      </c>
      <c r="AC25" s="149">
        <f t="shared" si="30"/>
        <v>6672.810152789533</v>
      </c>
      <c r="AD25" s="149">
        <f t="shared" si="13"/>
        <v>7726.089325948422</v>
      </c>
      <c r="AE25" s="149">
        <f t="shared" si="14"/>
        <v>7726.089325948422</v>
      </c>
      <c r="AF25" s="149">
        <f t="shared" si="15"/>
        <v>7726.089325948422</v>
      </c>
      <c r="AG25" s="149">
        <f t="shared" si="16"/>
        <v>7726.089325948422</v>
      </c>
      <c r="AH25" s="149">
        <f t="shared" si="17"/>
        <v>7726.089325948422</v>
      </c>
      <c r="AI25" s="149">
        <f t="shared" si="31"/>
        <v>10318.384813888246</v>
      </c>
      <c r="AJ25" s="149">
        <f t="shared" si="19"/>
        <v>10318.384813888246</v>
      </c>
      <c r="AK25" s="149">
        <f t="shared" si="20"/>
        <v>10318.384813888246</v>
      </c>
      <c r="AL25" s="149">
        <f t="shared" si="21"/>
        <v>10318.384813888246</v>
      </c>
      <c r="AM25" s="149"/>
      <c r="AN25" s="405"/>
      <c r="AO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row>
    <row r="26" spans="1:116" s="150" customFormat="1" ht="18.75">
      <c r="A26" s="404"/>
      <c r="B26" s="147"/>
      <c r="C26" s="148"/>
      <c r="D26" s="149"/>
      <c r="E26" s="149"/>
      <c r="F26" s="149"/>
      <c r="G26" s="149"/>
      <c r="H26" s="149"/>
      <c r="I26" s="149"/>
      <c r="J26" s="149"/>
      <c r="K26" s="149"/>
      <c r="L26" s="149"/>
      <c r="M26" s="149"/>
      <c r="N26" s="149"/>
      <c r="O26" s="149"/>
      <c r="P26" s="149"/>
      <c r="Q26" s="149">
        <f>+N23</f>
        <v>262.79017945439995</v>
      </c>
      <c r="R26" s="149">
        <f>+O23</f>
        <v>270.9641764128</v>
      </c>
      <c r="S26" s="149">
        <f t="shared" si="4"/>
        <v>572.6664041473441</v>
      </c>
      <c r="T26" s="149">
        <f t="shared" si="5"/>
        <v>580.1366199676257</v>
      </c>
      <c r="U26" s="149">
        <f t="shared" si="6"/>
        <v>1877.50010418043</v>
      </c>
      <c r="V26" s="149">
        <f t="shared" si="7"/>
        <v>1907.380967461557</v>
      </c>
      <c r="W26" s="149">
        <f t="shared" si="8"/>
        <v>1907.380967461557</v>
      </c>
      <c r="X26" s="149">
        <f t="shared" si="9"/>
        <v>1907.380967461557</v>
      </c>
      <c r="Y26" s="149">
        <f t="shared" si="10"/>
        <v>1907.380967461557</v>
      </c>
      <c r="Z26" s="149">
        <f t="shared" si="11"/>
        <v>6672.810152789533</v>
      </c>
      <c r="AA26" s="149">
        <f t="shared" si="28"/>
        <v>6672.810152789533</v>
      </c>
      <c r="AB26" s="149">
        <f t="shared" si="29"/>
        <v>6672.810152789533</v>
      </c>
      <c r="AC26" s="149">
        <f t="shared" si="30"/>
        <v>6672.810152789533</v>
      </c>
      <c r="AD26" s="149">
        <f t="shared" si="13"/>
        <v>6672.810152789533</v>
      </c>
      <c r="AE26" s="149">
        <f t="shared" si="14"/>
        <v>7726.089325948422</v>
      </c>
      <c r="AF26" s="149">
        <f t="shared" si="15"/>
        <v>7726.089325948422</v>
      </c>
      <c r="AG26" s="149">
        <f t="shared" si="16"/>
        <v>7726.089325948422</v>
      </c>
      <c r="AH26" s="149">
        <f t="shared" si="17"/>
        <v>7726.089325948422</v>
      </c>
      <c r="AI26" s="149">
        <f t="shared" si="31"/>
        <v>7726.089325948422</v>
      </c>
      <c r="AJ26" s="149">
        <f t="shared" si="19"/>
        <v>10318.384813888246</v>
      </c>
      <c r="AK26" s="149">
        <f t="shared" si="20"/>
        <v>10318.384813888246</v>
      </c>
      <c r="AL26" s="149">
        <f t="shared" si="21"/>
        <v>10318.384813888246</v>
      </c>
      <c r="AM26" s="149"/>
      <c r="AN26" s="405"/>
      <c r="AO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row>
    <row r="27" spans="1:116" s="150" customFormat="1" ht="18.75">
      <c r="A27" s="404"/>
      <c r="B27" s="147"/>
      <c r="C27" s="148"/>
      <c r="D27" s="149"/>
      <c r="E27" s="149"/>
      <c r="F27" s="149"/>
      <c r="G27" s="149"/>
      <c r="H27" s="149"/>
      <c r="I27" s="149"/>
      <c r="J27" s="149"/>
      <c r="K27" s="149"/>
      <c r="L27" s="149"/>
      <c r="M27" s="149"/>
      <c r="N27" s="149"/>
      <c r="O27" s="149"/>
      <c r="P27" s="149"/>
      <c r="Q27" s="149"/>
      <c r="R27" s="149">
        <f>+O24</f>
        <v>262.79017945439995</v>
      </c>
      <c r="S27" s="149">
        <f t="shared" si="4"/>
        <v>270.9641764128</v>
      </c>
      <c r="T27" s="149">
        <f t="shared" si="5"/>
        <v>572.6664041473441</v>
      </c>
      <c r="U27" s="149">
        <f t="shared" si="6"/>
        <v>580.1366199676257</v>
      </c>
      <c r="V27" s="149">
        <f t="shared" si="7"/>
        <v>1877.50010418043</v>
      </c>
      <c r="W27" s="149">
        <f t="shared" si="8"/>
        <v>1907.380967461557</v>
      </c>
      <c r="X27" s="149">
        <f t="shared" si="9"/>
        <v>1907.380967461557</v>
      </c>
      <c r="Y27" s="149">
        <f t="shared" si="10"/>
        <v>1907.380967461557</v>
      </c>
      <c r="Z27" s="149">
        <f t="shared" si="11"/>
        <v>1907.380967461557</v>
      </c>
      <c r="AA27" s="149">
        <f t="shared" si="28"/>
        <v>6672.810152789533</v>
      </c>
      <c r="AB27" s="149">
        <f t="shared" si="29"/>
        <v>6672.810152789533</v>
      </c>
      <c r="AC27" s="149">
        <f t="shared" si="30"/>
        <v>6672.810152789533</v>
      </c>
      <c r="AD27" s="149">
        <f t="shared" si="13"/>
        <v>6672.810152789533</v>
      </c>
      <c r="AE27" s="149">
        <f t="shared" si="14"/>
        <v>6672.810152789533</v>
      </c>
      <c r="AF27" s="149">
        <f t="shared" si="15"/>
        <v>7726.089325948422</v>
      </c>
      <c r="AG27" s="149">
        <f t="shared" si="16"/>
        <v>7726.089325948422</v>
      </c>
      <c r="AH27" s="149">
        <f t="shared" si="17"/>
        <v>7726.089325948422</v>
      </c>
      <c r="AI27" s="149">
        <f t="shared" si="31"/>
        <v>7726.089325948422</v>
      </c>
      <c r="AJ27" s="149">
        <f t="shared" si="19"/>
        <v>7726.089325948422</v>
      </c>
      <c r="AK27" s="149">
        <f t="shared" si="20"/>
        <v>10318.384813888246</v>
      </c>
      <c r="AL27" s="149">
        <f t="shared" si="21"/>
        <v>10318.384813888246</v>
      </c>
      <c r="AM27" s="149"/>
      <c r="AN27" s="405"/>
      <c r="AO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row>
    <row r="28" spans="1:116" s="150" customFormat="1" ht="18.75">
      <c r="A28" s="404"/>
      <c r="B28" s="147"/>
      <c r="C28" s="148"/>
      <c r="D28" s="149"/>
      <c r="E28" s="149"/>
      <c r="F28" s="149"/>
      <c r="G28" s="149"/>
      <c r="H28" s="149"/>
      <c r="I28" s="149"/>
      <c r="J28" s="149"/>
      <c r="K28" s="149"/>
      <c r="L28" s="149"/>
      <c r="M28" s="149"/>
      <c r="N28" s="149"/>
      <c r="O28" s="149"/>
      <c r="P28" s="149"/>
      <c r="Q28" s="149"/>
      <c r="R28" s="149"/>
      <c r="S28" s="149">
        <f>+P25</f>
        <v>262.79017945439995</v>
      </c>
      <c r="T28" s="149">
        <f t="shared" si="5"/>
        <v>270.9641764128</v>
      </c>
      <c r="U28" s="149">
        <f t="shared" si="6"/>
        <v>572.6664041473441</v>
      </c>
      <c r="V28" s="149">
        <f t="shared" si="7"/>
        <v>580.1366199676257</v>
      </c>
      <c r="W28" s="149">
        <f t="shared" si="8"/>
        <v>1877.50010418043</v>
      </c>
      <c r="X28" s="149">
        <f t="shared" si="9"/>
        <v>1907.380967461557</v>
      </c>
      <c r="Y28" s="149">
        <f t="shared" si="10"/>
        <v>1907.380967461557</v>
      </c>
      <c r="Z28" s="149">
        <f t="shared" si="11"/>
        <v>1907.380967461557</v>
      </c>
      <c r="AA28" s="149">
        <f t="shared" si="28"/>
        <v>1907.380967461557</v>
      </c>
      <c r="AB28" s="149">
        <f t="shared" si="29"/>
        <v>6672.810152789533</v>
      </c>
      <c r="AC28" s="149">
        <f t="shared" si="30"/>
        <v>6672.810152789533</v>
      </c>
      <c r="AD28" s="149">
        <f t="shared" si="13"/>
        <v>6672.810152789533</v>
      </c>
      <c r="AE28" s="149">
        <f t="shared" si="14"/>
        <v>6672.810152789533</v>
      </c>
      <c r="AF28" s="149">
        <f t="shared" si="15"/>
        <v>6672.810152789533</v>
      </c>
      <c r="AG28" s="149">
        <f t="shared" si="16"/>
        <v>7726.089325948422</v>
      </c>
      <c r="AH28" s="149">
        <f t="shared" si="17"/>
        <v>7726.089325948422</v>
      </c>
      <c r="AI28" s="149">
        <f t="shared" si="31"/>
        <v>7726.089325948422</v>
      </c>
      <c r="AJ28" s="149">
        <f t="shared" si="19"/>
        <v>7726.089325948422</v>
      </c>
      <c r="AK28" s="149">
        <f t="shared" si="20"/>
        <v>7726.089325948422</v>
      </c>
      <c r="AL28" s="149">
        <f t="shared" si="21"/>
        <v>10318.384813888246</v>
      </c>
      <c r="AM28" s="149"/>
      <c r="AN28" s="405"/>
      <c r="AO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row>
    <row r="29" spans="1:116" s="150" customFormat="1" ht="18.75">
      <c r="A29" s="404"/>
      <c r="B29" s="147"/>
      <c r="C29" s="148"/>
      <c r="D29" s="149"/>
      <c r="E29" s="149"/>
      <c r="F29" s="149"/>
      <c r="G29" s="149"/>
      <c r="H29" s="149"/>
      <c r="I29" s="149"/>
      <c r="J29" s="149"/>
      <c r="K29" s="149"/>
      <c r="L29" s="149"/>
      <c r="M29" s="149"/>
      <c r="N29" s="149"/>
      <c r="O29" s="149"/>
      <c r="P29" s="149"/>
      <c r="Q29" s="149"/>
      <c r="R29" s="149"/>
      <c r="S29" s="149"/>
      <c r="T29" s="149">
        <f>+Q26</f>
        <v>262.79017945439995</v>
      </c>
      <c r="U29" s="149">
        <f t="shared" si="6"/>
        <v>270.9641764128</v>
      </c>
      <c r="V29" s="149">
        <f t="shared" si="7"/>
        <v>572.6664041473441</v>
      </c>
      <c r="W29" s="149">
        <f t="shared" si="8"/>
        <v>580.1366199676257</v>
      </c>
      <c r="X29" s="149">
        <f t="shared" si="9"/>
        <v>1877.50010418043</v>
      </c>
      <c r="Y29" s="149">
        <f t="shared" si="10"/>
        <v>1907.380967461557</v>
      </c>
      <c r="Z29" s="149">
        <f t="shared" si="11"/>
        <v>1907.380967461557</v>
      </c>
      <c r="AA29" s="149">
        <f t="shared" si="28"/>
        <v>1907.380967461557</v>
      </c>
      <c r="AB29" s="149">
        <f t="shared" si="29"/>
        <v>1907.380967461557</v>
      </c>
      <c r="AC29" s="149">
        <f t="shared" si="30"/>
        <v>6672.810152789533</v>
      </c>
      <c r="AD29" s="149">
        <f t="shared" si="13"/>
        <v>6672.810152789533</v>
      </c>
      <c r="AE29" s="149">
        <f t="shared" si="14"/>
        <v>6672.810152789533</v>
      </c>
      <c r="AF29" s="149">
        <f t="shared" si="15"/>
        <v>6672.810152789533</v>
      </c>
      <c r="AG29" s="149">
        <f t="shared" si="16"/>
        <v>6672.810152789533</v>
      </c>
      <c r="AH29" s="149">
        <f t="shared" si="17"/>
        <v>7726.089325948422</v>
      </c>
      <c r="AI29" s="149">
        <f t="shared" si="31"/>
        <v>7726.089325948422</v>
      </c>
      <c r="AJ29" s="149">
        <f t="shared" si="19"/>
        <v>7726.089325948422</v>
      </c>
      <c r="AK29" s="149">
        <f t="shared" si="20"/>
        <v>7726.089325948422</v>
      </c>
      <c r="AL29" s="149">
        <f t="shared" si="21"/>
        <v>7726.089325948422</v>
      </c>
      <c r="AM29" s="149"/>
      <c r="AN29" s="405"/>
      <c r="AO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row>
    <row r="30" spans="1:116" s="150" customFormat="1" ht="18.75">
      <c r="A30" s="404"/>
      <c r="B30" s="147"/>
      <c r="C30" s="148"/>
      <c r="D30" s="149"/>
      <c r="E30" s="149"/>
      <c r="F30" s="149"/>
      <c r="G30" s="149"/>
      <c r="H30" s="149"/>
      <c r="I30" s="149"/>
      <c r="J30" s="149"/>
      <c r="K30" s="149"/>
      <c r="L30" s="149"/>
      <c r="M30" s="149"/>
      <c r="N30" s="149"/>
      <c r="O30" s="149"/>
      <c r="P30" s="149"/>
      <c r="Q30" s="149"/>
      <c r="R30" s="149"/>
      <c r="S30" s="149"/>
      <c r="T30" s="149"/>
      <c r="U30" s="149">
        <f>+R27</f>
        <v>262.79017945439995</v>
      </c>
      <c r="V30" s="149">
        <f t="shared" si="7"/>
        <v>270.9641764128</v>
      </c>
      <c r="W30" s="149">
        <f t="shared" si="8"/>
        <v>572.6664041473441</v>
      </c>
      <c r="X30" s="149">
        <f t="shared" si="9"/>
        <v>580.1366199676257</v>
      </c>
      <c r="Y30" s="149">
        <f t="shared" si="10"/>
        <v>1877.50010418043</v>
      </c>
      <c r="Z30" s="149">
        <f t="shared" si="11"/>
        <v>1907.380967461557</v>
      </c>
      <c r="AA30" s="149">
        <f t="shared" si="28"/>
        <v>1907.380967461557</v>
      </c>
      <c r="AB30" s="149">
        <f t="shared" si="29"/>
        <v>1907.380967461557</v>
      </c>
      <c r="AC30" s="149">
        <f t="shared" si="30"/>
        <v>1907.380967461557</v>
      </c>
      <c r="AD30" s="149">
        <f t="shared" si="13"/>
        <v>6672.810152789533</v>
      </c>
      <c r="AE30" s="149">
        <f t="shared" si="14"/>
        <v>6672.810152789533</v>
      </c>
      <c r="AF30" s="149">
        <f t="shared" si="15"/>
        <v>6672.810152789533</v>
      </c>
      <c r="AG30" s="149">
        <f t="shared" si="16"/>
        <v>6672.810152789533</v>
      </c>
      <c r="AH30" s="149">
        <f t="shared" si="17"/>
        <v>6672.810152789533</v>
      </c>
      <c r="AI30" s="149">
        <f t="shared" si="31"/>
        <v>7726.089325948422</v>
      </c>
      <c r="AJ30" s="149">
        <f t="shared" si="19"/>
        <v>7726.089325948422</v>
      </c>
      <c r="AK30" s="149">
        <f t="shared" si="20"/>
        <v>7726.089325948422</v>
      </c>
      <c r="AL30" s="149">
        <f t="shared" si="21"/>
        <v>7726.089325948422</v>
      </c>
      <c r="AM30" s="149"/>
      <c r="AN30" s="405"/>
      <c r="AO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row>
    <row r="31" spans="1:116" s="150" customFormat="1" ht="18.75">
      <c r="A31" s="404"/>
      <c r="B31" s="147"/>
      <c r="C31" s="148"/>
      <c r="D31" s="149"/>
      <c r="E31" s="149"/>
      <c r="F31" s="149"/>
      <c r="G31" s="149"/>
      <c r="H31" s="149"/>
      <c r="I31" s="149"/>
      <c r="J31" s="149"/>
      <c r="K31" s="149"/>
      <c r="L31" s="149"/>
      <c r="M31" s="149"/>
      <c r="N31" s="149"/>
      <c r="O31" s="149"/>
      <c r="P31" s="149"/>
      <c r="Q31" s="149"/>
      <c r="R31" s="149"/>
      <c r="S31" s="149"/>
      <c r="T31" s="149"/>
      <c r="U31" s="149"/>
      <c r="V31" s="149">
        <f>+S28</f>
        <v>262.79017945439995</v>
      </c>
      <c r="W31" s="149">
        <f>+T28</f>
        <v>270.9641764128</v>
      </c>
      <c r="X31" s="149">
        <f t="shared" si="9"/>
        <v>572.6664041473441</v>
      </c>
      <c r="Y31" s="149">
        <f t="shared" si="10"/>
        <v>580.1366199676257</v>
      </c>
      <c r="Z31" s="149">
        <f t="shared" si="11"/>
        <v>1877.50010418043</v>
      </c>
      <c r="AA31" s="149">
        <f t="shared" si="28"/>
        <v>1907.380967461557</v>
      </c>
      <c r="AB31" s="149">
        <f t="shared" si="29"/>
        <v>1907.380967461557</v>
      </c>
      <c r="AC31" s="149">
        <f t="shared" si="30"/>
        <v>1907.380967461557</v>
      </c>
      <c r="AD31" s="149">
        <f t="shared" si="13"/>
        <v>1907.380967461557</v>
      </c>
      <c r="AE31" s="149">
        <f t="shared" si="14"/>
        <v>6672.810152789533</v>
      </c>
      <c r="AF31" s="149">
        <f t="shared" si="15"/>
        <v>6672.810152789533</v>
      </c>
      <c r="AG31" s="149">
        <f t="shared" si="16"/>
        <v>6672.810152789533</v>
      </c>
      <c r="AH31" s="149">
        <f t="shared" si="17"/>
        <v>6672.810152789533</v>
      </c>
      <c r="AI31" s="149">
        <f t="shared" si="31"/>
        <v>6672.810152789533</v>
      </c>
      <c r="AJ31" s="149">
        <f t="shared" si="19"/>
        <v>7726.089325948422</v>
      </c>
      <c r="AK31" s="149">
        <f t="shared" si="20"/>
        <v>7726.089325948422</v>
      </c>
      <c r="AL31" s="149">
        <f t="shared" si="21"/>
        <v>7726.089325948422</v>
      </c>
      <c r="AM31" s="149"/>
      <c r="AN31" s="405"/>
      <c r="AO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row>
    <row r="32" spans="1:116" s="150" customFormat="1" ht="18.75">
      <c r="A32" s="404"/>
      <c r="B32" s="147"/>
      <c r="C32" s="148"/>
      <c r="D32" s="149"/>
      <c r="E32" s="149"/>
      <c r="F32" s="149"/>
      <c r="G32" s="149"/>
      <c r="H32" s="149"/>
      <c r="I32" s="149"/>
      <c r="J32" s="149"/>
      <c r="K32" s="149"/>
      <c r="L32" s="149"/>
      <c r="M32" s="149"/>
      <c r="N32" s="149"/>
      <c r="O32" s="149"/>
      <c r="P32" s="149"/>
      <c r="Q32" s="149"/>
      <c r="R32" s="149"/>
      <c r="S32" s="149"/>
      <c r="T32" s="149"/>
      <c r="U32" s="149"/>
      <c r="V32" s="149"/>
      <c r="W32" s="149">
        <f>+T29</f>
        <v>262.79017945439995</v>
      </c>
      <c r="X32" s="149">
        <f t="shared" si="9"/>
        <v>270.9641764128</v>
      </c>
      <c r="Y32" s="149">
        <f t="shared" si="10"/>
        <v>572.6664041473441</v>
      </c>
      <c r="Z32" s="149">
        <f t="shared" si="11"/>
        <v>580.1366199676257</v>
      </c>
      <c r="AA32" s="149">
        <f t="shared" si="28"/>
        <v>1877.50010418043</v>
      </c>
      <c r="AB32" s="149">
        <f t="shared" si="29"/>
        <v>1907.380967461557</v>
      </c>
      <c r="AC32" s="149">
        <f t="shared" si="30"/>
        <v>1907.380967461557</v>
      </c>
      <c r="AD32" s="149">
        <f t="shared" si="13"/>
        <v>1907.380967461557</v>
      </c>
      <c r="AE32" s="149">
        <f t="shared" si="14"/>
        <v>1907.380967461557</v>
      </c>
      <c r="AF32" s="149">
        <f t="shared" si="15"/>
        <v>6672.810152789533</v>
      </c>
      <c r="AG32" s="149">
        <f t="shared" si="16"/>
        <v>6672.810152789533</v>
      </c>
      <c r="AH32" s="149">
        <f t="shared" si="17"/>
        <v>6672.810152789533</v>
      </c>
      <c r="AI32" s="149">
        <f t="shared" si="31"/>
        <v>6672.810152789533</v>
      </c>
      <c r="AJ32" s="149">
        <f t="shared" si="19"/>
        <v>6672.810152789533</v>
      </c>
      <c r="AK32" s="149">
        <f t="shared" si="20"/>
        <v>7726.089325948422</v>
      </c>
      <c r="AL32" s="149">
        <f t="shared" si="21"/>
        <v>7726.089325948422</v>
      </c>
      <c r="AM32" s="149"/>
      <c r="AN32" s="405"/>
      <c r="AO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row>
    <row r="33" spans="1:116" s="279" customFormat="1" ht="18.75">
      <c r="A33" s="411"/>
      <c r="B33" s="277"/>
      <c r="C33" s="277"/>
      <c r="D33" s="277">
        <f aca="true" t="shared" si="32" ref="D33:V33">SUM(D13:D32)</f>
        <v>262.79017945439995</v>
      </c>
      <c r="E33" s="277">
        <f t="shared" si="32"/>
        <v>533.7543558671999</v>
      </c>
      <c r="F33" s="277">
        <f t="shared" si="32"/>
        <v>1106.4207600145442</v>
      </c>
      <c r="G33" s="277">
        <f t="shared" si="32"/>
        <v>1686.55737998217</v>
      </c>
      <c r="H33" s="277">
        <f t="shared" si="32"/>
        <v>3564.0574841626</v>
      </c>
      <c r="I33" s="277">
        <f t="shared" si="32"/>
        <v>5471.438451624156</v>
      </c>
      <c r="J33" s="277">
        <f t="shared" si="32"/>
        <v>7378.819419085714</v>
      </c>
      <c r="K33" s="277">
        <f t="shared" si="32"/>
        <v>9286.20038654727</v>
      </c>
      <c r="L33" s="277">
        <f t="shared" si="32"/>
        <v>11193.581354008826</v>
      </c>
      <c r="M33" s="277">
        <f t="shared" si="32"/>
        <v>17866.39150679836</v>
      </c>
      <c r="N33" s="277">
        <f t="shared" si="32"/>
        <v>24539.201659587903</v>
      </c>
      <c r="O33" s="277">
        <f t="shared" si="32"/>
        <v>31212.011812377437</v>
      </c>
      <c r="P33" s="277">
        <f t="shared" si="32"/>
        <v>37884.821965166964</v>
      </c>
      <c r="Q33" s="277">
        <f t="shared" si="32"/>
        <v>44557.632117956484</v>
      </c>
      <c r="R33" s="277">
        <f t="shared" si="32"/>
        <v>52283.72144390491</v>
      </c>
      <c r="S33" s="277">
        <f t="shared" si="32"/>
        <v>60009.810769853335</v>
      </c>
      <c r="T33" s="277">
        <f t="shared" si="32"/>
        <v>67735.90009580176</v>
      </c>
      <c r="U33" s="277">
        <f t="shared" si="32"/>
        <v>75461.98942175022</v>
      </c>
      <c r="V33" s="277">
        <f t="shared" si="32"/>
        <v>83188.07874769863</v>
      </c>
      <c r="W33" s="277">
        <f>SUM(W13:W32)</f>
        <v>93506.46356158688</v>
      </c>
      <c r="X33" s="277">
        <f aca="true" t="shared" si="33" ref="X33:AL33">SUM(X13:X32)</f>
        <v>103562.05819602072</v>
      </c>
      <c r="Y33" s="277">
        <f t="shared" si="33"/>
        <v>113609.47883349618</v>
      </c>
      <c r="Z33" s="277">
        <f t="shared" si="33"/>
        <v>123355.19724323707</v>
      </c>
      <c r="AA33" s="277">
        <f t="shared" si="33"/>
        <v>133093.44543715764</v>
      </c>
      <c r="AB33" s="277">
        <f t="shared" si="33"/>
        <v>143553.35884068362</v>
      </c>
      <c r="AC33" s="277">
        <f t="shared" si="33"/>
        <v>153983.39138092843</v>
      </c>
      <c r="AD33" s="277">
        <f t="shared" si="33"/>
        <v>164413.42392117323</v>
      </c>
      <c r="AE33" s="277">
        <f t="shared" si="33"/>
        <v>174843.4564614181</v>
      </c>
      <c r="AF33" s="277">
        <f t="shared" si="33"/>
        <v>185273.48900166294</v>
      </c>
      <c r="AG33" s="277">
        <f t="shared" si="33"/>
        <v>195836.29957186725</v>
      </c>
      <c r="AH33" s="277">
        <f t="shared" si="33"/>
        <v>206399.1101420716</v>
      </c>
      <c r="AI33" s="277">
        <f t="shared" si="33"/>
        <v>216961.92071227587</v>
      </c>
      <c r="AJ33" s="277">
        <f t="shared" si="33"/>
        <v>227524.73128248015</v>
      </c>
      <c r="AK33" s="277">
        <f t="shared" si="33"/>
        <v>238087.5418526845</v>
      </c>
      <c r="AL33" s="277">
        <f t="shared" si="33"/>
        <v>247597.07324972993</v>
      </c>
      <c r="AM33" s="277"/>
      <c r="AN33" s="412"/>
      <c r="AO33" s="278"/>
      <c r="BX33" s="278"/>
      <c r="BY33" s="278"/>
      <c r="BZ33" s="278"/>
      <c r="CA33" s="278"/>
      <c r="CB33" s="278"/>
      <c r="CC33" s="278"/>
      <c r="CD33" s="278"/>
      <c r="CE33" s="278"/>
      <c r="CF33" s="278"/>
      <c r="CG33" s="278"/>
      <c r="CH33" s="278"/>
      <c r="CI33" s="278"/>
      <c r="CJ33" s="278"/>
      <c r="CK33" s="278"/>
      <c r="CL33" s="278"/>
      <c r="CM33" s="278"/>
      <c r="CN33" s="278"/>
      <c r="CO33" s="278"/>
      <c r="CP33" s="278"/>
      <c r="CQ33" s="278"/>
      <c r="CR33" s="278"/>
      <c r="CS33" s="278"/>
      <c r="CT33" s="278"/>
      <c r="CU33" s="278"/>
      <c r="CV33" s="278"/>
      <c r="CW33" s="278"/>
      <c r="CX33" s="278"/>
      <c r="CY33" s="278"/>
      <c r="CZ33" s="278"/>
      <c r="DA33" s="278"/>
      <c r="DB33" s="278"/>
      <c r="DC33" s="278"/>
      <c r="DD33" s="278"/>
      <c r="DE33" s="278"/>
      <c r="DF33" s="278"/>
      <c r="DG33" s="278"/>
      <c r="DH33" s="278"/>
      <c r="DI33" s="278"/>
      <c r="DJ33" s="278"/>
      <c r="DK33" s="278"/>
      <c r="DL33" s="278"/>
    </row>
    <row r="34" spans="1:116" s="75" customFormat="1" ht="18.75">
      <c r="A34" s="406"/>
      <c r="B34" s="61" t="s">
        <v>18</v>
      </c>
      <c r="C34" s="73"/>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407"/>
      <c r="AO34" s="72"/>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row>
    <row r="35" spans="1:116" s="75" customFormat="1" ht="18.75">
      <c r="A35" s="406"/>
      <c r="B35" s="61"/>
      <c r="C35" s="70" t="s">
        <v>72</v>
      </c>
      <c r="D35" s="127">
        <f>('Education Model'!E63*'Age Earning Profiles'!$E10)*260/1000000</f>
        <v>482.2658205456001</v>
      </c>
      <c r="E35" s="127">
        <f>('Education Model'!F63*'Age Earning Profiles'!$E10)*260/1000000</f>
        <v>474.0918235872001</v>
      </c>
      <c r="F35" s="127">
        <f>('Education Model'!G63*'Age Earning Profiles'!$E10)*260/1000000</f>
        <v>172.38959585265607</v>
      </c>
      <c r="G35" s="127">
        <f>('Education Model'!H63*'Age Earning Profiles'!$E10)*260/1000000</f>
        <v>164.9193800323743</v>
      </c>
      <c r="H35" s="127">
        <f>('Education Model'!I63*'Age Earning Profiles'!$F11)*260/1000000</f>
        <v>629.79665684837</v>
      </c>
      <c r="I35" s="127">
        <f>('Education Model'!J63*'Age Earning Profiles'!$F11)*260/1000000</f>
        <v>539.9242142105187</v>
      </c>
      <c r="J35" s="127">
        <f>('Education Model'!K63*'Age Earning Profiles'!$F11)*260/1000000</f>
        <v>533.1751615328873</v>
      </c>
      <c r="K35" s="127">
        <f>('Education Model'!L63*'Age Earning Profiles'!$F11)*260/1000000</f>
        <v>526.4261088552557</v>
      </c>
      <c r="L35" s="127">
        <f>('Education Model'!M63*'Age Earning Profiles'!$F11)*260/1000000</f>
        <v>519.6770561776243</v>
      </c>
      <c r="M35" s="127">
        <f>+L35</f>
        <v>519.6770561776243</v>
      </c>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407"/>
      <c r="AO35" s="72"/>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row>
    <row r="36" spans="1:116" s="75" customFormat="1" ht="18.75">
      <c r="A36" s="406"/>
      <c r="B36" s="61"/>
      <c r="C36" s="70"/>
      <c r="D36" s="149"/>
      <c r="E36" s="149">
        <f>+D35</f>
        <v>482.2658205456001</v>
      </c>
      <c r="F36" s="149">
        <f aca="true" t="shared" si="34" ref="F36:AL36">+E35</f>
        <v>474.0918235872001</v>
      </c>
      <c r="G36" s="149">
        <f t="shared" si="34"/>
        <v>172.38959585265607</v>
      </c>
      <c r="H36" s="149">
        <f t="shared" si="34"/>
        <v>164.9193800323743</v>
      </c>
      <c r="I36" s="149">
        <f t="shared" si="34"/>
        <v>629.79665684837</v>
      </c>
      <c r="J36" s="149">
        <f t="shared" si="34"/>
        <v>539.9242142105187</v>
      </c>
      <c r="K36" s="149">
        <f t="shared" si="34"/>
        <v>533.1751615328873</v>
      </c>
      <c r="L36" s="149">
        <f t="shared" si="34"/>
        <v>526.4261088552557</v>
      </c>
      <c r="M36" s="149">
        <f t="shared" si="34"/>
        <v>519.6770561776243</v>
      </c>
      <c r="N36" s="149">
        <f t="shared" si="34"/>
        <v>519.6770561776243</v>
      </c>
      <c r="O36" s="149">
        <f t="shared" si="34"/>
        <v>0</v>
      </c>
      <c r="P36" s="149">
        <f t="shared" si="34"/>
        <v>0</v>
      </c>
      <c r="Q36" s="149">
        <f t="shared" si="34"/>
        <v>0</v>
      </c>
      <c r="R36" s="149">
        <f t="shared" si="34"/>
        <v>0</v>
      </c>
      <c r="S36" s="149">
        <f t="shared" si="34"/>
        <v>0</v>
      </c>
      <c r="T36" s="149">
        <f t="shared" si="34"/>
        <v>0</v>
      </c>
      <c r="U36" s="149">
        <f t="shared" si="34"/>
        <v>0</v>
      </c>
      <c r="V36" s="149">
        <f t="shared" si="34"/>
        <v>0</v>
      </c>
      <c r="W36" s="149">
        <f t="shared" si="34"/>
        <v>0</v>
      </c>
      <c r="X36" s="149">
        <f t="shared" si="34"/>
        <v>0</v>
      </c>
      <c r="Y36" s="149">
        <f t="shared" si="34"/>
        <v>0</v>
      </c>
      <c r="Z36" s="149">
        <f t="shared" si="34"/>
        <v>0</v>
      </c>
      <c r="AA36" s="149">
        <f t="shared" si="34"/>
        <v>0</v>
      </c>
      <c r="AB36" s="149">
        <f t="shared" si="34"/>
        <v>0</v>
      </c>
      <c r="AC36" s="149">
        <f t="shared" si="34"/>
        <v>0</v>
      </c>
      <c r="AD36" s="149">
        <f t="shared" si="34"/>
        <v>0</v>
      </c>
      <c r="AE36" s="149">
        <f t="shared" si="34"/>
        <v>0</v>
      </c>
      <c r="AF36" s="149">
        <f t="shared" si="34"/>
        <v>0</v>
      </c>
      <c r="AG36" s="149">
        <f t="shared" si="34"/>
        <v>0</v>
      </c>
      <c r="AH36" s="149">
        <f t="shared" si="34"/>
        <v>0</v>
      </c>
      <c r="AI36" s="149">
        <f t="shared" si="34"/>
        <v>0</v>
      </c>
      <c r="AJ36" s="149">
        <f t="shared" si="34"/>
        <v>0</v>
      </c>
      <c r="AK36" s="149">
        <f t="shared" si="34"/>
        <v>0</v>
      </c>
      <c r="AL36" s="149">
        <f t="shared" si="34"/>
        <v>0</v>
      </c>
      <c r="AM36" s="131"/>
      <c r="AN36" s="407"/>
      <c r="AO36" s="72"/>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row>
    <row r="37" spans="1:116" s="75" customFormat="1" ht="18.75">
      <c r="A37" s="406"/>
      <c r="B37" s="61"/>
      <c r="C37" s="70"/>
      <c r="D37" s="149"/>
      <c r="E37" s="149"/>
      <c r="F37" s="149">
        <f aca="true" t="shared" si="35" ref="F37:AL37">+D35</f>
        <v>482.2658205456001</v>
      </c>
      <c r="G37" s="149">
        <f t="shared" si="35"/>
        <v>474.0918235872001</v>
      </c>
      <c r="H37" s="149">
        <f t="shared" si="35"/>
        <v>172.38959585265607</v>
      </c>
      <c r="I37" s="149">
        <f t="shared" si="35"/>
        <v>164.9193800323743</v>
      </c>
      <c r="J37" s="149">
        <f t="shared" si="35"/>
        <v>629.79665684837</v>
      </c>
      <c r="K37" s="149">
        <f t="shared" si="35"/>
        <v>539.9242142105187</v>
      </c>
      <c r="L37" s="149">
        <f t="shared" si="35"/>
        <v>533.1751615328873</v>
      </c>
      <c r="M37" s="149">
        <f t="shared" si="35"/>
        <v>526.4261088552557</v>
      </c>
      <c r="N37" s="149">
        <f t="shared" si="35"/>
        <v>519.6770561776243</v>
      </c>
      <c r="O37" s="149">
        <f t="shared" si="35"/>
        <v>519.6770561776243</v>
      </c>
      <c r="P37" s="149">
        <f t="shared" si="35"/>
        <v>0</v>
      </c>
      <c r="Q37" s="149">
        <f t="shared" si="35"/>
        <v>0</v>
      </c>
      <c r="R37" s="149">
        <f t="shared" si="35"/>
        <v>0</v>
      </c>
      <c r="S37" s="149">
        <f t="shared" si="35"/>
        <v>0</v>
      </c>
      <c r="T37" s="149">
        <f t="shared" si="35"/>
        <v>0</v>
      </c>
      <c r="U37" s="149">
        <f t="shared" si="35"/>
        <v>0</v>
      </c>
      <c r="V37" s="149">
        <f t="shared" si="35"/>
        <v>0</v>
      </c>
      <c r="W37" s="149">
        <f t="shared" si="35"/>
        <v>0</v>
      </c>
      <c r="X37" s="149">
        <f t="shared" si="35"/>
        <v>0</v>
      </c>
      <c r="Y37" s="149">
        <f t="shared" si="35"/>
        <v>0</v>
      </c>
      <c r="Z37" s="149">
        <f t="shared" si="35"/>
        <v>0</v>
      </c>
      <c r="AA37" s="149">
        <f t="shared" si="35"/>
        <v>0</v>
      </c>
      <c r="AB37" s="149">
        <f t="shared" si="35"/>
        <v>0</v>
      </c>
      <c r="AC37" s="149">
        <f t="shared" si="35"/>
        <v>0</v>
      </c>
      <c r="AD37" s="149">
        <f t="shared" si="35"/>
        <v>0</v>
      </c>
      <c r="AE37" s="149">
        <f t="shared" si="35"/>
        <v>0</v>
      </c>
      <c r="AF37" s="149">
        <f t="shared" si="35"/>
        <v>0</v>
      </c>
      <c r="AG37" s="149">
        <f t="shared" si="35"/>
        <v>0</v>
      </c>
      <c r="AH37" s="149">
        <f t="shared" si="35"/>
        <v>0</v>
      </c>
      <c r="AI37" s="149">
        <f t="shared" si="35"/>
        <v>0</v>
      </c>
      <c r="AJ37" s="149">
        <f t="shared" si="35"/>
        <v>0</v>
      </c>
      <c r="AK37" s="149">
        <f t="shared" si="35"/>
        <v>0</v>
      </c>
      <c r="AL37" s="149">
        <f t="shared" si="35"/>
        <v>0</v>
      </c>
      <c r="AM37" s="131"/>
      <c r="AN37" s="407"/>
      <c r="AO37" s="72"/>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row>
    <row r="38" spans="1:116" s="75" customFormat="1" ht="18.75">
      <c r="A38" s="406"/>
      <c r="B38" s="61"/>
      <c r="C38" s="70"/>
      <c r="D38" s="149"/>
      <c r="E38" s="149"/>
      <c r="F38" s="149"/>
      <c r="G38" s="149">
        <f aca="true" t="shared" si="36" ref="G38:L38">+D35</f>
        <v>482.2658205456001</v>
      </c>
      <c r="H38" s="149">
        <f t="shared" si="36"/>
        <v>474.0918235872001</v>
      </c>
      <c r="I38" s="149">
        <f t="shared" si="36"/>
        <v>172.38959585265607</v>
      </c>
      <c r="J38" s="149">
        <f t="shared" si="36"/>
        <v>164.9193800323743</v>
      </c>
      <c r="K38" s="149">
        <f t="shared" si="36"/>
        <v>629.79665684837</v>
      </c>
      <c r="L38" s="149">
        <f t="shared" si="36"/>
        <v>539.9242142105187</v>
      </c>
      <c r="M38" s="149">
        <f aca="true" t="shared" si="37" ref="M38:M43">+J35</f>
        <v>533.1751615328873</v>
      </c>
      <c r="N38" s="149">
        <f aca="true" t="shared" si="38" ref="N38:N44">+K35</f>
        <v>526.4261088552557</v>
      </c>
      <c r="O38" s="149">
        <f aca="true" t="shared" si="39" ref="O38:O45">+L35</f>
        <v>519.6770561776243</v>
      </c>
      <c r="P38" s="149">
        <f aca="true" t="shared" si="40" ref="P38:P46">+M35</f>
        <v>519.6770561776243</v>
      </c>
      <c r="Q38" s="149">
        <f aca="true" t="shared" si="41" ref="Q38:Q46">+N35</f>
        <v>0</v>
      </c>
      <c r="R38" s="149">
        <f aca="true" t="shared" si="42" ref="R38:R48">+O35</f>
        <v>0</v>
      </c>
      <c r="S38" s="149">
        <f aca="true" t="shared" si="43" ref="S38:S49">+P35</f>
        <v>0</v>
      </c>
      <c r="T38" s="149">
        <f aca="true" t="shared" si="44" ref="T38:T50">+Q35</f>
        <v>0</v>
      </c>
      <c r="U38" s="149">
        <f aca="true" t="shared" si="45" ref="U38:U51">+R35</f>
        <v>0</v>
      </c>
      <c r="V38" s="149">
        <f aca="true" t="shared" si="46" ref="V38:V52">+S35</f>
        <v>0</v>
      </c>
      <c r="W38" s="149">
        <f aca="true" t="shared" si="47" ref="W38:W52">+T35</f>
        <v>0</v>
      </c>
      <c r="X38" s="149">
        <f aca="true" t="shared" si="48" ref="X38:X54">+U35</f>
        <v>0</v>
      </c>
      <c r="Y38" s="149">
        <f aca="true" t="shared" si="49" ref="Y38:Y54">+V35</f>
        <v>0</v>
      </c>
      <c r="Z38" s="149">
        <f aca="true" t="shared" si="50" ref="Z38:Z54">+W35</f>
        <v>0</v>
      </c>
      <c r="AA38" s="149">
        <f aca="true" t="shared" si="51" ref="AA38:AA43">+X35</f>
        <v>0</v>
      </c>
      <c r="AB38" s="149">
        <f aca="true" t="shared" si="52" ref="AB38:AB54">+Y35</f>
        <v>0</v>
      </c>
      <c r="AC38" s="149">
        <f aca="true" t="shared" si="53" ref="AC38:AC54">+Z35</f>
        <v>0</v>
      </c>
      <c r="AD38" s="149">
        <f aca="true" t="shared" si="54" ref="AD38:AD54">+AA35</f>
        <v>0</v>
      </c>
      <c r="AE38" s="149">
        <f aca="true" t="shared" si="55" ref="AE38:AE54">+AB35</f>
        <v>0</v>
      </c>
      <c r="AF38" s="149">
        <f aca="true" t="shared" si="56" ref="AF38:AF54">+AC35</f>
        <v>0</v>
      </c>
      <c r="AG38" s="149">
        <f aca="true" t="shared" si="57" ref="AG38:AG54">+AD35</f>
        <v>0</v>
      </c>
      <c r="AH38" s="149">
        <f aca="true" t="shared" si="58" ref="AH38:AH54">+AE35</f>
        <v>0</v>
      </c>
      <c r="AI38" s="149">
        <f aca="true" t="shared" si="59" ref="AI38:AI43">+AF35</f>
        <v>0</v>
      </c>
      <c r="AJ38" s="149">
        <f aca="true" t="shared" si="60" ref="AJ38:AJ54">+AG35</f>
        <v>0</v>
      </c>
      <c r="AK38" s="149">
        <f aca="true" t="shared" si="61" ref="AK38:AK54">+AH35</f>
        <v>0</v>
      </c>
      <c r="AL38" s="149">
        <f aca="true" t="shared" si="62" ref="AL38:AL54">+AI35</f>
        <v>0</v>
      </c>
      <c r="AM38" s="131"/>
      <c r="AN38" s="407"/>
      <c r="AO38" s="72"/>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row>
    <row r="39" spans="1:116" s="75" customFormat="1" ht="18.75">
      <c r="A39" s="406"/>
      <c r="B39" s="61"/>
      <c r="C39" s="70"/>
      <c r="D39" s="149"/>
      <c r="E39" s="149"/>
      <c r="F39" s="149"/>
      <c r="G39" s="149"/>
      <c r="H39" s="149">
        <f>+E36</f>
        <v>482.2658205456001</v>
      </c>
      <c r="I39" s="149">
        <f>+F36</f>
        <v>474.0918235872001</v>
      </c>
      <c r="J39" s="149">
        <f>+G36</f>
        <v>172.38959585265607</v>
      </c>
      <c r="K39" s="149">
        <f>+H36</f>
        <v>164.9193800323743</v>
      </c>
      <c r="L39" s="149">
        <f>+I36</f>
        <v>629.79665684837</v>
      </c>
      <c r="M39" s="149">
        <f t="shared" si="37"/>
        <v>539.9242142105187</v>
      </c>
      <c r="N39" s="149">
        <f t="shared" si="38"/>
        <v>533.1751615328873</v>
      </c>
      <c r="O39" s="149">
        <f t="shared" si="39"/>
        <v>526.4261088552557</v>
      </c>
      <c r="P39" s="149">
        <f t="shared" si="40"/>
        <v>519.6770561776243</v>
      </c>
      <c r="Q39" s="149">
        <f t="shared" si="41"/>
        <v>519.6770561776243</v>
      </c>
      <c r="R39" s="149">
        <f t="shared" si="42"/>
        <v>0</v>
      </c>
      <c r="S39" s="149">
        <f t="shared" si="43"/>
        <v>0</v>
      </c>
      <c r="T39" s="149">
        <f t="shared" si="44"/>
        <v>0</v>
      </c>
      <c r="U39" s="149">
        <f t="shared" si="45"/>
        <v>0</v>
      </c>
      <c r="V39" s="149">
        <f t="shared" si="46"/>
        <v>0</v>
      </c>
      <c r="W39" s="149">
        <f t="shared" si="47"/>
        <v>0</v>
      </c>
      <c r="X39" s="149">
        <f t="shared" si="48"/>
        <v>0</v>
      </c>
      <c r="Y39" s="149">
        <f t="shared" si="49"/>
        <v>0</v>
      </c>
      <c r="Z39" s="149">
        <f t="shared" si="50"/>
        <v>0</v>
      </c>
      <c r="AA39" s="149">
        <f t="shared" si="51"/>
        <v>0</v>
      </c>
      <c r="AB39" s="149">
        <f t="shared" si="52"/>
        <v>0</v>
      </c>
      <c r="AC39" s="149">
        <f t="shared" si="53"/>
        <v>0</v>
      </c>
      <c r="AD39" s="149">
        <f t="shared" si="54"/>
        <v>0</v>
      </c>
      <c r="AE39" s="149">
        <f t="shared" si="55"/>
        <v>0</v>
      </c>
      <c r="AF39" s="149">
        <f t="shared" si="56"/>
        <v>0</v>
      </c>
      <c r="AG39" s="149">
        <f t="shared" si="57"/>
        <v>0</v>
      </c>
      <c r="AH39" s="149">
        <f t="shared" si="58"/>
        <v>0</v>
      </c>
      <c r="AI39" s="149">
        <f t="shared" si="59"/>
        <v>0</v>
      </c>
      <c r="AJ39" s="149">
        <f t="shared" si="60"/>
        <v>0</v>
      </c>
      <c r="AK39" s="149">
        <f t="shared" si="61"/>
        <v>0</v>
      </c>
      <c r="AL39" s="149">
        <f t="shared" si="62"/>
        <v>0</v>
      </c>
      <c r="AM39" s="131"/>
      <c r="AN39" s="407"/>
      <c r="AO39" s="72"/>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row>
    <row r="40" spans="1:116" s="75" customFormat="1" ht="18.75">
      <c r="A40" s="406"/>
      <c r="B40" s="61"/>
      <c r="C40" s="70"/>
      <c r="D40" s="149"/>
      <c r="E40" s="149"/>
      <c r="F40" s="149"/>
      <c r="G40" s="149"/>
      <c r="H40" s="149"/>
      <c r="I40" s="149">
        <f>+F37</f>
        <v>482.2658205456001</v>
      </c>
      <c r="J40" s="149">
        <f>+G37</f>
        <v>474.0918235872001</v>
      </c>
      <c r="K40" s="149">
        <f>+H37</f>
        <v>172.38959585265607</v>
      </c>
      <c r="L40" s="149">
        <f>+I37</f>
        <v>164.9193800323743</v>
      </c>
      <c r="M40" s="149">
        <f t="shared" si="37"/>
        <v>629.79665684837</v>
      </c>
      <c r="N40" s="149">
        <f t="shared" si="38"/>
        <v>539.9242142105187</v>
      </c>
      <c r="O40" s="149">
        <f t="shared" si="39"/>
        <v>533.1751615328873</v>
      </c>
      <c r="P40" s="149">
        <f t="shared" si="40"/>
        <v>526.4261088552557</v>
      </c>
      <c r="Q40" s="149">
        <f t="shared" si="41"/>
        <v>519.6770561776243</v>
      </c>
      <c r="R40" s="149">
        <f t="shared" si="42"/>
        <v>519.6770561776243</v>
      </c>
      <c r="S40" s="149">
        <f t="shared" si="43"/>
        <v>0</v>
      </c>
      <c r="T40" s="149">
        <f t="shared" si="44"/>
        <v>0</v>
      </c>
      <c r="U40" s="149">
        <f t="shared" si="45"/>
        <v>0</v>
      </c>
      <c r="V40" s="149">
        <f t="shared" si="46"/>
        <v>0</v>
      </c>
      <c r="W40" s="149">
        <f t="shared" si="47"/>
        <v>0</v>
      </c>
      <c r="X40" s="149">
        <f t="shared" si="48"/>
        <v>0</v>
      </c>
      <c r="Y40" s="149">
        <f t="shared" si="49"/>
        <v>0</v>
      </c>
      <c r="Z40" s="149">
        <f t="shared" si="50"/>
        <v>0</v>
      </c>
      <c r="AA40" s="149">
        <f t="shared" si="51"/>
        <v>0</v>
      </c>
      <c r="AB40" s="149">
        <f t="shared" si="52"/>
        <v>0</v>
      </c>
      <c r="AC40" s="149">
        <f t="shared" si="53"/>
        <v>0</v>
      </c>
      <c r="AD40" s="149">
        <f t="shared" si="54"/>
        <v>0</v>
      </c>
      <c r="AE40" s="149">
        <f t="shared" si="55"/>
        <v>0</v>
      </c>
      <c r="AF40" s="149">
        <f t="shared" si="56"/>
        <v>0</v>
      </c>
      <c r="AG40" s="149">
        <f t="shared" si="57"/>
        <v>0</v>
      </c>
      <c r="AH40" s="149">
        <f t="shared" si="58"/>
        <v>0</v>
      </c>
      <c r="AI40" s="149">
        <f t="shared" si="59"/>
        <v>0</v>
      </c>
      <c r="AJ40" s="149">
        <f t="shared" si="60"/>
        <v>0</v>
      </c>
      <c r="AK40" s="149">
        <f t="shared" si="61"/>
        <v>0</v>
      </c>
      <c r="AL40" s="149">
        <f t="shared" si="62"/>
        <v>0</v>
      </c>
      <c r="AM40" s="131"/>
      <c r="AN40" s="407"/>
      <c r="AO40" s="72"/>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row>
    <row r="41" spans="1:116" s="75" customFormat="1" ht="18.75">
      <c r="A41" s="406"/>
      <c r="B41" s="61"/>
      <c r="C41" s="70"/>
      <c r="D41" s="149"/>
      <c r="E41" s="149"/>
      <c r="F41" s="149"/>
      <c r="G41" s="149"/>
      <c r="H41" s="149"/>
      <c r="I41" s="149"/>
      <c r="J41" s="149">
        <f>+G38</f>
        <v>482.2658205456001</v>
      </c>
      <c r="K41" s="149">
        <f>+H38</f>
        <v>474.0918235872001</v>
      </c>
      <c r="L41" s="149">
        <f>+I38</f>
        <v>172.38959585265607</v>
      </c>
      <c r="M41" s="149">
        <f t="shared" si="37"/>
        <v>164.9193800323743</v>
      </c>
      <c r="N41" s="149">
        <f t="shared" si="38"/>
        <v>629.79665684837</v>
      </c>
      <c r="O41" s="149">
        <f t="shared" si="39"/>
        <v>539.9242142105187</v>
      </c>
      <c r="P41" s="149">
        <f t="shared" si="40"/>
        <v>533.1751615328873</v>
      </c>
      <c r="Q41" s="149">
        <f t="shared" si="41"/>
        <v>526.4261088552557</v>
      </c>
      <c r="R41" s="149">
        <f t="shared" si="42"/>
        <v>519.6770561776243</v>
      </c>
      <c r="S41" s="149">
        <f t="shared" si="43"/>
        <v>519.6770561776243</v>
      </c>
      <c r="T41" s="149">
        <f t="shared" si="44"/>
        <v>0</v>
      </c>
      <c r="U41" s="149">
        <f t="shared" si="45"/>
        <v>0</v>
      </c>
      <c r="V41" s="149">
        <f t="shared" si="46"/>
        <v>0</v>
      </c>
      <c r="W41" s="149">
        <f t="shared" si="47"/>
        <v>0</v>
      </c>
      <c r="X41" s="149">
        <f t="shared" si="48"/>
        <v>0</v>
      </c>
      <c r="Y41" s="149">
        <f t="shared" si="49"/>
        <v>0</v>
      </c>
      <c r="Z41" s="149">
        <f t="shared" si="50"/>
        <v>0</v>
      </c>
      <c r="AA41" s="149">
        <f t="shared" si="51"/>
        <v>0</v>
      </c>
      <c r="AB41" s="149">
        <f t="shared" si="52"/>
        <v>0</v>
      </c>
      <c r="AC41" s="149">
        <f t="shared" si="53"/>
        <v>0</v>
      </c>
      <c r="AD41" s="149">
        <f t="shared" si="54"/>
        <v>0</v>
      </c>
      <c r="AE41" s="149">
        <f t="shared" si="55"/>
        <v>0</v>
      </c>
      <c r="AF41" s="149">
        <f t="shared" si="56"/>
        <v>0</v>
      </c>
      <c r="AG41" s="149">
        <f t="shared" si="57"/>
        <v>0</v>
      </c>
      <c r="AH41" s="149">
        <f t="shared" si="58"/>
        <v>0</v>
      </c>
      <c r="AI41" s="149">
        <f t="shared" si="59"/>
        <v>0</v>
      </c>
      <c r="AJ41" s="149">
        <f t="shared" si="60"/>
        <v>0</v>
      </c>
      <c r="AK41" s="149">
        <f t="shared" si="61"/>
        <v>0</v>
      </c>
      <c r="AL41" s="149">
        <f t="shared" si="62"/>
        <v>0</v>
      </c>
      <c r="AM41" s="131"/>
      <c r="AN41" s="407"/>
      <c r="AO41" s="72"/>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row>
    <row r="42" spans="1:116" s="75" customFormat="1" ht="18.75">
      <c r="A42" s="406"/>
      <c r="B42" s="61"/>
      <c r="C42" s="70"/>
      <c r="D42" s="149"/>
      <c r="E42" s="149"/>
      <c r="F42" s="149"/>
      <c r="G42" s="149"/>
      <c r="H42" s="149"/>
      <c r="I42" s="149"/>
      <c r="J42" s="149"/>
      <c r="K42" s="149">
        <f>+H39</f>
        <v>482.2658205456001</v>
      </c>
      <c r="L42" s="149">
        <f>+I39</f>
        <v>474.0918235872001</v>
      </c>
      <c r="M42" s="149">
        <f t="shared" si="37"/>
        <v>172.38959585265607</v>
      </c>
      <c r="N42" s="149">
        <f t="shared" si="38"/>
        <v>164.9193800323743</v>
      </c>
      <c r="O42" s="149">
        <f t="shared" si="39"/>
        <v>629.79665684837</v>
      </c>
      <c r="P42" s="149">
        <f t="shared" si="40"/>
        <v>539.9242142105187</v>
      </c>
      <c r="Q42" s="149">
        <f t="shared" si="41"/>
        <v>533.1751615328873</v>
      </c>
      <c r="R42" s="149">
        <f t="shared" si="42"/>
        <v>526.4261088552557</v>
      </c>
      <c r="S42" s="149">
        <f t="shared" si="43"/>
        <v>519.6770561776243</v>
      </c>
      <c r="T42" s="149">
        <f t="shared" si="44"/>
        <v>519.6770561776243</v>
      </c>
      <c r="U42" s="149">
        <f t="shared" si="45"/>
        <v>0</v>
      </c>
      <c r="V42" s="149">
        <f t="shared" si="46"/>
        <v>0</v>
      </c>
      <c r="W42" s="149">
        <f t="shared" si="47"/>
        <v>0</v>
      </c>
      <c r="X42" s="149">
        <f t="shared" si="48"/>
        <v>0</v>
      </c>
      <c r="Y42" s="149">
        <f t="shared" si="49"/>
        <v>0</v>
      </c>
      <c r="Z42" s="149">
        <f t="shared" si="50"/>
        <v>0</v>
      </c>
      <c r="AA42" s="149">
        <f t="shared" si="51"/>
        <v>0</v>
      </c>
      <c r="AB42" s="149">
        <f t="shared" si="52"/>
        <v>0</v>
      </c>
      <c r="AC42" s="149">
        <f t="shared" si="53"/>
        <v>0</v>
      </c>
      <c r="AD42" s="149">
        <f t="shared" si="54"/>
        <v>0</v>
      </c>
      <c r="AE42" s="149">
        <f t="shared" si="55"/>
        <v>0</v>
      </c>
      <c r="AF42" s="149">
        <f t="shared" si="56"/>
        <v>0</v>
      </c>
      <c r="AG42" s="149">
        <f t="shared" si="57"/>
        <v>0</v>
      </c>
      <c r="AH42" s="149">
        <f t="shared" si="58"/>
        <v>0</v>
      </c>
      <c r="AI42" s="149">
        <f t="shared" si="59"/>
        <v>0</v>
      </c>
      <c r="AJ42" s="149">
        <f t="shared" si="60"/>
        <v>0</v>
      </c>
      <c r="AK42" s="149">
        <f t="shared" si="61"/>
        <v>0</v>
      </c>
      <c r="AL42" s="149">
        <f t="shared" si="62"/>
        <v>0</v>
      </c>
      <c r="AM42" s="131"/>
      <c r="AN42" s="407"/>
      <c r="AO42" s="72"/>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row>
    <row r="43" spans="1:116" s="75" customFormat="1" ht="18.75">
      <c r="A43" s="406"/>
      <c r="B43" s="61"/>
      <c r="C43" s="70"/>
      <c r="D43" s="149"/>
      <c r="E43" s="149"/>
      <c r="F43" s="149"/>
      <c r="G43" s="149"/>
      <c r="H43" s="149"/>
      <c r="I43" s="149"/>
      <c r="J43" s="149"/>
      <c r="K43" s="149"/>
      <c r="L43" s="149">
        <f>+I40</f>
        <v>482.2658205456001</v>
      </c>
      <c r="M43" s="149">
        <f t="shared" si="37"/>
        <v>474.0918235872001</v>
      </c>
      <c r="N43" s="149">
        <f t="shared" si="38"/>
        <v>172.38959585265607</v>
      </c>
      <c r="O43" s="149">
        <f t="shared" si="39"/>
        <v>164.9193800323743</v>
      </c>
      <c r="P43" s="149">
        <f t="shared" si="40"/>
        <v>629.79665684837</v>
      </c>
      <c r="Q43" s="149">
        <f t="shared" si="41"/>
        <v>539.9242142105187</v>
      </c>
      <c r="R43" s="149">
        <f t="shared" si="42"/>
        <v>533.1751615328873</v>
      </c>
      <c r="S43" s="149">
        <f t="shared" si="43"/>
        <v>526.4261088552557</v>
      </c>
      <c r="T43" s="149">
        <f t="shared" si="44"/>
        <v>519.6770561776243</v>
      </c>
      <c r="U43" s="149">
        <f t="shared" si="45"/>
        <v>519.6770561776243</v>
      </c>
      <c r="V43" s="149">
        <f t="shared" si="46"/>
        <v>0</v>
      </c>
      <c r="W43" s="149">
        <f t="shared" si="47"/>
        <v>0</v>
      </c>
      <c r="X43" s="149">
        <f t="shared" si="48"/>
        <v>0</v>
      </c>
      <c r="Y43" s="149">
        <f t="shared" si="49"/>
        <v>0</v>
      </c>
      <c r="Z43" s="149">
        <f t="shared" si="50"/>
        <v>0</v>
      </c>
      <c r="AA43" s="149">
        <f t="shared" si="51"/>
        <v>0</v>
      </c>
      <c r="AB43" s="149">
        <f t="shared" si="52"/>
        <v>0</v>
      </c>
      <c r="AC43" s="149">
        <f t="shared" si="53"/>
        <v>0</v>
      </c>
      <c r="AD43" s="149">
        <f t="shared" si="54"/>
        <v>0</v>
      </c>
      <c r="AE43" s="149">
        <f t="shared" si="55"/>
        <v>0</v>
      </c>
      <c r="AF43" s="149">
        <f t="shared" si="56"/>
        <v>0</v>
      </c>
      <c r="AG43" s="149">
        <f t="shared" si="57"/>
        <v>0</v>
      </c>
      <c r="AH43" s="149">
        <f t="shared" si="58"/>
        <v>0</v>
      </c>
      <c r="AI43" s="149">
        <f t="shared" si="59"/>
        <v>0</v>
      </c>
      <c r="AJ43" s="149">
        <f t="shared" si="60"/>
        <v>0</v>
      </c>
      <c r="AK43" s="149">
        <f t="shared" si="61"/>
        <v>0</v>
      </c>
      <c r="AL43" s="149">
        <f t="shared" si="62"/>
        <v>0</v>
      </c>
      <c r="AM43" s="131"/>
      <c r="AN43" s="407"/>
      <c r="AO43" s="72"/>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row>
    <row r="44" spans="1:116" s="75" customFormat="1" ht="18.75">
      <c r="A44" s="406"/>
      <c r="B44" s="61"/>
      <c r="C44" s="70"/>
      <c r="D44" s="149"/>
      <c r="E44" s="149"/>
      <c r="F44" s="149"/>
      <c r="G44" s="149"/>
      <c r="H44" s="149"/>
      <c r="I44" s="149"/>
      <c r="J44" s="149"/>
      <c r="K44" s="149"/>
      <c r="L44" s="149"/>
      <c r="M44" s="149">
        <f>+J41</f>
        <v>482.2658205456001</v>
      </c>
      <c r="N44" s="149">
        <f t="shared" si="38"/>
        <v>474.0918235872001</v>
      </c>
      <c r="O44" s="149">
        <f t="shared" si="39"/>
        <v>172.38959585265607</v>
      </c>
      <c r="P44" s="149">
        <f t="shared" si="40"/>
        <v>164.9193800323743</v>
      </c>
      <c r="Q44" s="149">
        <f t="shared" si="41"/>
        <v>629.79665684837</v>
      </c>
      <c r="R44" s="149">
        <f t="shared" si="42"/>
        <v>539.9242142105187</v>
      </c>
      <c r="S44" s="149">
        <f t="shared" si="43"/>
        <v>533.1751615328873</v>
      </c>
      <c r="T44" s="149">
        <f t="shared" si="44"/>
        <v>526.4261088552557</v>
      </c>
      <c r="U44" s="149">
        <f t="shared" si="45"/>
        <v>519.6770561776243</v>
      </c>
      <c r="V44" s="149">
        <f t="shared" si="46"/>
        <v>519.6770561776243</v>
      </c>
      <c r="W44" s="149">
        <f t="shared" si="47"/>
        <v>0</v>
      </c>
      <c r="X44" s="149">
        <f t="shared" si="48"/>
        <v>0</v>
      </c>
      <c r="Y44" s="149">
        <f t="shared" si="49"/>
        <v>0</v>
      </c>
      <c r="Z44" s="149">
        <f t="shared" si="50"/>
        <v>0</v>
      </c>
      <c r="AA44" s="149">
        <f aca="true" t="shared" si="63" ref="AA44:AA54">+X41</f>
        <v>0</v>
      </c>
      <c r="AB44" s="149">
        <f t="shared" si="52"/>
        <v>0</v>
      </c>
      <c r="AC44" s="149">
        <f t="shared" si="53"/>
        <v>0</v>
      </c>
      <c r="AD44" s="149">
        <f t="shared" si="54"/>
        <v>0</v>
      </c>
      <c r="AE44" s="149">
        <f t="shared" si="55"/>
        <v>0</v>
      </c>
      <c r="AF44" s="149">
        <f t="shared" si="56"/>
        <v>0</v>
      </c>
      <c r="AG44" s="149">
        <f t="shared" si="57"/>
        <v>0</v>
      </c>
      <c r="AH44" s="149">
        <f t="shared" si="58"/>
        <v>0</v>
      </c>
      <c r="AI44" s="149">
        <f aca="true" t="shared" si="64" ref="AI44:AI54">+AF41</f>
        <v>0</v>
      </c>
      <c r="AJ44" s="149">
        <f t="shared" si="60"/>
        <v>0</v>
      </c>
      <c r="AK44" s="149">
        <f t="shared" si="61"/>
        <v>0</v>
      </c>
      <c r="AL44" s="149">
        <f t="shared" si="62"/>
        <v>0</v>
      </c>
      <c r="AM44" s="131"/>
      <c r="AN44" s="407"/>
      <c r="AO44" s="72"/>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row>
    <row r="45" spans="1:116" s="75" customFormat="1" ht="18.75">
      <c r="A45" s="406"/>
      <c r="B45" s="61"/>
      <c r="C45" s="70"/>
      <c r="D45" s="149"/>
      <c r="E45" s="149"/>
      <c r="F45" s="149"/>
      <c r="G45" s="149"/>
      <c r="H45" s="149"/>
      <c r="I45" s="149"/>
      <c r="J45" s="149"/>
      <c r="K45" s="149"/>
      <c r="L45" s="149"/>
      <c r="M45" s="149"/>
      <c r="N45" s="149">
        <f>+K42</f>
        <v>482.2658205456001</v>
      </c>
      <c r="O45" s="149">
        <f t="shared" si="39"/>
        <v>474.0918235872001</v>
      </c>
      <c r="P45" s="149">
        <f t="shared" si="40"/>
        <v>172.38959585265607</v>
      </c>
      <c r="Q45" s="149">
        <f t="shared" si="41"/>
        <v>164.9193800323743</v>
      </c>
      <c r="R45" s="149">
        <f t="shared" si="42"/>
        <v>629.79665684837</v>
      </c>
      <c r="S45" s="149">
        <f t="shared" si="43"/>
        <v>539.9242142105187</v>
      </c>
      <c r="T45" s="149">
        <f t="shared" si="44"/>
        <v>533.1751615328873</v>
      </c>
      <c r="U45" s="149">
        <f t="shared" si="45"/>
        <v>526.4261088552557</v>
      </c>
      <c r="V45" s="149">
        <f t="shared" si="46"/>
        <v>519.6770561776243</v>
      </c>
      <c r="W45" s="149">
        <f t="shared" si="47"/>
        <v>519.6770561776243</v>
      </c>
      <c r="X45" s="149">
        <f t="shared" si="48"/>
        <v>0</v>
      </c>
      <c r="Y45" s="149">
        <f t="shared" si="49"/>
        <v>0</v>
      </c>
      <c r="Z45" s="149">
        <f t="shared" si="50"/>
        <v>0</v>
      </c>
      <c r="AA45" s="149">
        <f t="shared" si="63"/>
        <v>0</v>
      </c>
      <c r="AB45" s="149">
        <f t="shared" si="52"/>
        <v>0</v>
      </c>
      <c r="AC45" s="149">
        <f t="shared" si="53"/>
        <v>0</v>
      </c>
      <c r="AD45" s="149">
        <f t="shared" si="54"/>
        <v>0</v>
      </c>
      <c r="AE45" s="149">
        <f t="shared" si="55"/>
        <v>0</v>
      </c>
      <c r="AF45" s="149">
        <f t="shared" si="56"/>
        <v>0</v>
      </c>
      <c r="AG45" s="149">
        <f t="shared" si="57"/>
        <v>0</v>
      </c>
      <c r="AH45" s="149">
        <f t="shared" si="58"/>
        <v>0</v>
      </c>
      <c r="AI45" s="149">
        <f t="shared" si="64"/>
        <v>0</v>
      </c>
      <c r="AJ45" s="149">
        <f t="shared" si="60"/>
        <v>0</v>
      </c>
      <c r="AK45" s="149">
        <f t="shared" si="61"/>
        <v>0</v>
      </c>
      <c r="AL45" s="149">
        <f t="shared" si="62"/>
        <v>0</v>
      </c>
      <c r="AM45" s="131"/>
      <c r="AN45" s="407"/>
      <c r="AO45" s="72"/>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row>
    <row r="46" spans="1:116" s="75" customFormat="1" ht="18.75">
      <c r="A46" s="406"/>
      <c r="B46" s="61"/>
      <c r="C46" s="70"/>
      <c r="D46" s="149"/>
      <c r="E46" s="149"/>
      <c r="F46" s="149"/>
      <c r="G46" s="149"/>
      <c r="H46" s="149"/>
      <c r="I46" s="149"/>
      <c r="J46" s="149"/>
      <c r="K46" s="149"/>
      <c r="L46" s="149"/>
      <c r="M46" s="149"/>
      <c r="N46" s="149"/>
      <c r="O46" s="149">
        <f>+L43</f>
        <v>482.2658205456001</v>
      </c>
      <c r="P46" s="149">
        <f t="shared" si="40"/>
        <v>474.0918235872001</v>
      </c>
      <c r="Q46" s="149">
        <f t="shared" si="41"/>
        <v>172.38959585265607</v>
      </c>
      <c r="R46" s="149">
        <f t="shared" si="42"/>
        <v>164.9193800323743</v>
      </c>
      <c r="S46" s="149">
        <f t="shared" si="43"/>
        <v>629.79665684837</v>
      </c>
      <c r="T46" s="149">
        <f t="shared" si="44"/>
        <v>539.9242142105187</v>
      </c>
      <c r="U46" s="149">
        <f t="shared" si="45"/>
        <v>533.1751615328873</v>
      </c>
      <c r="V46" s="149">
        <f t="shared" si="46"/>
        <v>526.4261088552557</v>
      </c>
      <c r="W46" s="149">
        <f t="shared" si="47"/>
        <v>519.6770561776243</v>
      </c>
      <c r="X46" s="149">
        <f t="shared" si="48"/>
        <v>519.6770561776243</v>
      </c>
      <c r="Y46" s="149">
        <f t="shared" si="49"/>
        <v>0</v>
      </c>
      <c r="Z46" s="149">
        <f t="shared" si="50"/>
        <v>0</v>
      </c>
      <c r="AA46" s="149">
        <f t="shared" si="63"/>
        <v>0</v>
      </c>
      <c r="AB46" s="149">
        <f t="shared" si="52"/>
        <v>0</v>
      </c>
      <c r="AC46" s="149">
        <f t="shared" si="53"/>
        <v>0</v>
      </c>
      <c r="AD46" s="149">
        <f t="shared" si="54"/>
        <v>0</v>
      </c>
      <c r="AE46" s="149">
        <f t="shared" si="55"/>
        <v>0</v>
      </c>
      <c r="AF46" s="149">
        <f t="shared" si="56"/>
        <v>0</v>
      </c>
      <c r="AG46" s="149">
        <f t="shared" si="57"/>
        <v>0</v>
      </c>
      <c r="AH46" s="149">
        <f t="shared" si="58"/>
        <v>0</v>
      </c>
      <c r="AI46" s="149">
        <f t="shared" si="64"/>
        <v>0</v>
      </c>
      <c r="AJ46" s="149">
        <f t="shared" si="60"/>
        <v>0</v>
      </c>
      <c r="AK46" s="149">
        <f t="shared" si="61"/>
        <v>0</v>
      </c>
      <c r="AL46" s="149">
        <f t="shared" si="62"/>
        <v>0</v>
      </c>
      <c r="AM46" s="131"/>
      <c r="AN46" s="407"/>
      <c r="AO46" s="72"/>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row>
    <row r="47" spans="1:116" s="75" customFormat="1" ht="18.75">
      <c r="A47" s="406"/>
      <c r="B47" s="61"/>
      <c r="C47" s="70"/>
      <c r="D47" s="149"/>
      <c r="E47" s="149"/>
      <c r="F47" s="149"/>
      <c r="G47" s="149"/>
      <c r="H47" s="149"/>
      <c r="I47" s="149"/>
      <c r="J47" s="149"/>
      <c r="K47" s="149"/>
      <c r="L47" s="149"/>
      <c r="M47" s="149"/>
      <c r="N47" s="149"/>
      <c r="O47" s="149"/>
      <c r="P47" s="149">
        <f>+M44</f>
        <v>482.2658205456001</v>
      </c>
      <c r="Q47" s="149">
        <f>+N44</f>
        <v>474.0918235872001</v>
      </c>
      <c r="R47" s="149">
        <f t="shared" si="42"/>
        <v>172.38959585265607</v>
      </c>
      <c r="S47" s="149">
        <f t="shared" si="43"/>
        <v>164.9193800323743</v>
      </c>
      <c r="T47" s="149">
        <f t="shared" si="44"/>
        <v>629.79665684837</v>
      </c>
      <c r="U47" s="149">
        <f t="shared" si="45"/>
        <v>539.9242142105187</v>
      </c>
      <c r="V47" s="149">
        <f t="shared" si="46"/>
        <v>533.1751615328873</v>
      </c>
      <c r="W47" s="149">
        <f t="shared" si="47"/>
        <v>526.4261088552557</v>
      </c>
      <c r="X47" s="149">
        <f t="shared" si="48"/>
        <v>519.6770561776243</v>
      </c>
      <c r="Y47" s="149">
        <f t="shared" si="49"/>
        <v>519.6770561776243</v>
      </c>
      <c r="Z47" s="149">
        <f t="shared" si="50"/>
        <v>0</v>
      </c>
      <c r="AA47" s="149">
        <f t="shared" si="63"/>
        <v>0</v>
      </c>
      <c r="AB47" s="149">
        <f t="shared" si="52"/>
        <v>0</v>
      </c>
      <c r="AC47" s="149">
        <f t="shared" si="53"/>
        <v>0</v>
      </c>
      <c r="AD47" s="149">
        <f t="shared" si="54"/>
        <v>0</v>
      </c>
      <c r="AE47" s="149">
        <f t="shared" si="55"/>
        <v>0</v>
      </c>
      <c r="AF47" s="149">
        <f t="shared" si="56"/>
        <v>0</v>
      </c>
      <c r="AG47" s="149">
        <f t="shared" si="57"/>
        <v>0</v>
      </c>
      <c r="AH47" s="149">
        <f t="shared" si="58"/>
        <v>0</v>
      </c>
      <c r="AI47" s="149">
        <f t="shared" si="64"/>
        <v>0</v>
      </c>
      <c r="AJ47" s="149">
        <f t="shared" si="60"/>
        <v>0</v>
      </c>
      <c r="AK47" s="149">
        <f t="shared" si="61"/>
        <v>0</v>
      </c>
      <c r="AL47" s="149">
        <f t="shared" si="62"/>
        <v>0</v>
      </c>
      <c r="AM47" s="131"/>
      <c r="AN47" s="407"/>
      <c r="AO47" s="72"/>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row>
    <row r="48" spans="1:116" s="75" customFormat="1" ht="18.75">
      <c r="A48" s="406"/>
      <c r="B48" s="61"/>
      <c r="C48" s="70"/>
      <c r="D48" s="149"/>
      <c r="E48" s="149"/>
      <c r="F48" s="149"/>
      <c r="G48" s="149"/>
      <c r="H48" s="149"/>
      <c r="I48" s="149"/>
      <c r="J48" s="149"/>
      <c r="K48" s="149"/>
      <c r="L48" s="149"/>
      <c r="M48" s="149"/>
      <c r="N48" s="149"/>
      <c r="O48" s="149"/>
      <c r="P48" s="149"/>
      <c r="Q48" s="149">
        <f>+N45</f>
        <v>482.2658205456001</v>
      </c>
      <c r="R48" s="149">
        <f t="shared" si="42"/>
        <v>474.0918235872001</v>
      </c>
      <c r="S48" s="149">
        <f t="shared" si="43"/>
        <v>172.38959585265607</v>
      </c>
      <c r="T48" s="149">
        <f t="shared" si="44"/>
        <v>164.9193800323743</v>
      </c>
      <c r="U48" s="149">
        <f t="shared" si="45"/>
        <v>629.79665684837</v>
      </c>
      <c r="V48" s="149">
        <f t="shared" si="46"/>
        <v>539.9242142105187</v>
      </c>
      <c r="W48" s="149">
        <f t="shared" si="47"/>
        <v>533.1751615328873</v>
      </c>
      <c r="X48" s="149">
        <f t="shared" si="48"/>
        <v>526.4261088552557</v>
      </c>
      <c r="Y48" s="149">
        <f t="shared" si="49"/>
        <v>519.6770561776243</v>
      </c>
      <c r="Z48" s="149">
        <f t="shared" si="50"/>
        <v>519.6770561776243</v>
      </c>
      <c r="AA48" s="149">
        <f t="shared" si="63"/>
        <v>0</v>
      </c>
      <c r="AB48" s="149">
        <f t="shared" si="52"/>
        <v>0</v>
      </c>
      <c r="AC48" s="149">
        <f t="shared" si="53"/>
        <v>0</v>
      </c>
      <c r="AD48" s="149">
        <f t="shared" si="54"/>
        <v>0</v>
      </c>
      <c r="AE48" s="149">
        <f t="shared" si="55"/>
        <v>0</v>
      </c>
      <c r="AF48" s="149">
        <f t="shared" si="56"/>
        <v>0</v>
      </c>
      <c r="AG48" s="149">
        <f t="shared" si="57"/>
        <v>0</v>
      </c>
      <c r="AH48" s="149">
        <f t="shared" si="58"/>
        <v>0</v>
      </c>
      <c r="AI48" s="149">
        <f t="shared" si="64"/>
        <v>0</v>
      </c>
      <c r="AJ48" s="149">
        <f t="shared" si="60"/>
        <v>0</v>
      </c>
      <c r="AK48" s="149">
        <f t="shared" si="61"/>
        <v>0</v>
      </c>
      <c r="AL48" s="149">
        <f t="shared" si="62"/>
        <v>0</v>
      </c>
      <c r="AM48" s="131"/>
      <c r="AN48" s="407"/>
      <c r="AO48" s="72"/>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row>
    <row r="49" spans="1:116" s="75" customFormat="1" ht="18.75">
      <c r="A49" s="406"/>
      <c r="B49" s="61"/>
      <c r="C49" s="70"/>
      <c r="D49" s="149"/>
      <c r="E49" s="149"/>
      <c r="F49" s="149"/>
      <c r="G49" s="149"/>
      <c r="H49" s="149"/>
      <c r="I49" s="149"/>
      <c r="J49" s="149"/>
      <c r="K49" s="149"/>
      <c r="L49" s="149"/>
      <c r="M49" s="149"/>
      <c r="N49" s="149"/>
      <c r="O49" s="149"/>
      <c r="P49" s="149"/>
      <c r="Q49" s="149"/>
      <c r="R49" s="149">
        <f>+O46</f>
        <v>482.2658205456001</v>
      </c>
      <c r="S49" s="149">
        <f t="shared" si="43"/>
        <v>474.0918235872001</v>
      </c>
      <c r="T49" s="149">
        <f t="shared" si="44"/>
        <v>172.38959585265607</v>
      </c>
      <c r="U49" s="149">
        <f t="shared" si="45"/>
        <v>164.9193800323743</v>
      </c>
      <c r="V49" s="149">
        <f t="shared" si="46"/>
        <v>629.79665684837</v>
      </c>
      <c r="W49" s="149">
        <f t="shared" si="47"/>
        <v>539.9242142105187</v>
      </c>
      <c r="X49" s="149">
        <f t="shared" si="48"/>
        <v>533.1751615328873</v>
      </c>
      <c r="Y49" s="149">
        <f t="shared" si="49"/>
        <v>526.4261088552557</v>
      </c>
      <c r="Z49" s="149">
        <f t="shared" si="50"/>
        <v>519.6770561776243</v>
      </c>
      <c r="AA49" s="149">
        <f t="shared" si="63"/>
        <v>519.6770561776243</v>
      </c>
      <c r="AB49" s="149">
        <f t="shared" si="52"/>
        <v>0</v>
      </c>
      <c r="AC49" s="149">
        <f t="shared" si="53"/>
        <v>0</v>
      </c>
      <c r="AD49" s="149">
        <f t="shared" si="54"/>
        <v>0</v>
      </c>
      <c r="AE49" s="149">
        <f t="shared" si="55"/>
        <v>0</v>
      </c>
      <c r="AF49" s="149">
        <f t="shared" si="56"/>
        <v>0</v>
      </c>
      <c r="AG49" s="149">
        <f t="shared" si="57"/>
        <v>0</v>
      </c>
      <c r="AH49" s="149">
        <f t="shared" si="58"/>
        <v>0</v>
      </c>
      <c r="AI49" s="149">
        <f t="shared" si="64"/>
        <v>0</v>
      </c>
      <c r="AJ49" s="149">
        <f t="shared" si="60"/>
        <v>0</v>
      </c>
      <c r="AK49" s="149">
        <f t="shared" si="61"/>
        <v>0</v>
      </c>
      <c r="AL49" s="149">
        <f t="shared" si="62"/>
        <v>0</v>
      </c>
      <c r="AM49" s="131"/>
      <c r="AN49" s="407"/>
      <c r="AO49" s="72"/>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row>
    <row r="50" spans="1:116" s="75" customFormat="1" ht="18.75">
      <c r="A50" s="406"/>
      <c r="B50" s="61"/>
      <c r="C50" s="70"/>
      <c r="D50" s="149"/>
      <c r="E50" s="149"/>
      <c r="F50" s="149"/>
      <c r="G50" s="149"/>
      <c r="H50" s="149"/>
      <c r="I50" s="149"/>
      <c r="J50" s="149"/>
      <c r="K50" s="149"/>
      <c r="L50" s="149"/>
      <c r="M50" s="149"/>
      <c r="N50" s="149"/>
      <c r="O50" s="149"/>
      <c r="P50" s="149"/>
      <c r="Q50" s="149"/>
      <c r="R50" s="149"/>
      <c r="S50" s="149">
        <f>+P47</f>
        <v>482.2658205456001</v>
      </c>
      <c r="T50" s="149">
        <f t="shared" si="44"/>
        <v>474.0918235872001</v>
      </c>
      <c r="U50" s="149">
        <f t="shared" si="45"/>
        <v>172.38959585265607</v>
      </c>
      <c r="V50" s="149">
        <f t="shared" si="46"/>
        <v>164.9193800323743</v>
      </c>
      <c r="W50" s="149">
        <f t="shared" si="47"/>
        <v>629.79665684837</v>
      </c>
      <c r="X50" s="149">
        <f t="shared" si="48"/>
        <v>539.9242142105187</v>
      </c>
      <c r="Y50" s="149">
        <f t="shared" si="49"/>
        <v>533.1751615328873</v>
      </c>
      <c r="Z50" s="149">
        <f t="shared" si="50"/>
        <v>526.4261088552557</v>
      </c>
      <c r="AA50" s="149">
        <f t="shared" si="63"/>
        <v>519.6770561776243</v>
      </c>
      <c r="AB50" s="149">
        <f t="shared" si="52"/>
        <v>519.6770561776243</v>
      </c>
      <c r="AC50" s="149">
        <f t="shared" si="53"/>
        <v>0</v>
      </c>
      <c r="AD50" s="149">
        <f t="shared" si="54"/>
        <v>0</v>
      </c>
      <c r="AE50" s="149">
        <f t="shared" si="55"/>
        <v>0</v>
      </c>
      <c r="AF50" s="149">
        <f t="shared" si="56"/>
        <v>0</v>
      </c>
      <c r="AG50" s="149">
        <f t="shared" si="57"/>
        <v>0</v>
      </c>
      <c r="AH50" s="149">
        <f t="shared" si="58"/>
        <v>0</v>
      </c>
      <c r="AI50" s="149">
        <f t="shared" si="64"/>
        <v>0</v>
      </c>
      <c r="AJ50" s="149">
        <f t="shared" si="60"/>
        <v>0</v>
      </c>
      <c r="AK50" s="149">
        <f t="shared" si="61"/>
        <v>0</v>
      </c>
      <c r="AL50" s="149">
        <f t="shared" si="62"/>
        <v>0</v>
      </c>
      <c r="AM50" s="131"/>
      <c r="AN50" s="407"/>
      <c r="AO50" s="72"/>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row>
    <row r="51" spans="1:116" s="75" customFormat="1" ht="18.75">
      <c r="A51" s="406"/>
      <c r="B51" s="61"/>
      <c r="C51" s="70"/>
      <c r="D51" s="149"/>
      <c r="E51" s="149"/>
      <c r="F51" s="149"/>
      <c r="G51" s="149"/>
      <c r="H51" s="149"/>
      <c r="I51" s="149"/>
      <c r="J51" s="149"/>
      <c r="K51" s="149"/>
      <c r="L51" s="149"/>
      <c r="M51" s="149"/>
      <c r="N51" s="149"/>
      <c r="O51" s="149"/>
      <c r="P51" s="149"/>
      <c r="Q51" s="149"/>
      <c r="R51" s="149"/>
      <c r="S51" s="149"/>
      <c r="T51" s="149">
        <f>+Q48</f>
        <v>482.2658205456001</v>
      </c>
      <c r="U51" s="149">
        <f t="shared" si="45"/>
        <v>474.0918235872001</v>
      </c>
      <c r="V51" s="149">
        <f t="shared" si="46"/>
        <v>172.38959585265607</v>
      </c>
      <c r="W51" s="149">
        <f t="shared" si="47"/>
        <v>164.9193800323743</v>
      </c>
      <c r="X51" s="149">
        <f t="shared" si="48"/>
        <v>629.79665684837</v>
      </c>
      <c r="Y51" s="149">
        <f t="shared" si="49"/>
        <v>539.9242142105187</v>
      </c>
      <c r="Z51" s="149">
        <f t="shared" si="50"/>
        <v>533.1751615328873</v>
      </c>
      <c r="AA51" s="149">
        <f t="shared" si="63"/>
        <v>526.4261088552557</v>
      </c>
      <c r="AB51" s="149">
        <f t="shared" si="52"/>
        <v>519.6770561776243</v>
      </c>
      <c r="AC51" s="149">
        <f t="shared" si="53"/>
        <v>519.6770561776243</v>
      </c>
      <c r="AD51" s="149">
        <f t="shared" si="54"/>
        <v>0</v>
      </c>
      <c r="AE51" s="149">
        <f t="shared" si="55"/>
        <v>0</v>
      </c>
      <c r="AF51" s="149">
        <f t="shared" si="56"/>
        <v>0</v>
      </c>
      <c r="AG51" s="149">
        <f t="shared" si="57"/>
        <v>0</v>
      </c>
      <c r="AH51" s="149">
        <f t="shared" si="58"/>
        <v>0</v>
      </c>
      <c r="AI51" s="149">
        <f t="shared" si="64"/>
        <v>0</v>
      </c>
      <c r="AJ51" s="149">
        <f t="shared" si="60"/>
        <v>0</v>
      </c>
      <c r="AK51" s="149">
        <f t="shared" si="61"/>
        <v>0</v>
      </c>
      <c r="AL51" s="149">
        <f t="shared" si="62"/>
        <v>0</v>
      </c>
      <c r="AM51" s="131"/>
      <c r="AN51" s="407"/>
      <c r="AO51" s="72"/>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row>
    <row r="52" spans="1:116" s="75" customFormat="1" ht="18.75">
      <c r="A52" s="406"/>
      <c r="B52" s="61"/>
      <c r="C52" s="70"/>
      <c r="D52" s="149"/>
      <c r="E52" s="149"/>
      <c r="F52" s="149"/>
      <c r="G52" s="149"/>
      <c r="H52" s="149"/>
      <c r="I52" s="149"/>
      <c r="J52" s="149"/>
      <c r="K52" s="149"/>
      <c r="L52" s="149"/>
      <c r="M52" s="149"/>
      <c r="N52" s="149"/>
      <c r="O52" s="149"/>
      <c r="P52" s="149"/>
      <c r="Q52" s="149"/>
      <c r="R52" s="149"/>
      <c r="S52" s="149"/>
      <c r="T52" s="149"/>
      <c r="U52" s="149">
        <f>+R49</f>
        <v>482.2658205456001</v>
      </c>
      <c r="V52" s="149">
        <f t="shared" si="46"/>
        <v>474.0918235872001</v>
      </c>
      <c r="W52" s="149">
        <f t="shared" si="47"/>
        <v>172.38959585265607</v>
      </c>
      <c r="X52" s="149">
        <f t="shared" si="48"/>
        <v>164.9193800323743</v>
      </c>
      <c r="Y52" s="149">
        <f t="shared" si="49"/>
        <v>629.79665684837</v>
      </c>
      <c r="Z52" s="149">
        <f t="shared" si="50"/>
        <v>539.9242142105187</v>
      </c>
      <c r="AA52" s="149">
        <f t="shared" si="63"/>
        <v>533.1751615328873</v>
      </c>
      <c r="AB52" s="149">
        <f t="shared" si="52"/>
        <v>526.4261088552557</v>
      </c>
      <c r="AC52" s="149">
        <f t="shared" si="53"/>
        <v>519.6770561776243</v>
      </c>
      <c r="AD52" s="149">
        <f t="shared" si="54"/>
        <v>519.6770561776243</v>
      </c>
      <c r="AE52" s="149">
        <f t="shared" si="55"/>
        <v>0</v>
      </c>
      <c r="AF52" s="149">
        <f t="shared" si="56"/>
        <v>0</v>
      </c>
      <c r="AG52" s="149">
        <f t="shared" si="57"/>
        <v>0</v>
      </c>
      <c r="AH52" s="149">
        <f t="shared" si="58"/>
        <v>0</v>
      </c>
      <c r="AI52" s="149">
        <f t="shared" si="64"/>
        <v>0</v>
      </c>
      <c r="AJ52" s="149">
        <f t="shared" si="60"/>
        <v>0</v>
      </c>
      <c r="AK52" s="149">
        <f t="shared" si="61"/>
        <v>0</v>
      </c>
      <c r="AL52" s="149">
        <f t="shared" si="62"/>
        <v>0</v>
      </c>
      <c r="AM52" s="131"/>
      <c r="AN52" s="407"/>
      <c r="AO52" s="72"/>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row>
    <row r="53" spans="1:116" s="75" customFormat="1" ht="18.75">
      <c r="A53" s="406"/>
      <c r="B53" s="61"/>
      <c r="C53" s="70"/>
      <c r="D53" s="149"/>
      <c r="E53" s="149"/>
      <c r="F53" s="149"/>
      <c r="G53" s="149"/>
      <c r="H53" s="149"/>
      <c r="I53" s="149"/>
      <c r="J53" s="149"/>
      <c r="K53" s="149"/>
      <c r="L53" s="149"/>
      <c r="M53" s="149"/>
      <c r="N53" s="149"/>
      <c r="O53" s="149"/>
      <c r="P53" s="149"/>
      <c r="Q53" s="149"/>
      <c r="R53" s="149"/>
      <c r="S53" s="149"/>
      <c r="T53" s="149"/>
      <c r="U53" s="149"/>
      <c r="V53" s="149">
        <f>+S50</f>
        <v>482.2658205456001</v>
      </c>
      <c r="W53" s="149">
        <f>+T50</f>
        <v>474.0918235872001</v>
      </c>
      <c r="X53" s="149">
        <f t="shared" si="48"/>
        <v>172.38959585265607</v>
      </c>
      <c r="Y53" s="149">
        <f t="shared" si="49"/>
        <v>164.9193800323743</v>
      </c>
      <c r="Z53" s="149">
        <f t="shared" si="50"/>
        <v>629.79665684837</v>
      </c>
      <c r="AA53" s="149">
        <f t="shared" si="63"/>
        <v>539.9242142105187</v>
      </c>
      <c r="AB53" s="149">
        <f t="shared" si="52"/>
        <v>533.1751615328873</v>
      </c>
      <c r="AC53" s="149">
        <f t="shared" si="53"/>
        <v>526.4261088552557</v>
      </c>
      <c r="AD53" s="149">
        <f t="shared" si="54"/>
        <v>519.6770561776243</v>
      </c>
      <c r="AE53" s="149">
        <f t="shared" si="55"/>
        <v>519.6770561776243</v>
      </c>
      <c r="AF53" s="149">
        <f t="shared" si="56"/>
        <v>0</v>
      </c>
      <c r="AG53" s="149">
        <f t="shared" si="57"/>
        <v>0</v>
      </c>
      <c r="AH53" s="149">
        <f t="shared" si="58"/>
        <v>0</v>
      </c>
      <c r="AI53" s="149">
        <f t="shared" si="64"/>
        <v>0</v>
      </c>
      <c r="AJ53" s="149">
        <f t="shared" si="60"/>
        <v>0</v>
      </c>
      <c r="AK53" s="149">
        <f t="shared" si="61"/>
        <v>0</v>
      </c>
      <c r="AL53" s="149">
        <f t="shared" si="62"/>
        <v>0</v>
      </c>
      <c r="AM53" s="131"/>
      <c r="AN53" s="407"/>
      <c r="AO53" s="72"/>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row>
    <row r="54" spans="1:116" s="75" customFormat="1" ht="18.75">
      <c r="A54" s="406"/>
      <c r="B54" s="61"/>
      <c r="C54" s="70"/>
      <c r="D54" s="149"/>
      <c r="E54" s="149"/>
      <c r="F54" s="149"/>
      <c r="G54" s="149"/>
      <c r="H54" s="149"/>
      <c r="I54" s="149"/>
      <c r="J54" s="149"/>
      <c r="K54" s="149"/>
      <c r="L54" s="149"/>
      <c r="M54" s="149"/>
      <c r="N54" s="149"/>
      <c r="O54" s="149"/>
      <c r="P54" s="149"/>
      <c r="Q54" s="149"/>
      <c r="R54" s="149"/>
      <c r="S54" s="149"/>
      <c r="T54" s="149"/>
      <c r="U54" s="149"/>
      <c r="V54" s="149"/>
      <c r="W54" s="149">
        <f>+T51</f>
        <v>482.2658205456001</v>
      </c>
      <c r="X54" s="149">
        <f t="shared" si="48"/>
        <v>474.0918235872001</v>
      </c>
      <c r="Y54" s="149">
        <f t="shared" si="49"/>
        <v>172.38959585265607</v>
      </c>
      <c r="Z54" s="149">
        <f t="shared" si="50"/>
        <v>164.9193800323743</v>
      </c>
      <c r="AA54" s="149">
        <f t="shared" si="63"/>
        <v>629.79665684837</v>
      </c>
      <c r="AB54" s="149">
        <f t="shared" si="52"/>
        <v>539.9242142105187</v>
      </c>
      <c r="AC54" s="149">
        <f t="shared" si="53"/>
        <v>533.1751615328873</v>
      </c>
      <c r="AD54" s="149">
        <f t="shared" si="54"/>
        <v>526.4261088552557</v>
      </c>
      <c r="AE54" s="149">
        <f t="shared" si="55"/>
        <v>519.6770561776243</v>
      </c>
      <c r="AF54" s="149">
        <f t="shared" si="56"/>
        <v>519.6770561776243</v>
      </c>
      <c r="AG54" s="149">
        <f t="shared" si="57"/>
        <v>0</v>
      </c>
      <c r="AH54" s="149">
        <f t="shared" si="58"/>
        <v>0</v>
      </c>
      <c r="AI54" s="149">
        <f t="shared" si="64"/>
        <v>0</v>
      </c>
      <c r="AJ54" s="149">
        <f t="shared" si="60"/>
        <v>0</v>
      </c>
      <c r="AK54" s="149">
        <f t="shared" si="61"/>
        <v>0</v>
      </c>
      <c r="AL54" s="149">
        <f t="shared" si="62"/>
        <v>0</v>
      </c>
      <c r="AM54" s="131"/>
      <c r="AN54" s="407"/>
      <c r="AO54" s="72"/>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row>
    <row r="55" spans="1:116" s="279" customFormat="1" ht="18.75">
      <c r="A55" s="411"/>
      <c r="B55" s="277"/>
      <c r="C55" s="277"/>
      <c r="D55" s="277">
        <f aca="true" t="shared" si="65" ref="D55:AL55">SUM(D35:D54)</f>
        <v>482.2658205456001</v>
      </c>
      <c r="E55" s="277">
        <f t="shared" si="65"/>
        <v>956.3576441328003</v>
      </c>
      <c r="F55" s="277">
        <f t="shared" si="65"/>
        <v>1128.7472399854562</v>
      </c>
      <c r="G55" s="277">
        <f t="shared" si="65"/>
        <v>1293.6666200178306</v>
      </c>
      <c r="H55" s="277">
        <f t="shared" si="65"/>
        <v>1923.4632768662004</v>
      </c>
      <c r="I55" s="277">
        <f t="shared" si="65"/>
        <v>2463.3874910767195</v>
      </c>
      <c r="J55" s="277">
        <f t="shared" si="65"/>
        <v>2996.5626526096066</v>
      </c>
      <c r="K55" s="277">
        <f t="shared" si="65"/>
        <v>3522.988761464862</v>
      </c>
      <c r="L55" s="277">
        <f t="shared" si="65"/>
        <v>4042.6658176424858</v>
      </c>
      <c r="M55" s="277">
        <f t="shared" si="65"/>
        <v>4562.342873820111</v>
      </c>
      <c r="N55" s="277">
        <f t="shared" si="65"/>
        <v>4562.342873820111</v>
      </c>
      <c r="O55" s="277">
        <f t="shared" si="65"/>
        <v>4562.342873820111</v>
      </c>
      <c r="P55" s="277">
        <f t="shared" si="65"/>
        <v>4562.342873820111</v>
      </c>
      <c r="Q55" s="277">
        <f t="shared" si="65"/>
        <v>4562.342873820111</v>
      </c>
      <c r="R55" s="277">
        <f t="shared" si="65"/>
        <v>4562.342873820111</v>
      </c>
      <c r="S55" s="277">
        <f t="shared" si="65"/>
        <v>4562.342873820111</v>
      </c>
      <c r="T55" s="277">
        <f t="shared" si="65"/>
        <v>4562.342873820111</v>
      </c>
      <c r="U55" s="277">
        <f t="shared" si="65"/>
        <v>4562.342873820111</v>
      </c>
      <c r="V55" s="277">
        <f t="shared" si="65"/>
        <v>4562.342873820111</v>
      </c>
      <c r="W55" s="277">
        <f t="shared" si="65"/>
        <v>4562.342873820111</v>
      </c>
      <c r="X55" s="277">
        <f t="shared" si="65"/>
        <v>4080.0770532745105</v>
      </c>
      <c r="Y55" s="277">
        <f t="shared" si="65"/>
        <v>3605.9852296873105</v>
      </c>
      <c r="Z55" s="277">
        <f t="shared" si="65"/>
        <v>3433.5956338346546</v>
      </c>
      <c r="AA55" s="277">
        <f t="shared" si="65"/>
        <v>3268.6762538022804</v>
      </c>
      <c r="AB55" s="277">
        <f t="shared" si="65"/>
        <v>2638.87959695391</v>
      </c>
      <c r="AC55" s="277">
        <f t="shared" si="65"/>
        <v>2098.9553827433915</v>
      </c>
      <c r="AD55" s="277">
        <f t="shared" si="65"/>
        <v>1565.7802212105044</v>
      </c>
      <c r="AE55" s="277">
        <f t="shared" si="65"/>
        <v>1039.3541123552486</v>
      </c>
      <c r="AF55" s="277">
        <f t="shared" si="65"/>
        <v>519.6770561776243</v>
      </c>
      <c r="AG55" s="277">
        <f t="shared" si="65"/>
        <v>0</v>
      </c>
      <c r="AH55" s="277">
        <f t="shared" si="65"/>
        <v>0</v>
      </c>
      <c r="AI55" s="277">
        <f t="shared" si="65"/>
        <v>0</v>
      </c>
      <c r="AJ55" s="277">
        <f t="shared" si="65"/>
        <v>0</v>
      </c>
      <c r="AK55" s="277">
        <f t="shared" si="65"/>
        <v>0</v>
      </c>
      <c r="AL55" s="277">
        <f t="shared" si="65"/>
        <v>0</v>
      </c>
      <c r="AM55" s="277"/>
      <c r="AN55" s="412"/>
      <c r="AO55" s="278"/>
      <c r="BX55" s="278"/>
      <c r="BY55" s="278"/>
      <c r="BZ55" s="278"/>
      <c r="CA55" s="278"/>
      <c r="CB55" s="278"/>
      <c r="CC55" s="278"/>
      <c r="CD55" s="278"/>
      <c r="CE55" s="278"/>
      <c r="CF55" s="278"/>
      <c r="CG55" s="278"/>
      <c r="CH55" s="278"/>
      <c r="CI55" s="278"/>
      <c r="CJ55" s="278"/>
      <c r="CK55" s="278"/>
      <c r="CL55" s="278"/>
      <c r="CM55" s="278"/>
      <c r="CN55" s="278"/>
      <c r="CO55" s="278"/>
      <c r="CP55" s="278"/>
      <c r="CQ55" s="278"/>
      <c r="CR55" s="278"/>
      <c r="CS55" s="278"/>
      <c r="CT55" s="278"/>
      <c r="CU55" s="278"/>
      <c r="CV55" s="278"/>
      <c r="CW55" s="278"/>
      <c r="CX55" s="278"/>
      <c r="CY55" s="278"/>
      <c r="CZ55" s="278"/>
      <c r="DA55" s="278"/>
      <c r="DB55" s="278"/>
      <c r="DC55" s="278"/>
      <c r="DD55" s="278"/>
      <c r="DE55" s="278"/>
      <c r="DF55" s="278"/>
      <c r="DG55" s="278"/>
      <c r="DH55" s="278"/>
      <c r="DI55" s="278"/>
      <c r="DJ55" s="278"/>
      <c r="DK55" s="278"/>
      <c r="DL55" s="278"/>
    </row>
    <row r="56" spans="1:116" s="279" customFormat="1" ht="18.75">
      <c r="A56" s="411"/>
      <c r="B56" s="277"/>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412"/>
      <c r="AO56" s="278"/>
      <c r="BX56" s="278"/>
      <c r="BY56" s="278"/>
      <c r="BZ56" s="278"/>
      <c r="CA56" s="278"/>
      <c r="CB56" s="278"/>
      <c r="CC56" s="278"/>
      <c r="CD56" s="278"/>
      <c r="CE56" s="278"/>
      <c r="CF56" s="278"/>
      <c r="CG56" s="278"/>
      <c r="CH56" s="278"/>
      <c r="CI56" s="278"/>
      <c r="CJ56" s="278"/>
      <c r="CK56" s="278"/>
      <c r="CL56" s="278"/>
      <c r="CM56" s="278"/>
      <c r="CN56" s="278"/>
      <c r="CO56" s="278"/>
      <c r="CP56" s="278"/>
      <c r="CQ56" s="278"/>
      <c r="CR56" s="278"/>
      <c r="CS56" s="278"/>
      <c r="CT56" s="278"/>
      <c r="CU56" s="278"/>
      <c r="CV56" s="278"/>
      <c r="CW56" s="278"/>
      <c r="CX56" s="278"/>
      <c r="CY56" s="278"/>
      <c r="CZ56" s="278"/>
      <c r="DA56" s="278"/>
      <c r="DB56" s="278"/>
      <c r="DC56" s="278"/>
      <c r="DD56" s="278"/>
      <c r="DE56" s="278"/>
      <c r="DF56" s="278"/>
      <c r="DG56" s="278"/>
      <c r="DH56" s="278"/>
      <c r="DI56" s="278"/>
      <c r="DJ56" s="278"/>
      <c r="DK56" s="278"/>
      <c r="DL56" s="278"/>
    </row>
    <row r="57" spans="1:116" s="75" customFormat="1" ht="18.75">
      <c r="A57" s="406"/>
      <c r="B57" s="61"/>
      <c r="C57" s="70"/>
      <c r="D57" s="127"/>
      <c r="E57" s="127"/>
      <c r="F57" s="127"/>
      <c r="G57" s="127"/>
      <c r="H57" s="127"/>
      <c r="I57" s="127"/>
      <c r="J57" s="127"/>
      <c r="K57" s="127"/>
      <c r="L57" s="127"/>
      <c r="M57" s="127"/>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407"/>
      <c r="AO57" s="72"/>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row>
    <row r="58" spans="1:116" ht="18.75">
      <c r="A58" s="371"/>
      <c r="B58" s="61"/>
      <c r="C58" s="70" t="s">
        <v>38</v>
      </c>
      <c r="D58" s="130">
        <f>+'Education Model'!E63/22*1100000*12/1000000</f>
        <v>278.2302810840001</v>
      </c>
      <c r="E58" s="130">
        <f>+D58</f>
        <v>278.2302810840001</v>
      </c>
      <c r="F58" s="130">
        <f aca="true" t="shared" si="66" ref="F58:M58">+E58</f>
        <v>278.2302810840001</v>
      </c>
      <c r="G58" s="130">
        <f t="shared" si="66"/>
        <v>278.2302810840001</v>
      </c>
      <c r="H58" s="130">
        <f t="shared" si="66"/>
        <v>278.2302810840001</v>
      </c>
      <c r="I58" s="130">
        <f t="shared" si="66"/>
        <v>278.2302810840001</v>
      </c>
      <c r="J58" s="130">
        <f t="shared" si="66"/>
        <v>278.2302810840001</v>
      </c>
      <c r="K58" s="130">
        <f t="shared" si="66"/>
        <v>278.2302810840001</v>
      </c>
      <c r="L58" s="130">
        <f t="shared" si="66"/>
        <v>278.2302810840001</v>
      </c>
      <c r="M58" s="130">
        <f t="shared" si="66"/>
        <v>278.2302810840001</v>
      </c>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403"/>
      <c r="AO58" s="24"/>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row>
    <row r="59" spans="1:116" ht="18.75">
      <c r="A59" s="371"/>
      <c r="B59" s="61"/>
      <c r="C59" s="70"/>
      <c r="D59" s="149"/>
      <c r="E59" s="149">
        <f>+D58</f>
        <v>278.2302810840001</v>
      </c>
      <c r="F59" s="149">
        <f aca="true" t="shared" si="67" ref="F59:AL59">+E58</f>
        <v>278.2302810840001</v>
      </c>
      <c r="G59" s="149">
        <f t="shared" si="67"/>
        <v>278.2302810840001</v>
      </c>
      <c r="H59" s="149">
        <f t="shared" si="67"/>
        <v>278.2302810840001</v>
      </c>
      <c r="I59" s="149">
        <f t="shared" si="67"/>
        <v>278.2302810840001</v>
      </c>
      <c r="J59" s="149">
        <f t="shared" si="67"/>
        <v>278.2302810840001</v>
      </c>
      <c r="K59" s="149">
        <f t="shared" si="67"/>
        <v>278.2302810840001</v>
      </c>
      <c r="L59" s="149">
        <f t="shared" si="67"/>
        <v>278.2302810840001</v>
      </c>
      <c r="M59" s="149">
        <f t="shared" si="67"/>
        <v>278.2302810840001</v>
      </c>
      <c r="N59" s="149">
        <f t="shared" si="67"/>
        <v>278.2302810840001</v>
      </c>
      <c r="O59" s="149">
        <f t="shared" si="67"/>
        <v>0</v>
      </c>
      <c r="P59" s="149">
        <f t="shared" si="67"/>
        <v>0</v>
      </c>
      <c r="Q59" s="149">
        <f t="shared" si="67"/>
        <v>0</v>
      </c>
      <c r="R59" s="149">
        <f t="shared" si="67"/>
        <v>0</v>
      </c>
      <c r="S59" s="149">
        <f t="shared" si="67"/>
        <v>0</v>
      </c>
      <c r="T59" s="149">
        <f t="shared" si="67"/>
        <v>0</v>
      </c>
      <c r="U59" s="149">
        <f t="shared" si="67"/>
        <v>0</v>
      </c>
      <c r="V59" s="149">
        <f t="shared" si="67"/>
        <v>0</v>
      </c>
      <c r="W59" s="149">
        <f t="shared" si="67"/>
        <v>0</v>
      </c>
      <c r="X59" s="149">
        <f t="shared" si="67"/>
        <v>0</v>
      </c>
      <c r="Y59" s="149">
        <f t="shared" si="67"/>
        <v>0</v>
      </c>
      <c r="Z59" s="149">
        <f t="shared" si="67"/>
        <v>0</v>
      </c>
      <c r="AA59" s="149">
        <f t="shared" si="67"/>
        <v>0</v>
      </c>
      <c r="AB59" s="149">
        <f t="shared" si="67"/>
        <v>0</v>
      </c>
      <c r="AC59" s="149">
        <f t="shared" si="67"/>
        <v>0</v>
      </c>
      <c r="AD59" s="149">
        <f t="shared" si="67"/>
        <v>0</v>
      </c>
      <c r="AE59" s="149">
        <f t="shared" si="67"/>
        <v>0</v>
      </c>
      <c r="AF59" s="149">
        <f t="shared" si="67"/>
        <v>0</v>
      </c>
      <c r="AG59" s="149">
        <f t="shared" si="67"/>
        <v>0</v>
      </c>
      <c r="AH59" s="149">
        <f t="shared" si="67"/>
        <v>0</v>
      </c>
      <c r="AI59" s="149">
        <f t="shared" si="67"/>
        <v>0</v>
      </c>
      <c r="AJ59" s="149">
        <f t="shared" si="67"/>
        <v>0</v>
      </c>
      <c r="AK59" s="149">
        <f t="shared" si="67"/>
        <v>0</v>
      </c>
      <c r="AL59" s="149">
        <f t="shared" si="67"/>
        <v>0</v>
      </c>
      <c r="AM59" s="130"/>
      <c r="AN59" s="403"/>
      <c r="AO59" s="24"/>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row>
    <row r="60" spans="1:116" ht="18.75">
      <c r="A60" s="371"/>
      <c r="B60" s="61"/>
      <c r="C60" s="70"/>
      <c r="D60" s="149"/>
      <c r="E60" s="149"/>
      <c r="F60" s="149">
        <f aca="true" t="shared" si="68" ref="F60:AL60">+D58</f>
        <v>278.2302810840001</v>
      </c>
      <c r="G60" s="149">
        <f t="shared" si="68"/>
        <v>278.2302810840001</v>
      </c>
      <c r="H60" s="149">
        <f t="shared" si="68"/>
        <v>278.2302810840001</v>
      </c>
      <c r="I60" s="149">
        <f t="shared" si="68"/>
        <v>278.2302810840001</v>
      </c>
      <c r="J60" s="149">
        <f t="shared" si="68"/>
        <v>278.2302810840001</v>
      </c>
      <c r="K60" s="149">
        <f t="shared" si="68"/>
        <v>278.2302810840001</v>
      </c>
      <c r="L60" s="149">
        <f t="shared" si="68"/>
        <v>278.2302810840001</v>
      </c>
      <c r="M60" s="149">
        <f t="shared" si="68"/>
        <v>278.2302810840001</v>
      </c>
      <c r="N60" s="149">
        <f t="shared" si="68"/>
        <v>278.2302810840001</v>
      </c>
      <c r="O60" s="149">
        <f t="shared" si="68"/>
        <v>278.2302810840001</v>
      </c>
      <c r="P60" s="149">
        <f t="shared" si="68"/>
        <v>0</v>
      </c>
      <c r="Q60" s="149">
        <f t="shared" si="68"/>
        <v>0</v>
      </c>
      <c r="R60" s="149">
        <f t="shared" si="68"/>
        <v>0</v>
      </c>
      <c r="S60" s="149">
        <f t="shared" si="68"/>
        <v>0</v>
      </c>
      <c r="T60" s="149">
        <f t="shared" si="68"/>
        <v>0</v>
      </c>
      <c r="U60" s="149">
        <f t="shared" si="68"/>
        <v>0</v>
      </c>
      <c r="V60" s="149">
        <f t="shared" si="68"/>
        <v>0</v>
      </c>
      <c r="W60" s="149">
        <f t="shared" si="68"/>
        <v>0</v>
      </c>
      <c r="X60" s="149">
        <f t="shared" si="68"/>
        <v>0</v>
      </c>
      <c r="Y60" s="149">
        <f t="shared" si="68"/>
        <v>0</v>
      </c>
      <c r="Z60" s="149">
        <f t="shared" si="68"/>
        <v>0</v>
      </c>
      <c r="AA60" s="149">
        <f t="shared" si="68"/>
        <v>0</v>
      </c>
      <c r="AB60" s="149">
        <f t="shared" si="68"/>
        <v>0</v>
      </c>
      <c r="AC60" s="149">
        <f t="shared" si="68"/>
        <v>0</v>
      </c>
      <c r="AD60" s="149">
        <f t="shared" si="68"/>
        <v>0</v>
      </c>
      <c r="AE60" s="149">
        <f t="shared" si="68"/>
        <v>0</v>
      </c>
      <c r="AF60" s="149">
        <f t="shared" si="68"/>
        <v>0</v>
      </c>
      <c r="AG60" s="149">
        <f t="shared" si="68"/>
        <v>0</v>
      </c>
      <c r="AH60" s="149">
        <f t="shared" si="68"/>
        <v>0</v>
      </c>
      <c r="AI60" s="149">
        <f t="shared" si="68"/>
        <v>0</v>
      </c>
      <c r="AJ60" s="149">
        <f t="shared" si="68"/>
        <v>0</v>
      </c>
      <c r="AK60" s="149">
        <f t="shared" si="68"/>
        <v>0</v>
      </c>
      <c r="AL60" s="149">
        <f t="shared" si="68"/>
        <v>0</v>
      </c>
      <c r="AM60" s="130"/>
      <c r="AN60" s="403"/>
      <c r="AO60" s="24"/>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row>
    <row r="61" spans="1:116" ht="18.75">
      <c r="A61" s="371"/>
      <c r="B61" s="61"/>
      <c r="C61" s="70"/>
      <c r="D61" s="149"/>
      <c r="E61" s="149"/>
      <c r="F61" s="149"/>
      <c r="G61" s="149">
        <f aca="true" t="shared" si="69" ref="G61:L61">+D58</f>
        <v>278.2302810840001</v>
      </c>
      <c r="H61" s="149">
        <f t="shared" si="69"/>
        <v>278.2302810840001</v>
      </c>
      <c r="I61" s="149">
        <f t="shared" si="69"/>
        <v>278.2302810840001</v>
      </c>
      <c r="J61" s="149">
        <f t="shared" si="69"/>
        <v>278.2302810840001</v>
      </c>
      <c r="K61" s="149">
        <f t="shared" si="69"/>
        <v>278.2302810840001</v>
      </c>
      <c r="L61" s="149">
        <f t="shared" si="69"/>
        <v>278.2302810840001</v>
      </c>
      <c r="M61" s="149">
        <f aca="true" t="shared" si="70" ref="M61:M66">+J58</f>
        <v>278.2302810840001</v>
      </c>
      <c r="N61" s="149">
        <f aca="true" t="shared" si="71" ref="N61:N67">+K58</f>
        <v>278.2302810840001</v>
      </c>
      <c r="O61" s="149">
        <f aca="true" t="shared" si="72" ref="O61:O68">+L58</f>
        <v>278.2302810840001</v>
      </c>
      <c r="P61" s="149">
        <f aca="true" t="shared" si="73" ref="P61:P69">+M58</f>
        <v>278.2302810840001</v>
      </c>
      <c r="Q61" s="149">
        <f aca="true" t="shared" si="74" ref="Q61:Q69">+N58</f>
        <v>0</v>
      </c>
      <c r="R61" s="149">
        <f aca="true" t="shared" si="75" ref="R61:R71">+O58</f>
        <v>0</v>
      </c>
      <c r="S61" s="149">
        <f aca="true" t="shared" si="76" ref="S61:S72">+P58</f>
        <v>0</v>
      </c>
      <c r="T61" s="149">
        <f aca="true" t="shared" si="77" ref="T61:T73">+Q58</f>
        <v>0</v>
      </c>
      <c r="U61" s="149">
        <f aca="true" t="shared" si="78" ref="U61:U74">+R58</f>
        <v>0</v>
      </c>
      <c r="V61" s="149">
        <f aca="true" t="shared" si="79" ref="V61:V75">+S58</f>
        <v>0</v>
      </c>
      <c r="W61" s="149">
        <f aca="true" t="shared" si="80" ref="W61:W75">+T58</f>
        <v>0</v>
      </c>
      <c r="X61" s="149">
        <f aca="true" t="shared" si="81" ref="X61:X77">+U58</f>
        <v>0</v>
      </c>
      <c r="Y61" s="149">
        <f aca="true" t="shared" si="82" ref="Y61:Y77">+V58</f>
        <v>0</v>
      </c>
      <c r="Z61" s="149">
        <f aca="true" t="shared" si="83" ref="Z61:Z77">+W58</f>
        <v>0</v>
      </c>
      <c r="AA61" s="149">
        <f aca="true" t="shared" si="84" ref="AA61:AA66">+X58</f>
        <v>0</v>
      </c>
      <c r="AB61" s="149">
        <f aca="true" t="shared" si="85" ref="AB61:AB77">+Y58</f>
        <v>0</v>
      </c>
      <c r="AC61" s="149">
        <f aca="true" t="shared" si="86" ref="AC61:AC77">+Z58</f>
        <v>0</v>
      </c>
      <c r="AD61" s="149">
        <f aca="true" t="shared" si="87" ref="AD61:AD77">+AA58</f>
        <v>0</v>
      </c>
      <c r="AE61" s="149">
        <f aca="true" t="shared" si="88" ref="AE61:AE77">+AB58</f>
        <v>0</v>
      </c>
      <c r="AF61" s="149">
        <f aca="true" t="shared" si="89" ref="AF61:AF77">+AC58</f>
        <v>0</v>
      </c>
      <c r="AG61" s="149">
        <f aca="true" t="shared" si="90" ref="AG61:AG77">+AD58</f>
        <v>0</v>
      </c>
      <c r="AH61" s="149">
        <f aca="true" t="shared" si="91" ref="AH61:AH77">+AE58</f>
        <v>0</v>
      </c>
      <c r="AI61" s="149">
        <f aca="true" t="shared" si="92" ref="AI61:AI66">+AF58</f>
        <v>0</v>
      </c>
      <c r="AJ61" s="149">
        <f aca="true" t="shared" si="93" ref="AJ61:AJ77">+AG58</f>
        <v>0</v>
      </c>
      <c r="AK61" s="149">
        <f aca="true" t="shared" si="94" ref="AK61:AK77">+AH58</f>
        <v>0</v>
      </c>
      <c r="AL61" s="149">
        <f aca="true" t="shared" si="95" ref="AL61:AL77">+AI58</f>
        <v>0</v>
      </c>
      <c r="AM61" s="130"/>
      <c r="AN61" s="403"/>
      <c r="AO61" s="24"/>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row>
    <row r="62" spans="1:116" ht="18.75">
      <c r="A62" s="371"/>
      <c r="B62" s="61"/>
      <c r="C62" s="70"/>
      <c r="D62" s="149"/>
      <c r="E62" s="149"/>
      <c r="F62" s="149"/>
      <c r="G62" s="149"/>
      <c r="H62" s="149">
        <f>+E59</f>
        <v>278.2302810840001</v>
      </c>
      <c r="I62" s="149">
        <f>+F59</f>
        <v>278.2302810840001</v>
      </c>
      <c r="J62" s="149">
        <f>+G59</f>
        <v>278.2302810840001</v>
      </c>
      <c r="K62" s="149">
        <f>+H59</f>
        <v>278.2302810840001</v>
      </c>
      <c r="L62" s="149">
        <f>+I59</f>
        <v>278.2302810840001</v>
      </c>
      <c r="M62" s="149">
        <f t="shared" si="70"/>
        <v>278.2302810840001</v>
      </c>
      <c r="N62" s="149">
        <f t="shared" si="71"/>
        <v>278.2302810840001</v>
      </c>
      <c r="O62" s="149">
        <f t="shared" si="72"/>
        <v>278.2302810840001</v>
      </c>
      <c r="P62" s="149">
        <f t="shared" si="73"/>
        <v>278.2302810840001</v>
      </c>
      <c r="Q62" s="149">
        <f t="shared" si="74"/>
        <v>278.2302810840001</v>
      </c>
      <c r="R62" s="149">
        <f t="shared" si="75"/>
        <v>0</v>
      </c>
      <c r="S62" s="149">
        <f t="shared" si="76"/>
        <v>0</v>
      </c>
      <c r="T62" s="149">
        <f t="shared" si="77"/>
        <v>0</v>
      </c>
      <c r="U62" s="149">
        <f t="shared" si="78"/>
        <v>0</v>
      </c>
      <c r="V62" s="149">
        <f t="shared" si="79"/>
        <v>0</v>
      </c>
      <c r="W62" s="149">
        <f t="shared" si="80"/>
        <v>0</v>
      </c>
      <c r="X62" s="149">
        <f t="shared" si="81"/>
        <v>0</v>
      </c>
      <c r="Y62" s="149">
        <f t="shared" si="82"/>
        <v>0</v>
      </c>
      <c r="Z62" s="149">
        <f t="shared" si="83"/>
        <v>0</v>
      </c>
      <c r="AA62" s="149">
        <f t="shared" si="84"/>
        <v>0</v>
      </c>
      <c r="AB62" s="149">
        <f t="shared" si="85"/>
        <v>0</v>
      </c>
      <c r="AC62" s="149">
        <f t="shared" si="86"/>
        <v>0</v>
      </c>
      <c r="AD62" s="149">
        <f t="shared" si="87"/>
        <v>0</v>
      </c>
      <c r="AE62" s="149">
        <f t="shared" si="88"/>
        <v>0</v>
      </c>
      <c r="AF62" s="149">
        <f t="shared" si="89"/>
        <v>0</v>
      </c>
      <c r="AG62" s="149">
        <f t="shared" si="90"/>
        <v>0</v>
      </c>
      <c r="AH62" s="149">
        <f t="shared" si="91"/>
        <v>0</v>
      </c>
      <c r="AI62" s="149">
        <f t="shared" si="92"/>
        <v>0</v>
      </c>
      <c r="AJ62" s="149">
        <f t="shared" si="93"/>
        <v>0</v>
      </c>
      <c r="AK62" s="149">
        <f t="shared" si="94"/>
        <v>0</v>
      </c>
      <c r="AL62" s="149">
        <f t="shared" si="95"/>
        <v>0</v>
      </c>
      <c r="AM62" s="130"/>
      <c r="AN62" s="403"/>
      <c r="AO62" s="24"/>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row>
    <row r="63" spans="1:116" ht="18.75">
      <c r="A63" s="371"/>
      <c r="B63" s="61"/>
      <c r="C63" s="70"/>
      <c r="D63" s="149"/>
      <c r="E63" s="149"/>
      <c r="F63" s="149"/>
      <c r="G63" s="149"/>
      <c r="H63" s="149"/>
      <c r="I63" s="149">
        <f>+F60</f>
        <v>278.2302810840001</v>
      </c>
      <c r="J63" s="149">
        <f>+G60</f>
        <v>278.2302810840001</v>
      </c>
      <c r="K63" s="149">
        <f>+H60</f>
        <v>278.2302810840001</v>
      </c>
      <c r="L63" s="149">
        <f>+I60</f>
        <v>278.2302810840001</v>
      </c>
      <c r="M63" s="149">
        <f t="shared" si="70"/>
        <v>278.2302810840001</v>
      </c>
      <c r="N63" s="149">
        <f t="shared" si="71"/>
        <v>278.2302810840001</v>
      </c>
      <c r="O63" s="149">
        <f t="shared" si="72"/>
        <v>278.2302810840001</v>
      </c>
      <c r="P63" s="149">
        <f t="shared" si="73"/>
        <v>278.2302810840001</v>
      </c>
      <c r="Q63" s="149">
        <f t="shared" si="74"/>
        <v>278.2302810840001</v>
      </c>
      <c r="R63" s="149">
        <f t="shared" si="75"/>
        <v>278.2302810840001</v>
      </c>
      <c r="S63" s="149">
        <f t="shared" si="76"/>
        <v>0</v>
      </c>
      <c r="T63" s="149">
        <f t="shared" si="77"/>
        <v>0</v>
      </c>
      <c r="U63" s="149">
        <f t="shared" si="78"/>
        <v>0</v>
      </c>
      <c r="V63" s="149">
        <f t="shared" si="79"/>
        <v>0</v>
      </c>
      <c r="W63" s="149">
        <f t="shared" si="80"/>
        <v>0</v>
      </c>
      <c r="X63" s="149">
        <f t="shared" si="81"/>
        <v>0</v>
      </c>
      <c r="Y63" s="149">
        <f t="shared" si="82"/>
        <v>0</v>
      </c>
      <c r="Z63" s="149">
        <f t="shared" si="83"/>
        <v>0</v>
      </c>
      <c r="AA63" s="149">
        <f t="shared" si="84"/>
        <v>0</v>
      </c>
      <c r="AB63" s="149">
        <f t="shared" si="85"/>
        <v>0</v>
      </c>
      <c r="AC63" s="149">
        <f t="shared" si="86"/>
        <v>0</v>
      </c>
      <c r="AD63" s="149">
        <f t="shared" si="87"/>
        <v>0</v>
      </c>
      <c r="AE63" s="149">
        <f t="shared" si="88"/>
        <v>0</v>
      </c>
      <c r="AF63" s="149">
        <f t="shared" si="89"/>
        <v>0</v>
      </c>
      <c r="AG63" s="149">
        <f t="shared" si="90"/>
        <v>0</v>
      </c>
      <c r="AH63" s="149">
        <f t="shared" si="91"/>
        <v>0</v>
      </c>
      <c r="AI63" s="149">
        <f t="shared" si="92"/>
        <v>0</v>
      </c>
      <c r="AJ63" s="149">
        <f t="shared" si="93"/>
        <v>0</v>
      </c>
      <c r="AK63" s="149">
        <f t="shared" si="94"/>
        <v>0</v>
      </c>
      <c r="AL63" s="149">
        <f t="shared" si="95"/>
        <v>0</v>
      </c>
      <c r="AM63" s="130"/>
      <c r="AN63" s="403"/>
      <c r="AO63" s="24"/>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row>
    <row r="64" spans="1:116" ht="18.75">
      <c r="A64" s="371"/>
      <c r="B64" s="61"/>
      <c r="C64" s="70"/>
      <c r="D64" s="149"/>
      <c r="E64" s="149"/>
      <c r="F64" s="149"/>
      <c r="G64" s="149"/>
      <c r="H64" s="149"/>
      <c r="I64" s="149"/>
      <c r="J64" s="149">
        <f>+G61</f>
        <v>278.2302810840001</v>
      </c>
      <c r="K64" s="149">
        <f>+H61</f>
        <v>278.2302810840001</v>
      </c>
      <c r="L64" s="149">
        <f>+I61</f>
        <v>278.2302810840001</v>
      </c>
      <c r="M64" s="149">
        <f t="shared" si="70"/>
        <v>278.2302810840001</v>
      </c>
      <c r="N64" s="149">
        <f t="shared" si="71"/>
        <v>278.2302810840001</v>
      </c>
      <c r="O64" s="149">
        <f t="shared" si="72"/>
        <v>278.2302810840001</v>
      </c>
      <c r="P64" s="149">
        <f t="shared" si="73"/>
        <v>278.2302810840001</v>
      </c>
      <c r="Q64" s="149">
        <f t="shared" si="74"/>
        <v>278.2302810840001</v>
      </c>
      <c r="R64" s="149">
        <f t="shared" si="75"/>
        <v>278.2302810840001</v>
      </c>
      <c r="S64" s="149">
        <f t="shared" si="76"/>
        <v>278.2302810840001</v>
      </c>
      <c r="T64" s="149">
        <f t="shared" si="77"/>
        <v>0</v>
      </c>
      <c r="U64" s="149">
        <f t="shared" si="78"/>
        <v>0</v>
      </c>
      <c r="V64" s="149">
        <f t="shared" si="79"/>
        <v>0</v>
      </c>
      <c r="W64" s="149">
        <f t="shared" si="80"/>
        <v>0</v>
      </c>
      <c r="X64" s="149">
        <f t="shared" si="81"/>
        <v>0</v>
      </c>
      <c r="Y64" s="149">
        <f t="shared" si="82"/>
        <v>0</v>
      </c>
      <c r="Z64" s="149">
        <f t="shared" si="83"/>
        <v>0</v>
      </c>
      <c r="AA64" s="149">
        <f t="shared" si="84"/>
        <v>0</v>
      </c>
      <c r="AB64" s="149">
        <f t="shared" si="85"/>
        <v>0</v>
      </c>
      <c r="AC64" s="149">
        <f t="shared" si="86"/>
        <v>0</v>
      </c>
      <c r="AD64" s="149">
        <f t="shared" si="87"/>
        <v>0</v>
      </c>
      <c r="AE64" s="149">
        <f t="shared" si="88"/>
        <v>0</v>
      </c>
      <c r="AF64" s="149">
        <f t="shared" si="89"/>
        <v>0</v>
      </c>
      <c r="AG64" s="149">
        <f t="shared" si="90"/>
        <v>0</v>
      </c>
      <c r="AH64" s="149">
        <f t="shared" si="91"/>
        <v>0</v>
      </c>
      <c r="AI64" s="149">
        <f t="shared" si="92"/>
        <v>0</v>
      </c>
      <c r="AJ64" s="149">
        <f t="shared" si="93"/>
        <v>0</v>
      </c>
      <c r="AK64" s="149">
        <f t="shared" si="94"/>
        <v>0</v>
      </c>
      <c r="AL64" s="149">
        <f t="shared" si="95"/>
        <v>0</v>
      </c>
      <c r="AM64" s="130"/>
      <c r="AN64" s="403"/>
      <c r="AO64" s="24"/>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row>
    <row r="65" spans="1:116" ht="18.75">
      <c r="A65" s="371"/>
      <c r="B65" s="61"/>
      <c r="C65" s="70"/>
      <c r="D65" s="149"/>
      <c r="E65" s="149"/>
      <c r="F65" s="149"/>
      <c r="G65" s="149"/>
      <c r="H65" s="149"/>
      <c r="I65" s="149"/>
      <c r="J65" s="149"/>
      <c r="K65" s="149">
        <f>+H62</f>
        <v>278.2302810840001</v>
      </c>
      <c r="L65" s="149">
        <f>+I62</f>
        <v>278.2302810840001</v>
      </c>
      <c r="M65" s="149">
        <f t="shared" si="70"/>
        <v>278.2302810840001</v>
      </c>
      <c r="N65" s="149">
        <f t="shared" si="71"/>
        <v>278.2302810840001</v>
      </c>
      <c r="O65" s="149">
        <f t="shared" si="72"/>
        <v>278.2302810840001</v>
      </c>
      <c r="P65" s="149">
        <f t="shared" si="73"/>
        <v>278.2302810840001</v>
      </c>
      <c r="Q65" s="149">
        <f t="shared" si="74"/>
        <v>278.2302810840001</v>
      </c>
      <c r="R65" s="149">
        <f t="shared" si="75"/>
        <v>278.2302810840001</v>
      </c>
      <c r="S65" s="149">
        <f t="shared" si="76"/>
        <v>278.2302810840001</v>
      </c>
      <c r="T65" s="149">
        <f t="shared" si="77"/>
        <v>278.2302810840001</v>
      </c>
      <c r="U65" s="149">
        <f t="shared" si="78"/>
        <v>0</v>
      </c>
      <c r="V65" s="149">
        <f t="shared" si="79"/>
        <v>0</v>
      </c>
      <c r="W65" s="149">
        <f t="shared" si="80"/>
        <v>0</v>
      </c>
      <c r="X65" s="149">
        <f t="shared" si="81"/>
        <v>0</v>
      </c>
      <c r="Y65" s="149">
        <f t="shared" si="82"/>
        <v>0</v>
      </c>
      <c r="Z65" s="149">
        <f t="shared" si="83"/>
        <v>0</v>
      </c>
      <c r="AA65" s="149">
        <f t="shared" si="84"/>
        <v>0</v>
      </c>
      <c r="AB65" s="149">
        <f t="shared" si="85"/>
        <v>0</v>
      </c>
      <c r="AC65" s="149">
        <f t="shared" si="86"/>
        <v>0</v>
      </c>
      <c r="AD65" s="149">
        <f t="shared" si="87"/>
        <v>0</v>
      </c>
      <c r="AE65" s="149">
        <f t="shared" si="88"/>
        <v>0</v>
      </c>
      <c r="AF65" s="149">
        <f t="shared" si="89"/>
        <v>0</v>
      </c>
      <c r="AG65" s="149">
        <f t="shared" si="90"/>
        <v>0</v>
      </c>
      <c r="AH65" s="149">
        <f t="shared" si="91"/>
        <v>0</v>
      </c>
      <c r="AI65" s="149">
        <f t="shared" si="92"/>
        <v>0</v>
      </c>
      <c r="AJ65" s="149">
        <f t="shared" si="93"/>
        <v>0</v>
      </c>
      <c r="AK65" s="149">
        <f t="shared" si="94"/>
        <v>0</v>
      </c>
      <c r="AL65" s="149">
        <f t="shared" si="95"/>
        <v>0</v>
      </c>
      <c r="AM65" s="130"/>
      <c r="AN65" s="403"/>
      <c r="AO65" s="24"/>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row>
    <row r="66" spans="1:116" ht="18.75">
      <c r="A66" s="371"/>
      <c r="B66" s="61"/>
      <c r="C66" s="70"/>
      <c r="D66" s="149"/>
      <c r="E66" s="149"/>
      <c r="F66" s="149"/>
      <c r="G66" s="149"/>
      <c r="H66" s="149"/>
      <c r="I66" s="149"/>
      <c r="J66" s="149"/>
      <c r="K66" s="149"/>
      <c r="L66" s="149">
        <f>+I63</f>
        <v>278.2302810840001</v>
      </c>
      <c r="M66" s="149">
        <f t="shared" si="70"/>
        <v>278.2302810840001</v>
      </c>
      <c r="N66" s="149">
        <f t="shared" si="71"/>
        <v>278.2302810840001</v>
      </c>
      <c r="O66" s="149">
        <f t="shared" si="72"/>
        <v>278.2302810840001</v>
      </c>
      <c r="P66" s="149">
        <f t="shared" si="73"/>
        <v>278.2302810840001</v>
      </c>
      <c r="Q66" s="149">
        <f t="shared" si="74"/>
        <v>278.2302810840001</v>
      </c>
      <c r="R66" s="149">
        <f t="shared" si="75"/>
        <v>278.2302810840001</v>
      </c>
      <c r="S66" s="149">
        <f t="shared" si="76"/>
        <v>278.2302810840001</v>
      </c>
      <c r="T66" s="149">
        <f t="shared" si="77"/>
        <v>278.2302810840001</v>
      </c>
      <c r="U66" s="149">
        <f t="shared" si="78"/>
        <v>278.2302810840001</v>
      </c>
      <c r="V66" s="149">
        <f t="shared" si="79"/>
        <v>0</v>
      </c>
      <c r="W66" s="149">
        <f t="shared" si="80"/>
        <v>0</v>
      </c>
      <c r="X66" s="149">
        <f t="shared" si="81"/>
        <v>0</v>
      </c>
      <c r="Y66" s="149">
        <f t="shared" si="82"/>
        <v>0</v>
      </c>
      <c r="Z66" s="149">
        <f t="shared" si="83"/>
        <v>0</v>
      </c>
      <c r="AA66" s="149">
        <f t="shared" si="84"/>
        <v>0</v>
      </c>
      <c r="AB66" s="149">
        <f t="shared" si="85"/>
        <v>0</v>
      </c>
      <c r="AC66" s="149">
        <f t="shared" si="86"/>
        <v>0</v>
      </c>
      <c r="AD66" s="149">
        <f t="shared" si="87"/>
        <v>0</v>
      </c>
      <c r="AE66" s="149">
        <f t="shared" si="88"/>
        <v>0</v>
      </c>
      <c r="AF66" s="149">
        <f t="shared" si="89"/>
        <v>0</v>
      </c>
      <c r="AG66" s="149">
        <f t="shared" si="90"/>
        <v>0</v>
      </c>
      <c r="AH66" s="149">
        <f t="shared" si="91"/>
        <v>0</v>
      </c>
      <c r="AI66" s="149">
        <f t="shared" si="92"/>
        <v>0</v>
      </c>
      <c r="AJ66" s="149">
        <f t="shared" si="93"/>
        <v>0</v>
      </c>
      <c r="AK66" s="149">
        <f t="shared" si="94"/>
        <v>0</v>
      </c>
      <c r="AL66" s="149">
        <f t="shared" si="95"/>
        <v>0</v>
      </c>
      <c r="AM66" s="130"/>
      <c r="AN66" s="403"/>
      <c r="AO66" s="24"/>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row>
    <row r="67" spans="1:116" ht="18.75">
      <c r="A67" s="371"/>
      <c r="B67" s="61"/>
      <c r="C67" s="70"/>
      <c r="D67" s="149"/>
      <c r="E67" s="149"/>
      <c r="F67" s="149"/>
      <c r="G67" s="149"/>
      <c r="H67" s="149"/>
      <c r="I67" s="149"/>
      <c r="J67" s="149"/>
      <c r="K67" s="149"/>
      <c r="L67" s="149"/>
      <c r="M67" s="149">
        <f>+J64</f>
        <v>278.2302810840001</v>
      </c>
      <c r="N67" s="149">
        <f t="shared" si="71"/>
        <v>278.2302810840001</v>
      </c>
      <c r="O67" s="149">
        <f t="shared" si="72"/>
        <v>278.2302810840001</v>
      </c>
      <c r="P67" s="149">
        <f t="shared" si="73"/>
        <v>278.2302810840001</v>
      </c>
      <c r="Q67" s="149">
        <f t="shared" si="74"/>
        <v>278.2302810840001</v>
      </c>
      <c r="R67" s="149">
        <f t="shared" si="75"/>
        <v>278.2302810840001</v>
      </c>
      <c r="S67" s="149">
        <f t="shared" si="76"/>
        <v>278.2302810840001</v>
      </c>
      <c r="T67" s="149">
        <f t="shared" si="77"/>
        <v>278.2302810840001</v>
      </c>
      <c r="U67" s="149">
        <f t="shared" si="78"/>
        <v>278.2302810840001</v>
      </c>
      <c r="V67" s="149">
        <f t="shared" si="79"/>
        <v>278.2302810840001</v>
      </c>
      <c r="W67" s="149">
        <f t="shared" si="80"/>
        <v>0</v>
      </c>
      <c r="X67" s="149">
        <f t="shared" si="81"/>
        <v>0</v>
      </c>
      <c r="Y67" s="149">
        <f t="shared" si="82"/>
        <v>0</v>
      </c>
      <c r="Z67" s="149">
        <f t="shared" si="83"/>
        <v>0</v>
      </c>
      <c r="AA67" s="149">
        <f aca="true" t="shared" si="96" ref="AA67:AA77">+X64</f>
        <v>0</v>
      </c>
      <c r="AB67" s="149">
        <f t="shared" si="85"/>
        <v>0</v>
      </c>
      <c r="AC67" s="149">
        <f t="shared" si="86"/>
        <v>0</v>
      </c>
      <c r="AD67" s="149">
        <f t="shared" si="87"/>
        <v>0</v>
      </c>
      <c r="AE67" s="149">
        <f t="shared" si="88"/>
        <v>0</v>
      </c>
      <c r="AF67" s="149">
        <f t="shared" si="89"/>
        <v>0</v>
      </c>
      <c r="AG67" s="149">
        <f t="shared" si="90"/>
        <v>0</v>
      </c>
      <c r="AH67" s="149">
        <f t="shared" si="91"/>
        <v>0</v>
      </c>
      <c r="AI67" s="149">
        <f aca="true" t="shared" si="97" ref="AI67:AI77">+AF64</f>
        <v>0</v>
      </c>
      <c r="AJ67" s="149">
        <f t="shared" si="93"/>
        <v>0</v>
      </c>
      <c r="AK67" s="149">
        <f t="shared" si="94"/>
        <v>0</v>
      </c>
      <c r="AL67" s="149">
        <f t="shared" si="95"/>
        <v>0</v>
      </c>
      <c r="AM67" s="130"/>
      <c r="AN67" s="403"/>
      <c r="AO67" s="24"/>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row>
    <row r="68" spans="1:116" ht="18.75">
      <c r="A68" s="371"/>
      <c r="B68" s="61"/>
      <c r="C68" s="70"/>
      <c r="D68" s="149"/>
      <c r="E68" s="149"/>
      <c r="F68" s="149"/>
      <c r="G68" s="149"/>
      <c r="H68" s="149"/>
      <c r="I68" s="149"/>
      <c r="J68" s="149"/>
      <c r="K68" s="149"/>
      <c r="L68" s="149"/>
      <c r="M68" s="149"/>
      <c r="N68" s="149">
        <f>+K65</f>
        <v>278.2302810840001</v>
      </c>
      <c r="O68" s="149">
        <f t="shared" si="72"/>
        <v>278.2302810840001</v>
      </c>
      <c r="P68" s="149">
        <f t="shared" si="73"/>
        <v>278.2302810840001</v>
      </c>
      <c r="Q68" s="149">
        <f t="shared" si="74"/>
        <v>278.2302810840001</v>
      </c>
      <c r="R68" s="149">
        <f t="shared" si="75"/>
        <v>278.2302810840001</v>
      </c>
      <c r="S68" s="149">
        <f t="shared" si="76"/>
        <v>278.2302810840001</v>
      </c>
      <c r="T68" s="149">
        <f t="shared" si="77"/>
        <v>278.2302810840001</v>
      </c>
      <c r="U68" s="149">
        <f t="shared" si="78"/>
        <v>278.2302810840001</v>
      </c>
      <c r="V68" s="149">
        <f t="shared" si="79"/>
        <v>278.2302810840001</v>
      </c>
      <c r="W68" s="149">
        <f t="shared" si="80"/>
        <v>278.2302810840001</v>
      </c>
      <c r="X68" s="149">
        <f t="shared" si="81"/>
        <v>0</v>
      </c>
      <c r="Y68" s="149">
        <f t="shared" si="82"/>
        <v>0</v>
      </c>
      <c r="Z68" s="149">
        <f t="shared" si="83"/>
        <v>0</v>
      </c>
      <c r="AA68" s="149">
        <f t="shared" si="96"/>
        <v>0</v>
      </c>
      <c r="AB68" s="149">
        <f t="shared" si="85"/>
        <v>0</v>
      </c>
      <c r="AC68" s="149">
        <f t="shared" si="86"/>
        <v>0</v>
      </c>
      <c r="AD68" s="149">
        <f t="shared" si="87"/>
        <v>0</v>
      </c>
      <c r="AE68" s="149">
        <f t="shared" si="88"/>
        <v>0</v>
      </c>
      <c r="AF68" s="149">
        <f t="shared" si="89"/>
        <v>0</v>
      </c>
      <c r="AG68" s="149">
        <f t="shared" si="90"/>
        <v>0</v>
      </c>
      <c r="AH68" s="149">
        <f t="shared" si="91"/>
        <v>0</v>
      </c>
      <c r="AI68" s="149">
        <f t="shared" si="97"/>
        <v>0</v>
      </c>
      <c r="AJ68" s="149">
        <f t="shared" si="93"/>
        <v>0</v>
      </c>
      <c r="AK68" s="149">
        <f t="shared" si="94"/>
        <v>0</v>
      </c>
      <c r="AL68" s="149">
        <f t="shared" si="95"/>
        <v>0</v>
      </c>
      <c r="AM68" s="130"/>
      <c r="AN68" s="403"/>
      <c r="AO68" s="24"/>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row>
    <row r="69" spans="1:116" ht="18.75">
      <c r="A69" s="371"/>
      <c r="B69" s="61"/>
      <c r="C69" s="70"/>
      <c r="D69" s="149"/>
      <c r="E69" s="149"/>
      <c r="F69" s="149"/>
      <c r="G69" s="149"/>
      <c r="H69" s="149"/>
      <c r="I69" s="149"/>
      <c r="J69" s="149"/>
      <c r="K69" s="149"/>
      <c r="L69" s="149"/>
      <c r="M69" s="149"/>
      <c r="N69" s="149"/>
      <c r="O69" s="149">
        <f>+L66</f>
        <v>278.2302810840001</v>
      </c>
      <c r="P69" s="149">
        <f t="shared" si="73"/>
        <v>278.2302810840001</v>
      </c>
      <c r="Q69" s="149">
        <f t="shared" si="74"/>
        <v>278.2302810840001</v>
      </c>
      <c r="R69" s="149">
        <f t="shared" si="75"/>
        <v>278.2302810840001</v>
      </c>
      <c r="S69" s="149">
        <f t="shared" si="76"/>
        <v>278.2302810840001</v>
      </c>
      <c r="T69" s="149">
        <f t="shared" si="77"/>
        <v>278.2302810840001</v>
      </c>
      <c r="U69" s="149">
        <f t="shared" si="78"/>
        <v>278.2302810840001</v>
      </c>
      <c r="V69" s="149">
        <f t="shared" si="79"/>
        <v>278.2302810840001</v>
      </c>
      <c r="W69" s="149">
        <f t="shared" si="80"/>
        <v>278.2302810840001</v>
      </c>
      <c r="X69" s="149">
        <f t="shared" si="81"/>
        <v>278.2302810840001</v>
      </c>
      <c r="Y69" s="149">
        <f t="shared" si="82"/>
        <v>0</v>
      </c>
      <c r="Z69" s="149">
        <f t="shared" si="83"/>
        <v>0</v>
      </c>
      <c r="AA69" s="149">
        <f t="shared" si="96"/>
        <v>0</v>
      </c>
      <c r="AB69" s="149">
        <f t="shared" si="85"/>
        <v>0</v>
      </c>
      <c r="AC69" s="149">
        <f t="shared" si="86"/>
        <v>0</v>
      </c>
      <c r="AD69" s="149">
        <f t="shared" si="87"/>
        <v>0</v>
      </c>
      <c r="AE69" s="149">
        <f t="shared" si="88"/>
        <v>0</v>
      </c>
      <c r="AF69" s="149">
        <f t="shared" si="89"/>
        <v>0</v>
      </c>
      <c r="AG69" s="149">
        <f t="shared" si="90"/>
        <v>0</v>
      </c>
      <c r="AH69" s="149">
        <f t="shared" si="91"/>
        <v>0</v>
      </c>
      <c r="AI69" s="149">
        <f t="shared" si="97"/>
        <v>0</v>
      </c>
      <c r="AJ69" s="149">
        <f t="shared" si="93"/>
        <v>0</v>
      </c>
      <c r="AK69" s="149">
        <f t="shared" si="94"/>
        <v>0</v>
      </c>
      <c r="AL69" s="149">
        <f t="shared" si="95"/>
        <v>0</v>
      </c>
      <c r="AM69" s="130"/>
      <c r="AN69" s="403"/>
      <c r="AO69" s="24"/>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row>
    <row r="70" spans="1:116" ht="18.75">
      <c r="A70" s="371"/>
      <c r="B70" s="61"/>
      <c r="C70" s="70"/>
      <c r="D70" s="149"/>
      <c r="E70" s="149"/>
      <c r="F70" s="149"/>
      <c r="G70" s="149"/>
      <c r="H70" s="149"/>
      <c r="I70" s="149"/>
      <c r="J70" s="149"/>
      <c r="K70" s="149"/>
      <c r="L70" s="149"/>
      <c r="M70" s="149"/>
      <c r="N70" s="149"/>
      <c r="O70" s="149"/>
      <c r="P70" s="149">
        <f>+M67</f>
        <v>278.2302810840001</v>
      </c>
      <c r="Q70" s="149">
        <f>+N67</f>
        <v>278.2302810840001</v>
      </c>
      <c r="R70" s="149">
        <f t="shared" si="75"/>
        <v>278.2302810840001</v>
      </c>
      <c r="S70" s="149">
        <f t="shared" si="76"/>
        <v>278.2302810840001</v>
      </c>
      <c r="T70" s="149">
        <f t="shared" si="77"/>
        <v>278.2302810840001</v>
      </c>
      <c r="U70" s="149">
        <f t="shared" si="78"/>
        <v>278.2302810840001</v>
      </c>
      <c r="V70" s="149">
        <f t="shared" si="79"/>
        <v>278.2302810840001</v>
      </c>
      <c r="W70" s="149">
        <f t="shared" si="80"/>
        <v>278.2302810840001</v>
      </c>
      <c r="X70" s="149">
        <f t="shared" si="81"/>
        <v>278.2302810840001</v>
      </c>
      <c r="Y70" s="149">
        <f t="shared" si="82"/>
        <v>278.2302810840001</v>
      </c>
      <c r="Z70" s="149">
        <f t="shared" si="83"/>
        <v>0</v>
      </c>
      <c r="AA70" s="149">
        <f t="shared" si="96"/>
        <v>0</v>
      </c>
      <c r="AB70" s="149">
        <f t="shared" si="85"/>
        <v>0</v>
      </c>
      <c r="AC70" s="149">
        <f t="shared" si="86"/>
        <v>0</v>
      </c>
      <c r="AD70" s="149">
        <f t="shared" si="87"/>
        <v>0</v>
      </c>
      <c r="AE70" s="149">
        <f t="shared" si="88"/>
        <v>0</v>
      </c>
      <c r="AF70" s="149">
        <f t="shared" si="89"/>
        <v>0</v>
      </c>
      <c r="AG70" s="149">
        <f t="shared" si="90"/>
        <v>0</v>
      </c>
      <c r="AH70" s="149">
        <f t="shared" si="91"/>
        <v>0</v>
      </c>
      <c r="AI70" s="149">
        <f t="shared" si="97"/>
        <v>0</v>
      </c>
      <c r="AJ70" s="149">
        <f t="shared" si="93"/>
        <v>0</v>
      </c>
      <c r="AK70" s="149">
        <f t="shared" si="94"/>
        <v>0</v>
      </c>
      <c r="AL70" s="149">
        <f t="shared" si="95"/>
        <v>0</v>
      </c>
      <c r="AM70" s="130"/>
      <c r="AN70" s="403"/>
      <c r="AO70" s="24"/>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row>
    <row r="71" spans="1:116" ht="18.75">
      <c r="A71" s="371"/>
      <c r="B71" s="61"/>
      <c r="C71" s="70"/>
      <c r="D71" s="149"/>
      <c r="E71" s="149"/>
      <c r="F71" s="149"/>
      <c r="G71" s="149"/>
      <c r="H71" s="149"/>
      <c r="I71" s="149"/>
      <c r="J71" s="149"/>
      <c r="K71" s="149"/>
      <c r="L71" s="149"/>
      <c r="M71" s="149"/>
      <c r="N71" s="149"/>
      <c r="O71" s="149"/>
      <c r="P71" s="149"/>
      <c r="Q71" s="149">
        <f>+N68</f>
        <v>278.2302810840001</v>
      </c>
      <c r="R71" s="149">
        <f t="shared" si="75"/>
        <v>278.2302810840001</v>
      </c>
      <c r="S71" s="149">
        <f t="shared" si="76"/>
        <v>278.2302810840001</v>
      </c>
      <c r="T71" s="149">
        <f t="shared" si="77"/>
        <v>278.2302810840001</v>
      </c>
      <c r="U71" s="149">
        <f t="shared" si="78"/>
        <v>278.2302810840001</v>
      </c>
      <c r="V71" s="149">
        <f t="shared" si="79"/>
        <v>278.2302810840001</v>
      </c>
      <c r="W71" s="149">
        <f t="shared" si="80"/>
        <v>278.2302810840001</v>
      </c>
      <c r="X71" s="149">
        <f t="shared" si="81"/>
        <v>278.2302810840001</v>
      </c>
      <c r="Y71" s="149">
        <f t="shared" si="82"/>
        <v>278.2302810840001</v>
      </c>
      <c r="Z71" s="149">
        <f t="shared" si="83"/>
        <v>278.2302810840001</v>
      </c>
      <c r="AA71" s="149">
        <f t="shared" si="96"/>
        <v>0</v>
      </c>
      <c r="AB71" s="149">
        <f t="shared" si="85"/>
        <v>0</v>
      </c>
      <c r="AC71" s="149">
        <f t="shared" si="86"/>
        <v>0</v>
      </c>
      <c r="AD71" s="149">
        <f t="shared" si="87"/>
        <v>0</v>
      </c>
      <c r="AE71" s="149">
        <f t="shared" si="88"/>
        <v>0</v>
      </c>
      <c r="AF71" s="149">
        <f t="shared" si="89"/>
        <v>0</v>
      </c>
      <c r="AG71" s="149">
        <f t="shared" si="90"/>
        <v>0</v>
      </c>
      <c r="AH71" s="149">
        <f t="shared" si="91"/>
        <v>0</v>
      </c>
      <c r="AI71" s="149">
        <f t="shared" si="97"/>
        <v>0</v>
      </c>
      <c r="AJ71" s="149">
        <f t="shared" si="93"/>
        <v>0</v>
      </c>
      <c r="AK71" s="149">
        <f t="shared" si="94"/>
        <v>0</v>
      </c>
      <c r="AL71" s="149">
        <f t="shared" si="95"/>
        <v>0</v>
      </c>
      <c r="AM71" s="130"/>
      <c r="AN71" s="403"/>
      <c r="AO71" s="24"/>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row>
    <row r="72" spans="1:116" ht="18.75">
      <c r="A72" s="371"/>
      <c r="B72" s="61"/>
      <c r="C72" s="70"/>
      <c r="D72" s="149"/>
      <c r="E72" s="149"/>
      <c r="F72" s="149"/>
      <c r="G72" s="149"/>
      <c r="H72" s="149"/>
      <c r="I72" s="149"/>
      <c r="J72" s="149"/>
      <c r="K72" s="149"/>
      <c r="L72" s="149"/>
      <c r="M72" s="149"/>
      <c r="N72" s="149"/>
      <c r="O72" s="149"/>
      <c r="P72" s="149"/>
      <c r="Q72" s="149"/>
      <c r="R72" s="149">
        <f>+O69</f>
        <v>278.2302810840001</v>
      </c>
      <c r="S72" s="149">
        <f t="shared" si="76"/>
        <v>278.2302810840001</v>
      </c>
      <c r="T72" s="149">
        <f t="shared" si="77"/>
        <v>278.2302810840001</v>
      </c>
      <c r="U72" s="149">
        <f t="shared" si="78"/>
        <v>278.2302810840001</v>
      </c>
      <c r="V72" s="149">
        <f t="shared" si="79"/>
        <v>278.2302810840001</v>
      </c>
      <c r="W72" s="149">
        <f t="shared" si="80"/>
        <v>278.2302810840001</v>
      </c>
      <c r="X72" s="149">
        <f t="shared" si="81"/>
        <v>278.2302810840001</v>
      </c>
      <c r="Y72" s="149">
        <f t="shared" si="82"/>
        <v>278.2302810840001</v>
      </c>
      <c r="Z72" s="149">
        <f t="shared" si="83"/>
        <v>278.2302810840001</v>
      </c>
      <c r="AA72" s="149">
        <f t="shared" si="96"/>
        <v>278.2302810840001</v>
      </c>
      <c r="AB72" s="149">
        <f t="shared" si="85"/>
        <v>0</v>
      </c>
      <c r="AC72" s="149">
        <f t="shared" si="86"/>
        <v>0</v>
      </c>
      <c r="AD72" s="149">
        <f t="shared" si="87"/>
        <v>0</v>
      </c>
      <c r="AE72" s="149">
        <f t="shared" si="88"/>
        <v>0</v>
      </c>
      <c r="AF72" s="149">
        <f t="shared" si="89"/>
        <v>0</v>
      </c>
      <c r="AG72" s="149">
        <f t="shared" si="90"/>
        <v>0</v>
      </c>
      <c r="AH72" s="149">
        <f t="shared" si="91"/>
        <v>0</v>
      </c>
      <c r="AI72" s="149">
        <f t="shared" si="97"/>
        <v>0</v>
      </c>
      <c r="AJ72" s="149">
        <f t="shared" si="93"/>
        <v>0</v>
      </c>
      <c r="AK72" s="149">
        <f t="shared" si="94"/>
        <v>0</v>
      </c>
      <c r="AL72" s="149">
        <f t="shared" si="95"/>
        <v>0</v>
      </c>
      <c r="AM72" s="130"/>
      <c r="AN72" s="403"/>
      <c r="AO72" s="24"/>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row>
    <row r="73" spans="1:116" ht="18.75">
      <c r="A73" s="371"/>
      <c r="B73" s="61"/>
      <c r="C73" s="70"/>
      <c r="D73" s="149"/>
      <c r="E73" s="149"/>
      <c r="F73" s="149"/>
      <c r="G73" s="149"/>
      <c r="H73" s="149"/>
      <c r="I73" s="149"/>
      <c r="J73" s="149"/>
      <c r="K73" s="149"/>
      <c r="L73" s="149"/>
      <c r="M73" s="149"/>
      <c r="N73" s="149"/>
      <c r="O73" s="149"/>
      <c r="P73" s="149"/>
      <c r="Q73" s="149"/>
      <c r="R73" s="149"/>
      <c r="S73" s="149">
        <f>+P70</f>
        <v>278.2302810840001</v>
      </c>
      <c r="T73" s="149">
        <f t="shared" si="77"/>
        <v>278.2302810840001</v>
      </c>
      <c r="U73" s="149">
        <f t="shared" si="78"/>
        <v>278.2302810840001</v>
      </c>
      <c r="V73" s="149">
        <f t="shared" si="79"/>
        <v>278.2302810840001</v>
      </c>
      <c r="W73" s="149">
        <f t="shared" si="80"/>
        <v>278.2302810840001</v>
      </c>
      <c r="X73" s="149">
        <f t="shared" si="81"/>
        <v>278.2302810840001</v>
      </c>
      <c r="Y73" s="149">
        <f t="shared" si="82"/>
        <v>278.2302810840001</v>
      </c>
      <c r="Z73" s="149">
        <f t="shared" si="83"/>
        <v>278.2302810840001</v>
      </c>
      <c r="AA73" s="149">
        <f t="shared" si="96"/>
        <v>278.2302810840001</v>
      </c>
      <c r="AB73" s="149">
        <f t="shared" si="85"/>
        <v>278.2302810840001</v>
      </c>
      <c r="AC73" s="149">
        <f t="shared" si="86"/>
        <v>0</v>
      </c>
      <c r="AD73" s="149">
        <f t="shared" si="87"/>
        <v>0</v>
      </c>
      <c r="AE73" s="149">
        <f t="shared" si="88"/>
        <v>0</v>
      </c>
      <c r="AF73" s="149">
        <f t="shared" si="89"/>
        <v>0</v>
      </c>
      <c r="AG73" s="149">
        <f t="shared" si="90"/>
        <v>0</v>
      </c>
      <c r="AH73" s="149">
        <f t="shared" si="91"/>
        <v>0</v>
      </c>
      <c r="AI73" s="149">
        <f t="shared" si="97"/>
        <v>0</v>
      </c>
      <c r="AJ73" s="149">
        <f t="shared" si="93"/>
        <v>0</v>
      </c>
      <c r="AK73" s="149">
        <f t="shared" si="94"/>
        <v>0</v>
      </c>
      <c r="AL73" s="149">
        <f t="shared" si="95"/>
        <v>0</v>
      </c>
      <c r="AM73" s="130"/>
      <c r="AN73" s="403"/>
      <c r="AO73" s="24"/>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row>
    <row r="74" spans="1:116" ht="18.75">
      <c r="A74" s="371"/>
      <c r="B74" s="61"/>
      <c r="C74" s="70"/>
      <c r="D74" s="149"/>
      <c r="E74" s="149"/>
      <c r="F74" s="149"/>
      <c r="G74" s="149"/>
      <c r="H74" s="149"/>
      <c r="I74" s="149"/>
      <c r="J74" s="149"/>
      <c r="K74" s="149"/>
      <c r="L74" s="149"/>
      <c r="M74" s="149"/>
      <c r="N74" s="149"/>
      <c r="O74" s="149"/>
      <c r="P74" s="149"/>
      <c r="Q74" s="149"/>
      <c r="R74" s="149"/>
      <c r="S74" s="149"/>
      <c r="T74" s="149">
        <f>+Q71</f>
        <v>278.2302810840001</v>
      </c>
      <c r="U74" s="149">
        <f t="shared" si="78"/>
        <v>278.2302810840001</v>
      </c>
      <c r="V74" s="149">
        <f t="shared" si="79"/>
        <v>278.2302810840001</v>
      </c>
      <c r="W74" s="149">
        <f t="shared" si="80"/>
        <v>278.2302810840001</v>
      </c>
      <c r="X74" s="149">
        <f t="shared" si="81"/>
        <v>278.2302810840001</v>
      </c>
      <c r="Y74" s="149">
        <f t="shared" si="82"/>
        <v>278.2302810840001</v>
      </c>
      <c r="Z74" s="149">
        <f t="shared" si="83"/>
        <v>278.2302810840001</v>
      </c>
      <c r="AA74" s="149">
        <f t="shared" si="96"/>
        <v>278.2302810840001</v>
      </c>
      <c r="AB74" s="149">
        <f t="shared" si="85"/>
        <v>278.2302810840001</v>
      </c>
      <c r="AC74" s="149">
        <f t="shared" si="86"/>
        <v>278.2302810840001</v>
      </c>
      <c r="AD74" s="149">
        <f t="shared" si="87"/>
        <v>0</v>
      </c>
      <c r="AE74" s="149">
        <f t="shared" si="88"/>
        <v>0</v>
      </c>
      <c r="AF74" s="149">
        <f t="shared" si="89"/>
        <v>0</v>
      </c>
      <c r="AG74" s="149">
        <f t="shared" si="90"/>
        <v>0</v>
      </c>
      <c r="AH74" s="149">
        <f t="shared" si="91"/>
        <v>0</v>
      </c>
      <c r="AI74" s="149">
        <f t="shared" si="97"/>
        <v>0</v>
      </c>
      <c r="AJ74" s="149">
        <f t="shared" si="93"/>
        <v>0</v>
      </c>
      <c r="AK74" s="149">
        <f t="shared" si="94"/>
        <v>0</v>
      </c>
      <c r="AL74" s="149">
        <f t="shared" si="95"/>
        <v>0</v>
      </c>
      <c r="AM74" s="130"/>
      <c r="AN74" s="403"/>
      <c r="AO74" s="24"/>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row>
    <row r="75" spans="1:116" ht="18.75">
      <c r="A75" s="371"/>
      <c r="B75" s="61"/>
      <c r="C75" s="70"/>
      <c r="D75" s="149"/>
      <c r="E75" s="149"/>
      <c r="F75" s="149"/>
      <c r="G75" s="149"/>
      <c r="H75" s="149"/>
      <c r="I75" s="149"/>
      <c r="J75" s="149"/>
      <c r="K75" s="149"/>
      <c r="L75" s="149"/>
      <c r="M75" s="149"/>
      <c r="N75" s="149"/>
      <c r="O75" s="149"/>
      <c r="P75" s="149"/>
      <c r="Q75" s="149"/>
      <c r="R75" s="149"/>
      <c r="S75" s="149"/>
      <c r="T75" s="149"/>
      <c r="U75" s="149">
        <f>+R72</f>
        <v>278.2302810840001</v>
      </c>
      <c r="V75" s="149">
        <f t="shared" si="79"/>
        <v>278.2302810840001</v>
      </c>
      <c r="W75" s="149">
        <f t="shared" si="80"/>
        <v>278.2302810840001</v>
      </c>
      <c r="X75" s="149">
        <f t="shared" si="81"/>
        <v>278.2302810840001</v>
      </c>
      <c r="Y75" s="149">
        <f t="shared" si="82"/>
        <v>278.2302810840001</v>
      </c>
      <c r="Z75" s="149">
        <f t="shared" si="83"/>
        <v>278.2302810840001</v>
      </c>
      <c r="AA75" s="149">
        <f t="shared" si="96"/>
        <v>278.2302810840001</v>
      </c>
      <c r="AB75" s="149">
        <f t="shared" si="85"/>
        <v>278.2302810840001</v>
      </c>
      <c r="AC75" s="149">
        <f t="shared" si="86"/>
        <v>278.2302810840001</v>
      </c>
      <c r="AD75" s="149">
        <f t="shared" si="87"/>
        <v>278.2302810840001</v>
      </c>
      <c r="AE75" s="149">
        <f t="shared" si="88"/>
        <v>0</v>
      </c>
      <c r="AF75" s="149">
        <f t="shared" si="89"/>
        <v>0</v>
      </c>
      <c r="AG75" s="149">
        <f t="shared" si="90"/>
        <v>0</v>
      </c>
      <c r="AH75" s="149">
        <f t="shared" si="91"/>
        <v>0</v>
      </c>
      <c r="AI75" s="149">
        <f t="shared" si="97"/>
        <v>0</v>
      </c>
      <c r="AJ75" s="149">
        <f t="shared" si="93"/>
        <v>0</v>
      </c>
      <c r="AK75" s="149">
        <f t="shared" si="94"/>
        <v>0</v>
      </c>
      <c r="AL75" s="149">
        <f t="shared" si="95"/>
        <v>0</v>
      </c>
      <c r="AM75" s="130"/>
      <c r="AN75" s="403"/>
      <c r="AO75" s="24"/>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row>
    <row r="76" spans="1:116" ht="18.75">
      <c r="A76" s="371"/>
      <c r="B76" s="61"/>
      <c r="C76" s="70"/>
      <c r="D76" s="149"/>
      <c r="E76" s="149"/>
      <c r="F76" s="149"/>
      <c r="G76" s="149"/>
      <c r="H76" s="149"/>
      <c r="I76" s="149"/>
      <c r="J76" s="149"/>
      <c r="K76" s="149"/>
      <c r="L76" s="149"/>
      <c r="M76" s="149"/>
      <c r="N76" s="149"/>
      <c r="O76" s="149"/>
      <c r="P76" s="149"/>
      <c r="Q76" s="149"/>
      <c r="R76" s="149"/>
      <c r="S76" s="149"/>
      <c r="T76" s="149"/>
      <c r="U76" s="149"/>
      <c r="V76" s="149">
        <f>+S73</f>
        <v>278.2302810840001</v>
      </c>
      <c r="W76" s="149">
        <f>+T73</f>
        <v>278.2302810840001</v>
      </c>
      <c r="X76" s="149">
        <f t="shared" si="81"/>
        <v>278.2302810840001</v>
      </c>
      <c r="Y76" s="149">
        <f t="shared" si="82"/>
        <v>278.2302810840001</v>
      </c>
      <c r="Z76" s="149">
        <f t="shared" si="83"/>
        <v>278.2302810840001</v>
      </c>
      <c r="AA76" s="149">
        <f t="shared" si="96"/>
        <v>278.2302810840001</v>
      </c>
      <c r="AB76" s="149">
        <f t="shared" si="85"/>
        <v>278.2302810840001</v>
      </c>
      <c r="AC76" s="149">
        <f t="shared" si="86"/>
        <v>278.2302810840001</v>
      </c>
      <c r="AD76" s="149">
        <f t="shared" si="87"/>
        <v>278.2302810840001</v>
      </c>
      <c r="AE76" s="149">
        <f t="shared" si="88"/>
        <v>278.2302810840001</v>
      </c>
      <c r="AF76" s="149">
        <f t="shared" si="89"/>
        <v>0</v>
      </c>
      <c r="AG76" s="149">
        <f t="shared" si="90"/>
        <v>0</v>
      </c>
      <c r="AH76" s="149">
        <f t="shared" si="91"/>
        <v>0</v>
      </c>
      <c r="AI76" s="149">
        <f t="shared" si="97"/>
        <v>0</v>
      </c>
      <c r="AJ76" s="149">
        <f t="shared" si="93"/>
        <v>0</v>
      </c>
      <c r="AK76" s="149">
        <f t="shared" si="94"/>
        <v>0</v>
      </c>
      <c r="AL76" s="149">
        <f t="shared" si="95"/>
        <v>0</v>
      </c>
      <c r="AM76" s="130"/>
      <c r="AN76" s="403"/>
      <c r="AO76" s="24"/>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row>
    <row r="77" spans="1:116" ht="18.75">
      <c r="A77" s="371"/>
      <c r="B77" s="61"/>
      <c r="C77" s="70"/>
      <c r="D77" s="149"/>
      <c r="E77" s="149"/>
      <c r="F77" s="149"/>
      <c r="G77" s="149"/>
      <c r="H77" s="149"/>
      <c r="I77" s="149"/>
      <c r="J77" s="149"/>
      <c r="K77" s="149"/>
      <c r="L77" s="149"/>
      <c r="M77" s="149"/>
      <c r="N77" s="149"/>
      <c r="O77" s="149"/>
      <c r="P77" s="149"/>
      <c r="Q77" s="149"/>
      <c r="R77" s="149"/>
      <c r="S77" s="149"/>
      <c r="T77" s="149"/>
      <c r="U77" s="149"/>
      <c r="V77" s="149"/>
      <c r="W77" s="149">
        <f>+T74</f>
        <v>278.2302810840001</v>
      </c>
      <c r="X77" s="149">
        <f t="shared" si="81"/>
        <v>278.2302810840001</v>
      </c>
      <c r="Y77" s="149">
        <f t="shared" si="82"/>
        <v>278.2302810840001</v>
      </c>
      <c r="Z77" s="149">
        <f t="shared" si="83"/>
        <v>278.2302810840001</v>
      </c>
      <c r="AA77" s="149">
        <f t="shared" si="96"/>
        <v>278.2302810840001</v>
      </c>
      <c r="AB77" s="149">
        <f t="shared" si="85"/>
        <v>278.2302810840001</v>
      </c>
      <c r="AC77" s="149">
        <f t="shared" si="86"/>
        <v>278.2302810840001</v>
      </c>
      <c r="AD77" s="149">
        <f t="shared" si="87"/>
        <v>278.2302810840001</v>
      </c>
      <c r="AE77" s="149">
        <f t="shared" si="88"/>
        <v>278.2302810840001</v>
      </c>
      <c r="AF77" s="149">
        <f t="shared" si="89"/>
        <v>278.2302810840001</v>
      </c>
      <c r="AG77" s="149">
        <f t="shared" si="90"/>
        <v>0</v>
      </c>
      <c r="AH77" s="149">
        <f t="shared" si="91"/>
        <v>0</v>
      </c>
      <c r="AI77" s="149">
        <f t="shared" si="97"/>
        <v>0</v>
      </c>
      <c r="AJ77" s="149">
        <f t="shared" si="93"/>
        <v>0</v>
      </c>
      <c r="AK77" s="149">
        <f t="shared" si="94"/>
        <v>0</v>
      </c>
      <c r="AL77" s="149">
        <f t="shared" si="95"/>
        <v>0</v>
      </c>
      <c r="AM77" s="130"/>
      <c r="AN77" s="403"/>
      <c r="AO77" s="24"/>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row>
    <row r="78" spans="1:116" ht="18.75">
      <c r="A78" s="413"/>
      <c r="B78" s="61"/>
      <c r="C78" s="70"/>
      <c r="D78" s="280">
        <f>SUM(D58:D77)</f>
        <v>278.2302810840001</v>
      </c>
      <c r="E78" s="280">
        <f aca="true" t="shared" si="98" ref="E78:AL78">SUM(E58:E77)</f>
        <v>556.4605621680003</v>
      </c>
      <c r="F78" s="280">
        <f t="shared" si="98"/>
        <v>834.6908432520004</v>
      </c>
      <c r="G78" s="280">
        <f t="shared" si="98"/>
        <v>1112.9211243360005</v>
      </c>
      <c r="H78" s="280">
        <f t="shared" si="98"/>
        <v>1391.1514054200006</v>
      </c>
      <c r="I78" s="280">
        <f t="shared" si="98"/>
        <v>1669.3816865040008</v>
      </c>
      <c r="J78" s="280">
        <f t="shared" si="98"/>
        <v>1947.6119675880009</v>
      </c>
      <c r="K78" s="280">
        <f t="shared" si="98"/>
        <v>2225.842248672001</v>
      </c>
      <c r="L78" s="280">
        <f t="shared" si="98"/>
        <v>2504.072529756001</v>
      </c>
      <c r="M78" s="280">
        <f t="shared" si="98"/>
        <v>2782.3028108400013</v>
      </c>
      <c r="N78" s="280">
        <f t="shared" si="98"/>
        <v>2782.3028108400013</v>
      </c>
      <c r="O78" s="280">
        <f t="shared" si="98"/>
        <v>2782.3028108400013</v>
      </c>
      <c r="P78" s="280">
        <f t="shared" si="98"/>
        <v>2782.3028108400013</v>
      </c>
      <c r="Q78" s="280">
        <f t="shared" si="98"/>
        <v>2782.3028108400013</v>
      </c>
      <c r="R78" s="280">
        <f t="shared" si="98"/>
        <v>2782.3028108400013</v>
      </c>
      <c r="S78" s="280">
        <f t="shared" si="98"/>
        <v>2782.3028108400013</v>
      </c>
      <c r="T78" s="280">
        <f t="shared" si="98"/>
        <v>2782.3028108400013</v>
      </c>
      <c r="U78" s="280">
        <f t="shared" si="98"/>
        <v>2782.3028108400013</v>
      </c>
      <c r="V78" s="280">
        <f t="shared" si="98"/>
        <v>2782.3028108400013</v>
      </c>
      <c r="W78" s="280">
        <f t="shared" si="98"/>
        <v>2782.3028108400013</v>
      </c>
      <c r="X78" s="280">
        <f t="shared" si="98"/>
        <v>2504.072529756001</v>
      </c>
      <c r="Y78" s="280">
        <f t="shared" si="98"/>
        <v>2225.842248672001</v>
      </c>
      <c r="Z78" s="280">
        <f t="shared" si="98"/>
        <v>1947.6119675880009</v>
      </c>
      <c r="AA78" s="280">
        <f t="shared" si="98"/>
        <v>1669.3816865040008</v>
      </c>
      <c r="AB78" s="280">
        <f t="shared" si="98"/>
        <v>1391.1514054200006</v>
      </c>
      <c r="AC78" s="280">
        <f t="shared" si="98"/>
        <v>1112.9211243360005</v>
      </c>
      <c r="AD78" s="280">
        <f t="shared" si="98"/>
        <v>834.6908432520004</v>
      </c>
      <c r="AE78" s="280">
        <f t="shared" si="98"/>
        <v>556.4605621680003</v>
      </c>
      <c r="AF78" s="280">
        <f t="shared" si="98"/>
        <v>278.2302810840001</v>
      </c>
      <c r="AG78" s="280">
        <f t="shared" si="98"/>
        <v>0</v>
      </c>
      <c r="AH78" s="280">
        <f t="shared" si="98"/>
        <v>0</v>
      </c>
      <c r="AI78" s="280">
        <f t="shared" si="98"/>
        <v>0</v>
      </c>
      <c r="AJ78" s="280">
        <f t="shared" si="98"/>
        <v>0</v>
      </c>
      <c r="AK78" s="280">
        <f t="shared" si="98"/>
        <v>0</v>
      </c>
      <c r="AL78" s="280">
        <f t="shared" si="98"/>
        <v>0</v>
      </c>
      <c r="AM78" s="130"/>
      <c r="AN78" s="403"/>
      <c r="AO78" s="24"/>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row>
    <row r="79" spans="1:116" ht="18.75">
      <c r="A79" s="371"/>
      <c r="B79" s="61"/>
      <c r="C79" s="7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403"/>
      <c r="AO79" s="24"/>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row>
    <row r="80" spans="1:116" s="75" customFormat="1" ht="18.75">
      <c r="A80" s="406"/>
      <c r="B80" s="61"/>
      <c r="C80" s="126"/>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407"/>
      <c r="AO80" s="72"/>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row>
    <row r="81" spans="1:116" s="75" customFormat="1" ht="18.75">
      <c r="A81" s="406"/>
      <c r="B81" s="61" t="s">
        <v>31</v>
      </c>
      <c r="C81" s="126"/>
      <c r="D81" s="131">
        <f>+D33-D55-D78</f>
        <v>-497.70592217520027</v>
      </c>
      <c r="E81" s="131">
        <f aca="true" t="shared" si="99" ref="E81:AL81">+E33-E55-E78</f>
        <v>-979.0638504336006</v>
      </c>
      <c r="F81" s="131">
        <f t="shared" si="99"/>
        <v>-857.0173232229124</v>
      </c>
      <c r="G81" s="131">
        <f t="shared" si="99"/>
        <v>-720.0303643716611</v>
      </c>
      <c r="H81" s="131">
        <f t="shared" si="99"/>
        <v>249.4428018763988</v>
      </c>
      <c r="I81" s="131">
        <f t="shared" si="99"/>
        <v>1338.669274043436</v>
      </c>
      <c r="J81" s="131">
        <f t="shared" si="99"/>
        <v>2434.6447988881064</v>
      </c>
      <c r="K81" s="131">
        <f t="shared" si="99"/>
        <v>3537.369376410408</v>
      </c>
      <c r="L81" s="131">
        <f t="shared" si="99"/>
        <v>4646.843006610338</v>
      </c>
      <c r="M81" s="131">
        <f t="shared" si="99"/>
        <v>10521.74582213825</v>
      </c>
      <c r="N81" s="131">
        <f t="shared" si="99"/>
        <v>17194.55597492779</v>
      </c>
      <c r="O81" s="131">
        <f t="shared" si="99"/>
        <v>23867.366127717323</v>
      </c>
      <c r="P81" s="131">
        <f t="shared" si="99"/>
        <v>30540.17628050685</v>
      </c>
      <c r="Q81" s="131">
        <f t="shared" si="99"/>
        <v>37212.98643329637</v>
      </c>
      <c r="R81" s="131">
        <f t="shared" si="99"/>
        <v>44939.0757592448</v>
      </c>
      <c r="S81" s="131">
        <f t="shared" si="99"/>
        <v>52665.16508519322</v>
      </c>
      <c r="T81" s="131">
        <f t="shared" si="99"/>
        <v>60391.25441114164</v>
      </c>
      <c r="U81" s="131">
        <f t="shared" si="99"/>
        <v>68117.34373709011</v>
      </c>
      <c r="V81" s="131">
        <f t="shared" si="99"/>
        <v>75843.43306303852</v>
      </c>
      <c r="W81" s="131">
        <f t="shared" si="99"/>
        <v>86161.81787692675</v>
      </c>
      <c r="X81" s="131">
        <f t="shared" si="99"/>
        <v>96977.90861299021</v>
      </c>
      <c r="Y81" s="131">
        <f t="shared" si="99"/>
        <v>107777.65135513686</v>
      </c>
      <c r="Z81" s="131">
        <f t="shared" si="99"/>
        <v>117973.9896418144</v>
      </c>
      <c r="AA81" s="131">
        <f t="shared" si="99"/>
        <v>128155.38749685137</v>
      </c>
      <c r="AB81" s="131">
        <f t="shared" si="99"/>
        <v>139523.3278383097</v>
      </c>
      <c r="AC81" s="131">
        <f t="shared" si="99"/>
        <v>150771.51487384905</v>
      </c>
      <c r="AD81" s="131">
        <f t="shared" si="99"/>
        <v>162012.95285671073</v>
      </c>
      <c r="AE81" s="131">
        <f t="shared" si="99"/>
        <v>173247.64178689485</v>
      </c>
      <c r="AF81" s="131">
        <f t="shared" si="99"/>
        <v>184475.5816644013</v>
      </c>
      <c r="AG81" s="131">
        <f t="shared" si="99"/>
        <v>195836.29957186725</v>
      </c>
      <c r="AH81" s="131">
        <f t="shared" si="99"/>
        <v>206399.1101420716</v>
      </c>
      <c r="AI81" s="131">
        <f t="shared" si="99"/>
        <v>216961.92071227587</v>
      </c>
      <c r="AJ81" s="131">
        <f t="shared" si="99"/>
        <v>227524.73128248015</v>
      </c>
      <c r="AK81" s="131">
        <f t="shared" si="99"/>
        <v>238087.5418526845</v>
      </c>
      <c r="AL81" s="131">
        <f t="shared" si="99"/>
        <v>247597.07324972993</v>
      </c>
      <c r="AM81" s="131"/>
      <c r="AN81" s="407"/>
      <c r="AO81" s="72"/>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row>
    <row r="82" spans="1:116" s="75" customFormat="1" ht="18.75">
      <c r="A82" s="406"/>
      <c r="B82" s="61"/>
      <c r="C82" s="126"/>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407"/>
      <c r="AO82" s="72"/>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row>
    <row r="83" spans="1:116" ht="18.75">
      <c r="A83" s="371"/>
      <c r="B83" s="61"/>
      <c r="C83" s="70" t="s">
        <v>0</v>
      </c>
      <c r="D83" s="127"/>
      <c r="E83" s="127"/>
      <c r="F83" s="127"/>
      <c r="G83" s="127"/>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403"/>
      <c r="AO83" s="24"/>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row>
    <row r="84" spans="1:116" ht="22.5">
      <c r="A84" s="371"/>
      <c r="B84" s="57" t="s">
        <v>28</v>
      </c>
      <c r="C84" s="68"/>
      <c r="D84" s="127"/>
      <c r="E84" s="127"/>
      <c r="F84" s="127"/>
      <c r="G84" s="127"/>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403"/>
      <c r="AO84" s="24"/>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row>
    <row r="85" spans="1:116" ht="18.75">
      <c r="A85" s="371"/>
      <c r="B85" s="61"/>
      <c r="C85" s="68"/>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403"/>
      <c r="AO85" s="24"/>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row>
    <row r="86" spans="1:116" ht="18.75">
      <c r="A86" s="371"/>
      <c r="B86" s="61" t="s">
        <v>17</v>
      </c>
      <c r="C86" s="69"/>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403"/>
      <c r="AO86" s="24"/>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row>
    <row r="87" spans="1:116" ht="18.75">
      <c r="A87" s="371"/>
      <c r="B87" s="147"/>
      <c r="C87" s="148" t="s">
        <v>32</v>
      </c>
      <c r="D87" s="149">
        <f>+('Education Model'!E77*'Age Earning Profiles'!$D10+'Education Model'!E78*'Age Earning Profiles'!$E10+'Education Model'!E79*'Age Earning Profiles'!$F10+'Education Model'!E80*'Age Earning Profiles'!$G10+'Education Model'!E81*'Age Earning Profiles'!$H10)*260/1000000</f>
        <v>251.132766432288</v>
      </c>
      <c r="E87" s="149">
        <f>+('Education Model'!F77*'Age Earning Profiles'!$D10+'Education Model'!F78*'Age Earning Profiles'!$E10+'Education Model'!F79*'Age Earning Profiles'!$F10+'Education Model'!F80*'Age Earning Profiles'!$G10+'Education Model'!F81*'Age Earning Profiles'!$H10)*260/1000000</f>
        <v>259.22718898377605</v>
      </c>
      <c r="F87" s="149">
        <f>+('Education Model'!G77*'Age Earning Profiles'!$D10+'Education Model'!G78*'Age Earning Profiles'!$E10+'Education Model'!G79*'Age Earning Profiles'!$F10+'Education Model'!G80*'Age Earning Profiles'!$G10+'Education Model'!G81*'Age Earning Profiles'!$H10)*260/1000000</f>
        <v>567.1082214344477</v>
      </c>
      <c r="G87" s="149">
        <f>+('Education Model'!H77*'Age Earning Profiles'!$D10+'Education Model'!H78*'Age Earning Profiles'!$E10+'Education Model'!H79*'Age Earning Profiles'!$F10+'Education Model'!H80*'Age Earning Profiles'!$G10+'Education Model'!H81*'Age Earning Profiles'!$H10)*260/1000000</f>
        <v>573.9721448463151</v>
      </c>
      <c r="H87" s="149">
        <f>+('Education Model'!I77*'Age Earning Profiles'!$D11+'Education Model'!I78*'Age Earning Profiles'!$E11+'Education Model'!I79*'Age Earning Profiles'!$F11+'Education Model'!I80*'Age Earning Profiles'!$G11+'Education Model'!I81*'Age Earning Profiles'!$H11)*260/1000000</f>
        <v>1869.5531252574651</v>
      </c>
      <c r="I87" s="149">
        <f>+('Education Model'!J77*'Age Earning Profiles'!$D11+'Education Model'!J78*'Age Earning Profiles'!$E11+'Education Model'!J79*'Age Earning Profiles'!$F11+'Education Model'!J80*'Age Earning Profiles'!$G11+'Education Model'!J81*'Age Earning Profiles'!$H11)*260/1000000</f>
        <v>1897.0088189049347</v>
      </c>
      <c r="J87" s="149">
        <f>+('Education Model'!K77*'Age Earning Profiles'!$D11+'Education Model'!K78*'Age Earning Profiles'!$E11+'Education Model'!K79*'Age Earning Profiles'!$F11+'Education Model'!K80*'Age Earning Profiles'!$G11+'Education Model'!K81*'Age Earning Profiles'!$H11)*260/1000000</f>
        <v>1897.0088189049347</v>
      </c>
      <c r="K87" s="149">
        <f>+('Education Model'!L77*'Age Earning Profiles'!$D11+'Education Model'!L78*'Age Earning Profiles'!$E11+'Education Model'!L79*'Age Earning Profiles'!$F11+'Education Model'!L80*'Age Earning Profiles'!$G11+'Education Model'!L81*'Age Earning Profiles'!$H11)*260/1000000</f>
        <v>1897.0088189049347</v>
      </c>
      <c r="L87" s="149">
        <f>+('Education Model'!M77*'Age Earning Profiles'!$D11+'Education Model'!M78*'Age Earning Profiles'!$E11+'Education Model'!M79*'Age Earning Profiles'!$F11+'Education Model'!M80*'Age Earning Profiles'!$G11+'Education Model'!M81*'Age Earning Profiles'!$H11)*260/1000000</f>
        <v>1897.0088189049347</v>
      </c>
      <c r="M87" s="149">
        <f>+('Education Model'!$N77*'Age Earning Profiles'!$D12+'Education Model'!$N78*'Age Earning Profiles'!$E12+'Education Model'!$N79*'Age Earning Profiles'!$F12+'Education Model'!$N80*'Age Earning Profiles'!$G12+'Education Model'!$N81*'Age Earning Profiles'!$H12)*260/1000000</f>
        <v>7117.853152199672</v>
      </c>
      <c r="N87" s="149">
        <f>+('Education Model'!$N77*'Age Earning Profiles'!$D12+'Education Model'!$N78*'Age Earning Profiles'!$E12+'Education Model'!$N79*'Age Earning Profiles'!$F12+'Education Model'!$N80*'Age Earning Profiles'!$G12+'Education Model'!$N81*'Age Earning Profiles'!$H12)*260/1000000</f>
        <v>7117.853152199672</v>
      </c>
      <c r="O87" s="149">
        <f>+('Education Model'!$N77*'Age Earning Profiles'!$D12+'Education Model'!$N78*'Age Earning Profiles'!$E12+'Education Model'!$N79*'Age Earning Profiles'!$F12+'Education Model'!$N80*'Age Earning Profiles'!$G12+'Education Model'!$N81*'Age Earning Profiles'!$H12)*260/1000000</f>
        <v>7117.853152199672</v>
      </c>
      <c r="P87" s="149">
        <f>+('Education Model'!$N77*'Age Earning Profiles'!$D12+'Education Model'!$N78*'Age Earning Profiles'!$E12+'Education Model'!$N79*'Age Earning Profiles'!$F12+'Education Model'!$N80*'Age Earning Profiles'!$G12+'Education Model'!$N81*'Age Earning Profiles'!$H12)*260/1000000</f>
        <v>7117.853152199672</v>
      </c>
      <c r="Q87" s="149">
        <f>+('Education Model'!$N77*'Age Earning Profiles'!$D12+'Education Model'!$N78*'Age Earning Profiles'!$E12+'Education Model'!$N79*'Age Earning Profiles'!$F12+'Education Model'!$N80*'Age Earning Profiles'!$G12+'Education Model'!$N81*'Age Earning Profiles'!$H12)*260/1000000</f>
        <v>7117.853152199672</v>
      </c>
      <c r="R87" s="149">
        <f>+('Education Model'!$N77*'Age Earning Profiles'!$D13+'Education Model'!$N78*'Age Earning Profiles'!$E13+'Education Model'!$N79*'Age Earning Profiles'!$F13+'Education Model'!$N80*'Age Earning Profiles'!$G13+'Education Model'!$N81*'Age Earning Profiles'!$H13)*260/1000000</f>
        <v>8268.878757316692</v>
      </c>
      <c r="S87" s="149">
        <f>+('Education Model'!$N77*'Age Earning Profiles'!$D13+'Education Model'!$N78*'Age Earning Profiles'!$E13+'Education Model'!$N79*'Age Earning Profiles'!$F13+'Education Model'!$N80*'Age Earning Profiles'!$G13+'Education Model'!$N81*'Age Earning Profiles'!$H13)*260/1000000</f>
        <v>8268.878757316692</v>
      </c>
      <c r="T87" s="149">
        <f>+('Education Model'!$N77*'Age Earning Profiles'!$D13+'Education Model'!$N78*'Age Earning Profiles'!$E13+'Education Model'!$N79*'Age Earning Profiles'!$F13+'Education Model'!$N80*'Age Earning Profiles'!$G13+'Education Model'!$N81*'Age Earning Profiles'!$H13)*260/1000000</f>
        <v>8268.878757316692</v>
      </c>
      <c r="U87" s="149">
        <f>+('Education Model'!$N77*'Age Earning Profiles'!$D13+'Education Model'!$N78*'Age Earning Profiles'!$E13+'Education Model'!$N79*'Age Earning Profiles'!$F13+'Education Model'!$N80*'Age Earning Profiles'!$G13+'Education Model'!$N81*'Age Earning Profiles'!$H13)*260/1000000</f>
        <v>8268.878757316692</v>
      </c>
      <c r="V87" s="149">
        <f>+('Education Model'!$N77*'Age Earning Profiles'!$D13+'Education Model'!$N78*'Age Earning Profiles'!$E13+'Education Model'!$N79*'Age Earning Profiles'!$F13+'Education Model'!$N80*'Age Earning Profiles'!$G13+'Education Model'!$N81*'Age Earning Profiles'!$H13)*260/1000000</f>
        <v>8268.878757316692</v>
      </c>
      <c r="W87" s="149">
        <f>+('Education Model'!$N77*'Age Earning Profiles'!$D14+'Education Model'!$N78*'Age Earning Profiles'!$E14+'Education Model'!$N79*'Age Earning Profiles'!$F14+'Education Model'!$N80*'Age Earning Profiles'!$G14+'Education Model'!$N81*'Age Earning Profiles'!$H14)*260/1000000</f>
        <v>10916.350495073688</v>
      </c>
      <c r="X87" s="149">
        <f>+('Education Model'!$N77*'Age Earning Profiles'!$D14+'Education Model'!$N78*'Age Earning Profiles'!$E14+'Education Model'!$N79*'Age Earning Profiles'!$F14+'Education Model'!$N80*'Age Earning Profiles'!$G14+'Education Model'!$N81*'Age Earning Profiles'!$H14)*260/1000000</f>
        <v>10916.350495073688</v>
      </c>
      <c r="Y87" s="149">
        <f>+('Education Model'!$N77*'Age Earning Profiles'!$D14+'Education Model'!$N78*'Age Earning Profiles'!$E14+'Education Model'!$N79*'Age Earning Profiles'!$F14+'Education Model'!$N80*'Age Earning Profiles'!$G14+'Education Model'!$N81*'Age Earning Profiles'!$H14)*260/1000000</f>
        <v>10916.350495073688</v>
      </c>
      <c r="Z87" s="149">
        <f>+('Education Model'!$N77*'Age Earning Profiles'!$D14+'Education Model'!$N78*'Age Earning Profiles'!$E14+'Education Model'!$N79*'Age Earning Profiles'!$F14+'Education Model'!$N80*'Age Earning Profiles'!$G14+'Education Model'!$N81*'Age Earning Profiles'!$H14)*260/1000000</f>
        <v>10916.350495073688</v>
      </c>
      <c r="AA87" s="149">
        <f>+('Education Model'!$N77*'Age Earning Profiles'!$D14+'Education Model'!$N78*'Age Earning Profiles'!$E14+'Education Model'!$N79*'Age Earning Profiles'!$F14+'Education Model'!$N80*'Age Earning Profiles'!$G14+'Education Model'!$N81*'Age Earning Profiles'!$H14)*260/1000000</f>
        <v>10916.350495073688</v>
      </c>
      <c r="AB87" s="149">
        <f>+('Education Model'!$N77*'Age Earning Profiles'!$D15+'Education Model'!$N78*'Age Earning Profiles'!$E15+'Education Model'!$N79*'Age Earning Profiles'!$F15+'Education Model'!$N80*'Age Earning Profiles'!$G15+'Education Model'!$N81*'Age Earning Profiles'!$H15)*260/1000000</f>
        <v>13044.606566914483</v>
      </c>
      <c r="AC87" s="149">
        <f>+('Education Model'!$N77*'Age Earning Profiles'!$D15+'Education Model'!$N78*'Age Earning Profiles'!$E15+'Education Model'!$N79*'Age Earning Profiles'!$F15+'Education Model'!$N80*'Age Earning Profiles'!$G15+'Education Model'!$N81*'Age Earning Profiles'!$H15)*260/1000000</f>
        <v>13044.606566914483</v>
      </c>
      <c r="AD87" s="149">
        <f>+('Education Model'!$N77*'Age Earning Profiles'!$D15+'Education Model'!$N78*'Age Earning Profiles'!$E15+'Education Model'!$N79*'Age Earning Profiles'!$F15+'Education Model'!$N80*'Age Earning Profiles'!$G15+'Education Model'!$N81*'Age Earning Profiles'!$H15)*260/1000000</f>
        <v>13044.606566914483</v>
      </c>
      <c r="AE87" s="149">
        <f>+('Education Model'!$N77*'Age Earning Profiles'!$D15+'Education Model'!$N78*'Age Earning Profiles'!$E15+'Education Model'!$N79*'Age Earning Profiles'!$F15+'Education Model'!$N80*'Age Earning Profiles'!$G15+'Education Model'!$N81*'Age Earning Profiles'!$H15)*260/1000000</f>
        <v>13044.606566914483</v>
      </c>
      <c r="AF87" s="149">
        <f>+('Education Model'!$N77*'Age Earning Profiles'!$D15+'Education Model'!$N78*'Age Earning Profiles'!$E15+'Education Model'!$N79*'Age Earning Profiles'!$F15+'Education Model'!$N80*'Age Earning Profiles'!$G15+'Education Model'!$N81*'Age Earning Profiles'!$H15)*260/1000000</f>
        <v>13044.606566914483</v>
      </c>
      <c r="AG87" s="149">
        <f>+('Education Model'!$N77*'Age Earning Profiles'!$D16+'Education Model'!$N78*'Age Earning Profiles'!$E16+'Education Model'!$N79*'Age Earning Profiles'!$F16+'Education Model'!$N80*'Age Earning Profiles'!$G16+'Education Model'!$N81*'Age Earning Profiles'!$H16)*260/1000000</f>
        <v>18180.168914837705</v>
      </c>
      <c r="AH87" s="149">
        <f>+('Education Model'!$N77*'Age Earning Profiles'!$D16+'Education Model'!$N78*'Age Earning Profiles'!$E16+'Education Model'!$N79*'Age Earning Profiles'!$F16+'Education Model'!$N80*'Age Earning Profiles'!$G16+'Education Model'!$N81*'Age Earning Profiles'!$H16)*260/1000000</f>
        <v>18180.168914837705</v>
      </c>
      <c r="AI87" s="149">
        <f>+('Education Model'!$N77*'Age Earning Profiles'!$D16+'Education Model'!$N78*'Age Earning Profiles'!$E16+'Education Model'!$N79*'Age Earning Profiles'!$F16+'Education Model'!$N80*'Age Earning Profiles'!$G16+'Education Model'!$N81*'Age Earning Profiles'!$H16)*260/1000000</f>
        <v>18180.168914837705</v>
      </c>
      <c r="AJ87" s="149">
        <f>+('Education Model'!$N77*'Age Earning Profiles'!$D16+'Education Model'!$N78*'Age Earning Profiles'!$E16+'Education Model'!$N79*'Age Earning Profiles'!$F16+'Education Model'!$N80*'Age Earning Profiles'!$G16+'Education Model'!$N81*'Age Earning Profiles'!$H16)*260/1000000</f>
        <v>18180.168914837705</v>
      </c>
      <c r="AK87" s="149">
        <f>+('Education Model'!$N77*'Age Earning Profiles'!$D16+'Education Model'!$N78*'Age Earning Profiles'!$E16+'Education Model'!$N79*'Age Earning Profiles'!$F16+'Education Model'!$N80*'Age Earning Profiles'!$G16+'Education Model'!$N81*'Age Earning Profiles'!$H16)*260/1000000</f>
        <v>18180.168914837705</v>
      </c>
      <c r="AL87" s="149">
        <f>+('Education Model'!$N77*'Age Earning Profiles'!$D16+'Education Model'!$N78*'Age Earning Profiles'!$E16+'Education Model'!$N79*'Age Earning Profiles'!$F16+'Education Model'!$N80*'Age Earning Profiles'!$G16+'Education Model'!$N81*'Age Earning Profiles'!$H16)*260/1000000</f>
        <v>18180.168914837705</v>
      </c>
      <c r="AM87" s="127"/>
      <c r="AN87" s="403"/>
      <c r="AO87" s="24"/>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row>
    <row r="88" spans="1:116" ht="18.75">
      <c r="A88" s="371"/>
      <c r="B88" s="147"/>
      <c r="C88" s="148"/>
      <c r="D88" s="149"/>
      <c r="E88" s="149">
        <f>+D87</f>
        <v>251.132766432288</v>
      </c>
      <c r="F88" s="149">
        <f aca="true" t="shared" si="100" ref="F88:AL88">+E87</f>
        <v>259.22718898377605</v>
      </c>
      <c r="G88" s="149">
        <f t="shared" si="100"/>
        <v>567.1082214344477</v>
      </c>
      <c r="H88" s="149">
        <f t="shared" si="100"/>
        <v>573.9721448463151</v>
      </c>
      <c r="I88" s="149">
        <f t="shared" si="100"/>
        <v>1869.5531252574651</v>
      </c>
      <c r="J88" s="149">
        <f t="shared" si="100"/>
        <v>1897.0088189049347</v>
      </c>
      <c r="K88" s="149">
        <f t="shared" si="100"/>
        <v>1897.0088189049347</v>
      </c>
      <c r="L88" s="149">
        <f t="shared" si="100"/>
        <v>1897.0088189049347</v>
      </c>
      <c r="M88" s="149">
        <f t="shared" si="100"/>
        <v>1897.0088189049347</v>
      </c>
      <c r="N88" s="149">
        <f t="shared" si="100"/>
        <v>7117.853152199672</v>
      </c>
      <c r="O88" s="149">
        <f t="shared" si="100"/>
        <v>7117.853152199672</v>
      </c>
      <c r="P88" s="149">
        <f t="shared" si="100"/>
        <v>7117.853152199672</v>
      </c>
      <c r="Q88" s="149">
        <f t="shared" si="100"/>
        <v>7117.853152199672</v>
      </c>
      <c r="R88" s="149">
        <f t="shared" si="100"/>
        <v>7117.853152199672</v>
      </c>
      <c r="S88" s="149">
        <f t="shared" si="100"/>
        <v>8268.878757316692</v>
      </c>
      <c r="T88" s="149">
        <f t="shared" si="100"/>
        <v>8268.878757316692</v>
      </c>
      <c r="U88" s="149">
        <f t="shared" si="100"/>
        <v>8268.878757316692</v>
      </c>
      <c r="V88" s="149">
        <f t="shared" si="100"/>
        <v>8268.878757316692</v>
      </c>
      <c r="W88" s="149">
        <f t="shared" si="100"/>
        <v>8268.878757316692</v>
      </c>
      <c r="X88" s="149">
        <f t="shared" si="100"/>
        <v>10916.350495073688</v>
      </c>
      <c r="Y88" s="149">
        <f t="shared" si="100"/>
        <v>10916.350495073688</v>
      </c>
      <c r="Z88" s="149">
        <f t="shared" si="100"/>
        <v>10916.350495073688</v>
      </c>
      <c r="AA88" s="149">
        <f t="shared" si="100"/>
        <v>10916.350495073688</v>
      </c>
      <c r="AB88" s="149">
        <f t="shared" si="100"/>
        <v>10916.350495073688</v>
      </c>
      <c r="AC88" s="149">
        <f t="shared" si="100"/>
        <v>13044.606566914483</v>
      </c>
      <c r="AD88" s="149">
        <f t="shared" si="100"/>
        <v>13044.606566914483</v>
      </c>
      <c r="AE88" s="149">
        <f t="shared" si="100"/>
        <v>13044.606566914483</v>
      </c>
      <c r="AF88" s="149">
        <f t="shared" si="100"/>
        <v>13044.606566914483</v>
      </c>
      <c r="AG88" s="149">
        <f t="shared" si="100"/>
        <v>13044.606566914483</v>
      </c>
      <c r="AH88" s="149">
        <f t="shared" si="100"/>
        <v>18180.168914837705</v>
      </c>
      <c r="AI88" s="149">
        <f t="shared" si="100"/>
        <v>18180.168914837705</v>
      </c>
      <c r="AJ88" s="149">
        <f t="shared" si="100"/>
        <v>18180.168914837705</v>
      </c>
      <c r="AK88" s="149">
        <f t="shared" si="100"/>
        <v>18180.168914837705</v>
      </c>
      <c r="AL88" s="149">
        <f t="shared" si="100"/>
        <v>18180.168914837705</v>
      </c>
      <c r="AM88" s="130"/>
      <c r="AN88" s="403"/>
      <c r="AO88" s="24"/>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row>
    <row r="89" spans="1:116" ht="18.75">
      <c r="A89" s="371"/>
      <c r="B89" s="147"/>
      <c r="C89" s="148"/>
      <c r="D89" s="149"/>
      <c r="E89" s="149"/>
      <c r="F89" s="149">
        <f aca="true" t="shared" si="101" ref="F89:AL89">+D87</f>
        <v>251.132766432288</v>
      </c>
      <c r="G89" s="149">
        <f t="shared" si="101"/>
        <v>259.22718898377605</v>
      </c>
      <c r="H89" s="149">
        <f t="shared" si="101"/>
        <v>567.1082214344477</v>
      </c>
      <c r="I89" s="149">
        <f t="shared" si="101"/>
        <v>573.9721448463151</v>
      </c>
      <c r="J89" s="149">
        <f t="shared" si="101"/>
        <v>1869.5531252574651</v>
      </c>
      <c r="K89" s="149">
        <f t="shared" si="101"/>
        <v>1897.0088189049347</v>
      </c>
      <c r="L89" s="149">
        <f t="shared" si="101"/>
        <v>1897.0088189049347</v>
      </c>
      <c r="M89" s="149">
        <f t="shared" si="101"/>
        <v>1897.0088189049347</v>
      </c>
      <c r="N89" s="149">
        <f t="shared" si="101"/>
        <v>1897.0088189049347</v>
      </c>
      <c r="O89" s="149">
        <f t="shared" si="101"/>
        <v>7117.853152199672</v>
      </c>
      <c r="P89" s="149">
        <f t="shared" si="101"/>
        <v>7117.853152199672</v>
      </c>
      <c r="Q89" s="149">
        <f t="shared" si="101"/>
        <v>7117.853152199672</v>
      </c>
      <c r="R89" s="149">
        <f t="shared" si="101"/>
        <v>7117.853152199672</v>
      </c>
      <c r="S89" s="149">
        <f t="shared" si="101"/>
        <v>7117.853152199672</v>
      </c>
      <c r="T89" s="149">
        <f t="shared" si="101"/>
        <v>8268.878757316692</v>
      </c>
      <c r="U89" s="149">
        <f t="shared" si="101"/>
        <v>8268.878757316692</v>
      </c>
      <c r="V89" s="149">
        <f t="shared" si="101"/>
        <v>8268.878757316692</v>
      </c>
      <c r="W89" s="149">
        <f t="shared" si="101"/>
        <v>8268.878757316692</v>
      </c>
      <c r="X89" s="149">
        <f t="shared" si="101"/>
        <v>8268.878757316692</v>
      </c>
      <c r="Y89" s="149">
        <f t="shared" si="101"/>
        <v>10916.350495073688</v>
      </c>
      <c r="Z89" s="149">
        <f t="shared" si="101"/>
        <v>10916.350495073688</v>
      </c>
      <c r="AA89" s="149">
        <f t="shared" si="101"/>
        <v>10916.350495073688</v>
      </c>
      <c r="AB89" s="149">
        <f t="shared" si="101"/>
        <v>10916.350495073688</v>
      </c>
      <c r="AC89" s="149">
        <f t="shared" si="101"/>
        <v>10916.350495073688</v>
      </c>
      <c r="AD89" s="149">
        <f t="shared" si="101"/>
        <v>13044.606566914483</v>
      </c>
      <c r="AE89" s="149">
        <f t="shared" si="101"/>
        <v>13044.606566914483</v>
      </c>
      <c r="AF89" s="149">
        <f t="shared" si="101"/>
        <v>13044.606566914483</v>
      </c>
      <c r="AG89" s="149">
        <f t="shared" si="101"/>
        <v>13044.606566914483</v>
      </c>
      <c r="AH89" s="149">
        <f t="shared" si="101"/>
        <v>13044.606566914483</v>
      </c>
      <c r="AI89" s="149">
        <f t="shared" si="101"/>
        <v>18180.168914837705</v>
      </c>
      <c r="AJ89" s="149">
        <f t="shared" si="101"/>
        <v>18180.168914837705</v>
      </c>
      <c r="AK89" s="149">
        <f t="shared" si="101"/>
        <v>18180.168914837705</v>
      </c>
      <c r="AL89" s="149">
        <f t="shared" si="101"/>
        <v>18180.168914837705</v>
      </c>
      <c r="AM89" s="130"/>
      <c r="AN89" s="403"/>
      <c r="AO89" s="24"/>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row>
    <row r="90" spans="1:116" ht="18.75">
      <c r="A90" s="371"/>
      <c r="B90" s="147"/>
      <c r="C90" s="148"/>
      <c r="D90" s="149"/>
      <c r="E90" s="149"/>
      <c r="F90" s="149"/>
      <c r="G90" s="149">
        <f aca="true" t="shared" si="102" ref="G90:L90">+D87</f>
        <v>251.132766432288</v>
      </c>
      <c r="H90" s="149">
        <f t="shared" si="102"/>
        <v>259.22718898377605</v>
      </c>
      <c r="I90" s="149">
        <f t="shared" si="102"/>
        <v>567.1082214344477</v>
      </c>
      <c r="J90" s="149">
        <f t="shared" si="102"/>
        <v>573.9721448463151</v>
      </c>
      <c r="K90" s="149">
        <f t="shared" si="102"/>
        <v>1869.5531252574651</v>
      </c>
      <c r="L90" s="149">
        <f t="shared" si="102"/>
        <v>1897.0088189049347</v>
      </c>
      <c r="M90" s="149">
        <f aca="true" t="shared" si="103" ref="M90:M95">+J87</f>
        <v>1897.0088189049347</v>
      </c>
      <c r="N90" s="149">
        <f aca="true" t="shared" si="104" ref="N90:N96">+K87</f>
        <v>1897.0088189049347</v>
      </c>
      <c r="O90" s="149">
        <f aca="true" t="shared" si="105" ref="O90:O97">+L87</f>
        <v>1897.0088189049347</v>
      </c>
      <c r="P90" s="149">
        <f aca="true" t="shared" si="106" ref="P90:P98">+M87</f>
        <v>7117.853152199672</v>
      </c>
      <c r="Q90" s="149">
        <f aca="true" t="shared" si="107" ref="Q90:Q98">+N87</f>
        <v>7117.853152199672</v>
      </c>
      <c r="R90" s="149">
        <f aca="true" t="shared" si="108" ref="R90:R100">+O87</f>
        <v>7117.853152199672</v>
      </c>
      <c r="S90" s="149">
        <f aca="true" t="shared" si="109" ref="S90:S101">+P87</f>
        <v>7117.853152199672</v>
      </c>
      <c r="T90" s="149">
        <f aca="true" t="shared" si="110" ref="T90:T102">+Q87</f>
        <v>7117.853152199672</v>
      </c>
      <c r="U90" s="149">
        <f aca="true" t="shared" si="111" ref="U90:U103">+R87</f>
        <v>8268.878757316692</v>
      </c>
      <c r="V90" s="149">
        <f aca="true" t="shared" si="112" ref="V90:V104">+S87</f>
        <v>8268.878757316692</v>
      </c>
      <c r="W90" s="149">
        <f aca="true" t="shared" si="113" ref="W90:W104">+T87</f>
        <v>8268.878757316692</v>
      </c>
      <c r="X90" s="149">
        <f aca="true" t="shared" si="114" ref="X90:X105">+U87</f>
        <v>8268.878757316692</v>
      </c>
      <c r="Y90" s="149">
        <f aca="true" t="shared" si="115" ref="Y90:Y105">+V87</f>
        <v>8268.878757316692</v>
      </c>
      <c r="Z90" s="149">
        <f aca="true" t="shared" si="116" ref="Z90:Z105">+W87</f>
        <v>10916.350495073688</v>
      </c>
      <c r="AA90" s="149">
        <f aca="true" t="shared" si="117" ref="AA90:AA95">+X87</f>
        <v>10916.350495073688</v>
      </c>
      <c r="AB90" s="149">
        <f aca="true" t="shared" si="118" ref="AB90:AB105">+Y87</f>
        <v>10916.350495073688</v>
      </c>
      <c r="AC90" s="149">
        <f aca="true" t="shared" si="119" ref="AC90:AC105">+Z87</f>
        <v>10916.350495073688</v>
      </c>
      <c r="AD90" s="149">
        <f aca="true" t="shared" si="120" ref="AD90:AD105">+AA87</f>
        <v>10916.350495073688</v>
      </c>
      <c r="AE90" s="149">
        <f aca="true" t="shared" si="121" ref="AE90:AE105">+AB87</f>
        <v>13044.606566914483</v>
      </c>
      <c r="AF90" s="149">
        <f aca="true" t="shared" si="122" ref="AF90:AF105">+AC87</f>
        <v>13044.606566914483</v>
      </c>
      <c r="AG90" s="149">
        <f aca="true" t="shared" si="123" ref="AG90:AG105">+AD87</f>
        <v>13044.606566914483</v>
      </c>
      <c r="AH90" s="149">
        <f aca="true" t="shared" si="124" ref="AH90:AH105">+AE87</f>
        <v>13044.606566914483</v>
      </c>
      <c r="AI90" s="149">
        <f aca="true" t="shared" si="125" ref="AI90:AI95">+AF87</f>
        <v>13044.606566914483</v>
      </c>
      <c r="AJ90" s="149">
        <f aca="true" t="shared" si="126" ref="AJ90:AJ105">+AG87</f>
        <v>18180.168914837705</v>
      </c>
      <c r="AK90" s="149">
        <f aca="true" t="shared" si="127" ref="AK90:AK105">+AH87</f>
        <v>18180.168914837705</v>
      </c>
      <c r="AL90" s="149">
        <f aca="true" t="shared" si="128" ref="AL90:AL105">+AI87</f>
        <v>18180.168914837705</v>
      </c>
      <c r="AM90" s="130"/>
      <c r="AN90" s="403"/>
      <c r="AO90" s="24"/>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row>
    <row r="91" spans="1:116" ht="18.75">
      <c r="A91" s="371"/>
      <c r="B91" s="147"/>
      <c r="C91" s="148"/>
      <c r="D91" s="149"/>
      <c r="E91" s="149"/>
      <c r="F91" s="149"/>
      <c r="G91" s="149"/>
      <c r="H91" s="149">
        <f>+E88</f>
        <v>251.132766432288</v>
      </c>
      <c r="I91" s="149">
        <f>+F88</f>
        <v>259.22718898377605</v>
      </c>
      <c r="J91" s="149">
        <f>+G88</f>
        <v>567.1082214344477</v>
      </c>
      <c r="K91" s="149">
        <f>+H88</f>
        <v>573.9721448463151</v>
      </c>
      <c r="L91" s="149">
        <f>+I88</f>
        <v>1869.5531252574651</v>
      </c>
      <c r="M91" s="149">
        <f t="shared" si="103"/>
        <v>1897.0088189049347</v>
      </c>
      <c r="N91" s="149">
        <f t="shared" si="104"/>
        <v>1897.0088189049347</v>
      </c>
      <c r="O91" s="149">
        <f t="shared" si="105"/>
        <v>1897.0088189049347</v>
      </c>
      <c r="P91" s="149">
        <f t="shared" si="106"/>
        <v>1897.0088189049347</v>
      </c>
      <c r="Q91" s="149">
        <f t="shared" si="107"/>
        <v>7117.853152199672</v>
      </c>
      <c r="R91" s="149">
        <f t="shared" si="108"/>
        <v>7117.853152199672</v>
      </c>
      <c r="S91" s="149">
        <f t="shared" si="109"/>
        <v>7117.853152199672</v>
      </c>
      <c r="T91" s="149">
        <f t="shared" si="110"/>
        <v>7117.853152199672</v>
      </c>
      <c r="U91" s="149">
        <f t="shared" si="111"/>
        <v>7117.853152199672</v>
      </c>
      <c r="V91" s="149">
        <f t="shared" si="112"/>
        <v>8268.878757316692</v>
      </c>
      <c r="W91" s="149">
        <f t="shared" si="113"/>
        <v>8268.878757316692</v>
      </c>
      <c r="X91" s="149">
        <f t="shared" si="114"/>
        <v>8268.878757316692</v>
      </c>
      <c r="Y91" s="149">
        <f t="shared" si="115"/>
        <v>8268.878757316692</v>
      </c>
      <c r="Z91" s="149">
        <f t="shared" si="116"/>
        <v>8268.878757316692</v>
      </c>
      <c r="AA91" s="149">
        <f t="shared" si="117"/>
        <v>10916.350495073688</v>
      </c>
      <c r="AB91" s="149">
        <f t="shared" si="118"/>
        <v>10916.350495073688</v>
      </c>
      <c r="AC91" s="149">
        <f t="shared" si="119"/>
        <v>10916.350495073688</v>
      </c>
      <c r="AD91" s="149">
        <f t="shared" si="120"/>
        <v>10916.350495073688</v>
      </c>
      <c r="AE91" s="149">
        <f t="shared" si="121"/>
        <v>10916.350495073688</v>
      </c>
      <c r="AF91" s="149">
        <f t="shared" si="122"/>
        <v>13044.606566914483</v>
      </c>
      <c r="AG91" s="149">
        <f t="shared" si="123"/>
        <v>13044.606566914483</v>
      </c>
      <c r="AH91" s="149">
        <f t="shared" si="124"/>
        <v>13044.606566914483</v>
      </c>
      <c r="AI91" s="149">
        <f t="shared" si="125"/>
        <v>13044.606566914483</v>
      </c>
      <c r="AJ91" s="149">
        <f t="shared" si="126"/>
        <v>13044.606566914483</v>
      </c>
      <c r="AK91" s="149">
        <f t="shared" si="127"/>
        <v>18180.168914837705</v>
      </c>
      <c r="AL91" s="149">
        <f t="shared" si="128"/>
        <v>18180.168914837705</v>
      </c>
      <c r="AM91" s="130"/>
      <c r="AN91" s="403"/>
      <c r="AO91" s="24"/>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row>
    <row r="92" spans="1:116" ht="18.75">
      <c r="A92" s="371"/>
      <c r="B92" s="147"/>
      <c r="C92" s="148"/>
      <c r="D92" s="149"/>
      <c r="E92" s="149"/>
      <c r="F92" s="149"/>
      <c r="G92" s="149"/>
      <c r="H92" s="149"/>
      <c r="I92" s="149">
        <f>+F89</f>
        <v>251.132766432288</v>
      </c>
      <c r="J92" s="149">
        <f>+G89</f>
        <v>259.22718898377605</v>
      </c>
      <c r="K92" s="149">
        <f>+H89</f>
        <v>567.1082214344477</v>
      </c>
      <c r="L92" s="149">
        <f>+I89</f>
        <v>573.9721448463151</v>
      </c>
      <c r="M92" s="149">
        <f t="shared" si="103"/>
        <v>1869.5531252574651</v>
      </c>
      <c r="N92" s="149">
        <f t="shared" si="104"/>
        <v>1897.0088189049347</v>
      </c>
      <c r="O92" s="149">
        <f t="shared" si="105"/>
        <v>1897.0088189049347</v>
      </c>
      <c r="P92" s="149">
        <f t="shared" si="106"/>
        <v>1897.0088189049347</v>
      </c>
      <c r="Q92" s="149">
        <f t="shared" si="107"/>
        <v>1897.0088189049347</v>
      </c>
      <c r="R92" s="149">
        <f t="shared" si="108"/>
        <v>7117.853152199672</v>
      </c>
      <c r="S92" s="149">
        <f t="shared" si="109"/>
        <v>7117.853152199672</v>
      </c>
      <c r="T92" s="149">
        <f t="shared" si="110"/>
        <v>7117.853152199672</v>
      </c>
      <c r="U92" s="149">
        <f t="shared" si="111"/>
        <v>7117.853152199672</v>
      </c>
      <c r="V92" s="149">
        <f t="shared" si="112"/>
        <v>7117.853152199672</v>
      </c>
      <c r="W92" s="149">
        <f t="shared" si="113"/>
        <v>8268.878757316692</v>
      </c>
      <c r="X92" s="149">
        <f t="shared" si="114"/>
        <v>8268.878757316692</v>
      </c>
      <c r="Y92" s="149">
        <f t="shared" si="115"/>
        <v>8268.878757316692</v>
      </c>
      <c r="Z92" s="149">
        <f t="shared" si="116"/>
        <v>8268.878757316692</v>
      </c>
      <c r="AA92" s="149">
        <f t="shared" si="117"/>
        <v>8268.878757316692</v>
      </c>
      <c r="AB92" s="149">
        <f t="shared" si="118"/>
        <v>10916.350495073688</v>
      </c>
      <c r="AC92" s="149">
        <f t="shared" si="119"/>
        <v>10916.350495073688</v>
      </c>
      <c r="AD92" s="149">
        <f t="shared" si="120"/>
        <v>10916.350495073688</v>
      </c>
      <c r="AE92" s="149">
        <f t="shared" si="121"/>
        <v>10916.350495073688</v>
      </c>
      <c r="AF92" s="149">
        <f t="shared" si="122"/>
        <v>10916.350495073688</v>
      </c>
      <c r="AG92" s="149">
        <f t="shared" si="123"/>
        <v>13044.606566914483</v>
      </c>
      <c r="AH92" s="149">
        <f t="shared" si="124"/>
        <v>13044.606566914483</v>
      </c>
      <c r="AI92" s="149">
        <f t="shared" si="125"/>
        <v>13044.606566914483</v>
      </c>
      <c r="AJ92" s="149">
        <f t="shared" si="126"/>
        <v>13044.606566914483</v>
      </c>
      <c r="AK92" s="149">
        <f t="shared" si="127"/>
        <v>13044.606566914483</v>
      </c>
      <c r="AL92" s="149">
        <f t="shared" si="128"/>
        <v>18180.168914837705</v>
      </c>
      <c r="AM92" s="130"/>
      <c r="AN92" s="403"/>
      <c r="AO92" s="24"/>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row>
    <row r="93" spans="1:116" ht="18.75">
      <c r="A93" s="371"/>
      <c r="B93" s="147"/>
      <c r="C93" s="148"/>
      <c r="D93" s="149"/>
      <c r="E93" s="149"/>
      <c r="F93" s="149"/>
      <c r="G93" s="149"/>
      <c r="H93" s="149"/>
      <c r="I93" s="149"/>
      <c r="J93" s="149">
        <f>+G90</f>
        <v>251.132766432288</v>
      </c>
      <c r="K93" s="149">
        <f>+H90</f>
        <v>259.22718898377605</v>
      </c>
      <c r="L93" s="149">
        <f>+I90</f>
        <v>567.1082214344477</v>
      </c>
      <c r="M93" s="149">
        <f t="shared" si="103"/>
        <v>573.9721448463151</v>
      </c>
      <c r="N93" s="149">
        <f t="shared" si="104"/>
        <v>1869.5531252574651</v>
      </c>
      <c r="O93" s="149">
        <f t="shared" si="105"/>
        <v>1897.0088189049347</v>
      </c>
      <c r="P93" s="149">
        <f t="shared" si="106"/>
        <v>1897.0088189049347</v>
      </c>
      <c r="Q93" s="149">
        <f t="shared" si="107"/>
        <v>1897.0088189049347</v>
      </c>
      <c r="R93" s="149">
        <f t="shared" si="108"/>
        <v>1897.0088189049347</v>
      </c>
      <c r="S93" s="149">
        <f t="shared" si="109"/>
        <v>7117.853152199672</v>
      </c>
      <c r="T93" s="149">
        <f t="shared" si="110"/>
        <v>7117.853152199672</v>
      </c>
      <c r="U93" s="149">
        <f t="shared" si="111"/>
        <v>7117.853152199672</v>
      </c>
      <c r="V93" s="149">
        <f t="shared" si="112"/>
        <v>7117.853152199672</v>
      </c>
      <c r="W93" s="149">
        <f t="shared" si="113"/>
        <v>7117.853152199672</v>
      </c>
      <c r="X93" s="149">
        <f t="shared" si="114"/>
        <v>8268.878757316692</v>
      </c>
      <c r="Y93" s="149">
        <f t="shared" si="115"/>
        <v>8268.878757316692</v>
      </c>
      <c r="Z93" s="149">
        <f t="shared" si="116"/>
        <v>8268.878757316692</v>
      </c>
      <c r="AA93" s="149">
        <f t="shared" si="117"/>
        <v>8268.878757316692</v>
      </c>
      <c r="AB93" s="149">
        <f t="shared" si="118"/>
        <v>8268.878757316692</v>
      </c>
      <c r="AC93" s="149">
        <f t="shared" si="119"/>
        <v>10916.350495073688</v>
      </c>
      <c r="AD93" s="149">
        <f t="shared" si="120"/>
        <v>10916.350495073688</v>
      </c>
      <c r="AE93" s="149">
        <f t="shared" si="121"/>
        <v>10916.350495073688</v>
      </c>
      <c r="AF93" s="149">
        <f t="shared" si="122"/>
        <v>10916.350495073688</v>
      </c>
      <c r="AG93" s="149">
        <f t="shared" si="123"/>
        <v>10916.350495073688</v>
      </c>
      <c r="AH93" s="149">
        <f t="shared" si="124"/>
        <v>13044.606566914483</v>
      </c>
      <c r="AI93" s="149">
        <f t="shared" si="125"/>
        <v>13044.606566914483</v>
      </c>
      <c r="AJ93" s="149">
        <f t="shared" si="126"/>
        <v>13044.606566914483</v>
      </c>
      <c r="AK93" s="149">
        <f t="shared" si="127"/>
        <v>13044.606566914483</v>
      </c>
      <c r="AL93" s="149">
        <f t="shared" si="128"/>
        <v>13044.606566914483</v>
      </c>
      <c r="AM93" s="130"/>
      <c r="AN93" s="403"/>
      <c r="AO93" s="24"/>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row>
    <row r="94" spans="1:116" ht="18.75">
      <c r="A94" s="371"/>
      <c r="B94" s="147"/>
      <c r="C94" s="148"/>
      <c r="D94" s="149"/>
      <c r="E94" s="149"/>
      <c r="F94" s="149"/>
      <c r="G94" s="149"/>
      <c r="H94" s="149"/>
      <c r="I94" s="149"/>
      <c r="J94" s="149"/>
      <c r="K94" s="149">
        <f>+H91</f>
        <v>251.132766432288</v>
      </c>
      <c r="L94" s="149">
        <f>+I91</f>
        <v>259.22718898377605</v>
      </c>
      <c r="M94" s="149">
        <f t="shared" si="103"/>
        <v>567.1082214344477</v>
      </c>
      <c r="N94" s="149">
        <f t="shared" si="104"/>
        <v>573.9721448463151</v>
      </c>
      <c r="O94" s="149">
        <f t="shared" si="105"/>
        <v>1869.5531252574651</v>
      </c>
      <c r="P94" s="149">
        <f t="shared" si="106"/>
        <v>1897.0088189049347</v>
      </c>
      <c r="Q94" s="149">
        <f t="shared" si="107"/>
        <v>1897.0088189049347</v>
      </c>
      <c r="R94" s="149">
        <f t="shared" si="108"/>
        <v>1897.0088189049347</v>
      </c>
      <c r="S94" s="149">
        <f t="shared" si="109"/>
        <v>1897.0088189049347</v>
      </c>
      <c r="T94" s="149">
        <f t="shared" si="110"/>
        <v>7117.853152199672</v>
      </c>
      <c r="U94" s="149">
        <f t="shared" si="111"/>
        <v>7117.853152199672</v>
      </c>
      <c r="V94" s="149">
        <f t="shared" si="112"/>
        <v>7117.853152199672</v>
      </c>
      <c r="W94" s="149">
        <f t="shared" si="113"/>
        <v>7117.853152199672</v>
      </c>
      <c r="X94" s="149">
        <f t="shared" si="114"/>
        <v>7117.853152199672</v>
      </c>
      <c r="Y94" s="149">
        <f t="shared" si="115"/>
        <v>8268.878757316692</v>
      </c>
      <c r="Z94" s="149">
        <f t="shared" si="116"/>
        <v>8268.878757316692</v>
      </c>
      <c r="AA94" s="149">
        <f t="shared" si="117"/>
        <v>8268.878757316692</v>
      </c>
      <c r="AB94" s="149">
        <f t="shared" si="118"/>
        <v>8268.878757316692</v>
      </c>
      <c r="AC94" s="149">
        <f t="shared" si="119"/>
        <v>8268.878757316692</v>
      </c>
      <c r="AD94" s="149">
        <f t="shared" si="120"/>
        <v>10916.350495073688</v>
      </c>
      <c r="AE94" s="149">
        <f t="shared" si="121"/>
        <v>10916.350495073688</v>
      </c>
      <c r="AF94" s="149">
        <f t="shared" si="122"/>
        <v>10916.350495073688</v>
      </c>
      <c r="AG94" s="149">
        <f t="shared" si="123"/>
        <v>10916.350495073688</v>
      </c>
      <c r="AH94" s="149">
        <f t="shared" si="124"/>
        <v>10916.350495073688</v>
      </c>
      <c r="AI94" s="149">
        <f t="shared" si="125"/>
        <v>13044.606566914483</v>
      </c>
      <c r="AJ94" s="149">
        <f t="shared" si="126"/>
        <v>13044.606566914483</v>
      </c>
      <c r="AK94" s="149">
        <f t="shared" si="127"/>
        <v>13044.606566914483</v>
      </c>
      <c r="AL94" s="149">
        <f t="shared" si="128"/>
        <v>13044.606566914483</v>
      </c>
      <c r="AM94" s="130"/>
      <c r="AN94" s="403"/>
      <c r="AO94" s="24"/>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row>
    <row r="95" spans="1:116" ht="18.75">
      <c r="A95" s="371"/>
      <c r="B95" s="147"/>
      <c r="C95" s="148"/>
      <c r="D95" s="149"/>
      <c r="E95" s="149"/>
      <c r="F95" s="149"/>
      <c r="G95" s="149"/>
      <c r="H95" s="149"/>
      <c r="I95" s="149"/>
      <c r="J95" s="149"/>
      <c r="K95" s="149"/>
      <c r="L95" s="149">
        <f>+I92</f>
        <v>251.132766432288</v>
      </c>
      <c r="M95" s="149">
        <f t="shared" si="103"/>
        <v>259.22718898377605</v>
      </c>
      <c r="N95" s="149">
        <f t="shared" si="104"/>
        <v>567.1082214344477</v>
      </c>
      <c r="O95" s="149">
        <f t="shared" si="105"/>
        <v>573.9721448463151</v>
      </c>
      <c r="P95" s="149">
        <f t="shared" si="106"/>
        <v>1869.5531252574651</v>
      </c>
      <c r="Q95" s="149">
        <f t="shared" si="107"/>
        <v>1897.0088189049347</v>
      </c>
      <c r="R95" s="149">
        <f t="shared" si="108"/>
        <v>1897.0088189049347</v>
      </c>
      <c r="S95" s="149">
        <f t="shared" si="109"/>
        <v>1897.0088189049347</v>
      </c>
      <c r="T95" s="149">
        <f t="shared" si="110"/>
        <v>1897.0088189049347</v>
      </c>
      <c r="U95" s="149">
        <f t="shared" si="111"/>
        <v>7117.853152199672</v>
      </c>
      <c r="V95" s="149">
        <f t="shared" si="112"/>
        <v>7117.853152199672</v>
      </c>
      <c r="W95" s="149">
        <f t="shared" si="113"/>
        <v>7117.853152199672</v>
      </c>
      <c r="X95" s="149">
        <f t="shared" si="114"/>
        <v>7117.853152199672</v>
      </c>
      <c r="Y95" s="149">
        <f t="shared" si="115"/>
        <v>7117.853152199672</v>
      </c>
      <c r="Z95" s="149">
        <f t="shared" si="116"/>
        <v>8268.878757316692</v>
      </c>
      <c r="AA95" s="149">
        <f t="shared" si="117"/>
        <v>8268.878757316692</v>
      </c>
      <c r="AB95" s="149">
        <f t="shared" si="118"/>
        <v>8268.878757316692</v>
      </c>
      <c r="AC95" s="149">
        <f t="shared" si="119"/>
        <v>8268.878757316692</v>
      </c>
      <c r="AD95" s="149">
        <f t="shared" si="120"/>
        <v>8268.878757316692</v>
      </c>
      <c r="AE95" s="149">
        <f t="shared" si="121"/>
        <v>10916.350495073688</v>
      </c>
      <c r="AF95" s="149">
        <f t="shared" si="122"/>
        <v>10916.350495073688</v>
      </c>
      <c r="AG95" s="149">
        <f t="shared" si="123"/>
        <v>10916.350495073688</v>
      </c>
      <c r="AH95" s="149">
        <f t="shared" si="124"/>
        <v>10916.350495073688</v>
      </c>
      <c r="AI95" s="149">
        <f t="shared" si="125"/>
        <v>10916.350495073688</v>
      </c>
      <c r="AJ95" s="149">
        <f t="shared" si="126"/>
        <v>13044.606566914483</v>
      </c>
      <c r="AK95" s="149">
        <f t="shared" si="127"/>
        <v>13044.606566914483</v>
      </c>
      <c r="AL95" s="149">
        <f t="shared" si="128"/>
        <v>13044.606566914483</v>
      </c>
      <c r="AM95" s="130"/>
      <c r="AN95" s="403"/>
      <c r="AO95" s="24"/>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row>
    <row r="96" spans="1:116" ht="18.75">
      <c r="A96" s="371"/>
      <c r="B96" s="147"/>
      <c r="C96" s="148"/>
      <c r="D96" s="149"/>
      <c r="E96" s="149"/>
      <c r="F96" s="149"/>
      <c r="G96" s="149"/>
      <c r="H96" s="149"/>
      <c r="I96" s="149"/>
      <c r="J96" s="149"/>
      <c r="K96" s="149"/>
      <c r="L96" s="149"/>
      <c r="M96" s="149">
        <f>+J93</f>
        <v>251.132766432288</v>
      </c>
      <c r="N96" s="149">
        <f t="shared" si="104"/>
        <v>259.22718898377605</v>
      </c>
      <c r="O96" s="149">
        <f t="shared" si="105"/>
        <v>567.1082214344477</v>
      </c>
      <c r="P96" s="149">
        <f t="shared" si="106"/>
        <v>573.9721448463151</v>
      </c>
      <c r="Q96" s="149">
        <f t="shared" si="107"/>
        <v>1869.5531252574651</v>
      </c>
      <c r="R96" s="149">
        <f t="shared" si="108"/>
        <v>1897.0088189049347</v>
      </c>
      <c r="S96" s="149">
        <f t="shared" si="109"/>
        <v>1897.0088189049347</v>
      </c>
      <c r="T96" s="149">
        <f t="shared" si="110"/>
        <v>1897.0088189049347</v>
      </c>
      <c r="U96" s="149">
        <f t="shared" si="111"/>
        <v>1897.0088189049347</v>
      </c>
      <c r="V96" s="149">
        <f t="shared" si="112"/>
        <v>7117.853152199672</v>
      </c>
      <c r="W96" s="149">
        <f t="shared" si="113"/>
        <v>7117.853152199672</v>
      </c>
      <c r="X96" s="149">
        <f t="shared" si="114"/>
        <v>7117.853152199672</v>
      </c>
      <c r="Y96" s="149">
        <f t="shared" si="115"/>
        <v>7117.853152199672</v>
      </c>
      <c r="Z96" s="149">
        <f t="shared" si="116"/>
        <v>7117.853152199672</v>
      </c>
      <c r="AA96" s="149">
        <f aca="true" t="shared" si="129" ref="AA96:AA105">+X93</f>
        <v>8268.878757316692</v>
      </c>
      <c r="AB96" s="149">
        <f t="shared" si="118"/>
        <v>8268.878757316692</v>
      </c>
      <c r="AC96" s="149">
        <f t="shared" si="119"/>
        <v>8268.878757316692</v>
      </c>
      <c r="AD96" s="149">
        <f t="shared" si="120"/>
        <v>8268.878757316692</v>
      </c>
      <c r="AE96" s="149">
        <f t="shared" si="121"/>
        <v>8268.878757316692</v>
      </c>
      <c r="AF96" s="149">
        <f t="shared" si="122"/>
        <v>10916.350495073688</v>
      </c>
      <c r="AG96" s="149">
        <f t="shared" si="123"/>
        <v>10916.350495073688</v>
      </c>
      <c r="AH96" s="149">
        <f t="shared" si="124"/>
        <v>10916.350495073688</v>
      </c>
      <c r="AI96" s="149">
        <f aca="true" t="shared" si="130" ref="AI96:AI105">+AF93</f>
        <v>10916.350495073688</v>
      </c>
      <c r="AJ96" s="149">
        <f t="shared" si="126"/>
        <v>10916.350495073688</v>
      </c>
      <c r="AK96" s="149">
        <f t="shared" si="127"/>
        <v>13044.606566914483</v>
      </c>
      <c r="AL96" s="149">
        <f t="shared" si="128"/>
        <v>13044.606566914483</v>
      </c>
      <c r="AM96" s="130"/>
      <c r="AN96" s="403"/>
      <c r="AO96" s="24"/>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row>
    <row r="97" spans="1:116" ht="18.75">
      <c r="A97" s="371"/>
      <c r="B97" s="147"/>
      <c r="C97" s="148"/>
      <c r="D97" s="149"/>
      <c r="E97" s="149"/>
      <c r="F97" s="149"/>
      <c r="G97" s="149"/>
      <c r="H97" s="149"/>
      <c r="I97" s="149"/>
      <c r="J97" s="149"/>
      <c r="K97" s="149"/>
      <c r="L97" s="149"/>
      <c r="M97" s="149"/>
      <c r="N97" s="149">
        <f>+K94</f>
        <v>251.132766432288</v>
      </c>
      <c r="O97" s="149">
        <f t="shared" si="105"/>
        <v>259.22718898377605</v>
      </c>
      <c r="P97" s="149">
        <f t="shared" si="106"/>
        <v>567.1082214344477</v>
      </c>
      <c r="Q97" s="149">
        <f t="shared" si="107"/>
        <v>573.9721448463151</v>
      </c>
      <c r="R97" s="149">
        <f t="shared" si="108"/>
        <v>1869.5531252574651</v>
      </c>
      <c r="S97" s="149">
        <f t="shared" si="109"/>
        <v>1897.0088189049347</v>
      </c>
      <c r="T97" s="149">
        <f t="shared" si="110"/>
        <v>1897.0088189049347</v>
      </c>
      <c r="U97" s="149">
        <f t="shared" si="111"/>
        <v>1897.0088189049347</v>
      </c>
      <c r="V97" s="149">
        <f t="shared" si="112"/>
        <v>1897.0088189049347</v>
      </c>
      <c r="W97" s="149">
        <f t="shared" si="113"/>
        <v>7117.853152199672</v>
      </c>
      <c r="X97" s="149">
        <f t="shared" si="114"/>
        <v>7117.853152199672</v>
      </c>
      <c r="Y97" s="149">
        <f t="shared" si="115"/>
        <v>7117.853152199672</v>
      </c>
      <c r="Z97" s="149">
        <f t="shared" si="116"/>
        <v>7117.853152199672</v>
      </c>
      <c r="AA97" s="149">
        <f t="shared" si="129"/>
        <v>7117.853152199672</v>
      </c>
      <c r="AB97" s="149">
        <f t="shared" si="118"/>
        <v>8268.878757316692</v>
      </c>
      <c r="AC97" s="149">
        <f t="shared" si="119"/>
        <v>8268.878757316692</v>
      </c>
      <c r="AD97" s="149">
        <f t="shared" si="120"/>
        <v>8268.878757316692</v>
      </c>
      <c r="AE97" s="149">
        <f t="shared" si="121"/>
        <v>8268.878757316692</v>
      </c>
      <c r="AF97" s="149">
        <f t="shared" si="122"/>
        <v>8268.878757316692</v>
      </c>
      <c r="AG97" s="149">
        <f t="shared" si="123"/>
        <v>10916.350495073688</v>
      </c>
      <c r="AH97" s="149">
        <f t="shared" si="124"/>
        <v>10916.350495073688</v>
      </c>
      <c r="AI97" s="149">
        <f t="shared" si="130"/>
        <v>10916.350495073688</v>
      </c>
      <c r="AJ97" s="149">
        <f t="shared" si="126"/>
        <v>10916.350495073688</v>
      </c>
      <c r="AK97" s="149">
        <f t="shared" si="127"/>
        <v>10916.350495073688</v>
      </c>
      <c r="AL97" s="149">
        <f t="shared" si="128"/>
        <v>13044.606566914483</v>
      </c>
      <c r="AM97" s="130"/>
      <c r="AN97" s="403"/>
      <c r="AO97" s="24"/>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row>
    <row r="98" spans="1:116" ht="18.75">
      <c r="A98" s="371"/>
      <c r="B98" s="147"/>
      <c r="C98" s="148"/>
      <c r="D98" s="149"/>
      <c r="E98" s="149"/>
      <c r="F98" s="149"/>
      <c r="G98" s="149"/>
      <c r="H98" s="149"/>
      <c r="I98" s="149"/>
      <c r="J98" s="149"/>
      <c r="K98" s="149"/>
      <c r="L98" s="149"/>
      <c r="M98" s="149"/>
      <c r="N98" s="149"/>
      <c r="O98" s="149">
        <f>+L95</f>
        <v>251.132766432288</v>
      </c>
      <c r="P98" s="149">
        <f t="shared" si="106"/>
        <v>259.22718898377605</v>
      </c>
      <c r="Q98" s="149">
        <f t="shared" si="107"/>
        <v>567.1082214344477</v>
      </c>
      <c r="R98" s="149">
        <f t="shared" si="108"/>
        <v>573.9721448463151</v>
      </c>
      <c r="S98" s="149">
        <f t="shared" si="109"/>
        <v>1869.5531252574651</v>
      </c>
      <c r="T98" s="149">
        <f t="shared" si="110"/>
        <v>1897.0088189049347</v>
      </c>
      <c r="U98" s="149">
        <f t="shared" si="111"/>
        <v>1897.0088189049347</v>
      </c>
      <c r="V98" s="149">
        <f t="shared" si="112"/>
        <v>1897.0088189049347</v>
      </c>
      <c r="W98" s="149">
        <f t="shared" si="113"/>
        <v>1897.0088189049347</v>
      </c>
      <c r="X98" s="149">
        <f t="shared" si="114"/>
        <v>7117.853152199672</v>
      </c>
      <c r="Y98" s="149">
        <f t="shared" si="115"/>
        <v>7117.853152199672</v>
      </c>
      <c r="Z98" s="149">
        <f t="shared" si="116"/>
        <v>7117.853152199672</v>
      </c>
      <c r="AA98" s="149">
        <f t="shared" si="129"/>
        <v>7117.853152199672</v>
      </c>
      <c r="AB98" s="149">
        <f t="shared" si="118"/>
        <v>7117.853152199672</v>
      </c>
      <c r="AC98" s="149">
        <f t="shared" si="119"/>
        <v>8268.878757316692</v>
      </c>
      <c r="AD98" s="149">
        <f t="shared" si="120"/>
        <v>8268.878757316692</v>
      </c>
      <c r="AE98" s="149">
        <f t="shared" si="121"/>
        <v>8268.878757316692</v>
      </c>
      <c r="AF98" s="149">
        <f t="shared" si="122"/>
        <v>8268.878757316692</v>
      </c>
      <c r="AG98" s="149">
        <f t="shared" si="123"/>
        <v>8268.878757316692</v>
      </c>
      <c r="AH98" s="149">
        <f t="shared" si="124"/>
        <v>10916.350495073688</v>
      </c>
      <c r="AI98" s="149">
        <f t="shared" si="130"/>
        <v>10916.350495073688</v>
      </c>
      <c r="AJ98" s="149">
        <f t="shared" si="126"/>
        <v>10916.350495073688</v>
      </c>
      <c r="AK98" s="149">
        <f t="shared" si="127"/>
        <v>10916.350495073688</v>
      </c>
      <c r="AL98" s="149">
        <f t="shared" si="128"/>
        <v>10916.350495073688</v>
      </c>
      <c r="AM98" s="130"/>
      <c r="AN98" s="403"/>
      <c r="AO98" s="24"/>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row>
    <row r="99" spans="1:116" ht="18.75">
      <c r="A99" s="371"/>
      <c r="B99" s="147"/>
      <c r="C99" s="148"/>
      <c r="D99" s="149"/>
      <c r="E99" s="149"/>
      <c r="F99" s="149"/>
      <c r="G99" s="149"/>
      <c r="H99" s="149"/>
      <c r="I99" s="149"/>
      <c r="J99" s="149"/>
      <c r="K99" s="149"/>
      <c r="L99" s="149"/>
      <c r="M99" s="149"/>
      <c r="N99" s="149"/>
      <c r="O99" s="149"/>
      <c r="P99" s="149">
        <f>+M96</f>
        <v>251.132766432288</v>
      </c>
      <c r="Q99" s="149">
        <f>+N96</f>
        <v>259.22718898377605</v>
      </c>
      <c r="R99" s="149">
        <f t="shared" si="108"/>
        <v>567.1082214344477</v>
      </c>
      <c r="S99" s="149">
        <f t="shared" si="109"/>
        <v>573.9721448463151</v>
      </c>
      <c r="T99" s="149">
        <f t="shared" si="110"/>
        <v>1869.5531252574651</v>
      </c>
      <c r="U99" s="149">
        <f t="shared" si="111"/>
        <v>1897.0088189049347</v>
      </c>
      <c r="V99" s="149">
        <f t="shared" si="112"/>
        <v>1897.0088189049347</v>
      </c>
      <c r="W99" s="149">
        <f t="shared" si="113"/>
        <v>1897.0088189049347</v>
      </c>
      <c r="X99" s="149">
        <f t="shared" si="114"/>
        <v>1897.0088189049347</v>
      </c>
      <c r="Y99" s="149">
        <f t="shared" si="115"/>
        <v>7117.853152199672</v>
      </c>
      <c r="Z99" s="149">
        <f t="shared" si="116"/>
        <v>7117.853152199672</v>
      </c>
      <c r="AA99" s="149">
        <f t="shared" si="129"/>
        <v>7117.853152199672</v>
      </c>
      <c r="AB99" s="149">
        <f t="shared" si="118"/>
        <v>7117.853152199672</v>
      </c>
      <c r="AC99" s="149">
        <f t="shared" si="119"/>
        <v>7117.853152199672</v>
      </c>
      <c r="AD99" s="149">
        <f t="shared" si="120"/>
        <v>8268.878757316692</v>
      </c>
      <c r="AE99" s="149">
        <f t="shared" si="121"/>
        <v>8268.878757316692</v>
      </c>
      <c r="AF99" s="149">
        <f t="shared" si="122"/>
        <v>8268.878757316692</v>
      </c>
      <c r="AG99" s="149">
        <f t="shared" si="123"/>
        <v>8268.878757316692</v>
      </c>
      <c r="AH99" s="149">
        <f t="shared" si="124"/>
        <v>8268.878757316692</v>
      </c>
      <c r="AI99" s="149">
        <f t="shared" si="130"/>
        <v>10916.350495073688</v>
      </c>
      <c r="AJ99" s="149">
        <f t="shared" si="126"/>
        <v>10916.350495073688</v>
      </c>
      <c r="AK99" s="149">
        <f t="shared" si="127"/>
        <v>10916.350495073688</v>
      </c>
      <c r="AL99" s="149">
        <f t="shared" si="128"/>
        <v>10916.350495073688</v>
      </c>
      <c r="AM99" s="130"/>
      <c r="AN99" s="403"/>
      <c r="AO99" s="24"/>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row>
    <row r="100" spans="1:116" ht="18.75">
      <c r="A100" s="371"/>
      <c r="B100" s="147"/>
      <c r="C100" s="148"/>
      <c r="D100" s="149"/>
      <c r="E100" s="149"/>
      <c r="F100" s="149"/>
      <c r="G100" s="149"/>
      <c r="H100" s="149"/>
      <c r="I100" s="149"/>
      <c r="J100" s="149"/>
      <c r="K100" s="149"/>
      <c r="L100" s="149"/>
      <c r="M100" s="149"/>
      <c r="N100" s="149"/>
      <c r="O100" s="149"/>
      <c r="P100" s="149"/>
      <c r="Q100" s="149">
        <f>+N97</f>
        <v>251.132766432288</v>
      </c>
      <c r="R100" s="149">
        <f t="shared" si="108"/>
        <v>259.22718898377605</v>
      </c>
      <c r="S100" s="149">
        <f t="shared" si="109"/>
        <v>567.1082214344477</v>
      </c>
      <c r="T100" s="149">
        <f t="shared" si="110"/>
        <v>573.9721448463151</v>
      </c>
      <c r="U100" s="149">
        <f t="shared" si="111"/>
        <v>1869.5531252574651</v>
      </c>
      <c r="V100" s="149">
        <f t="shared" si="112"/>
        <v>1897.0088189049347</v>
      </c>
      <c r="W100" s="149">
        <f t="shared" si="113"/>
        <v>1897.0088189049347</v>
      </c>
      <c r="X100" s="149">
        <f t="shared" si="114"/>
        <v>1897.0088189049347</v>
      </c>
      <c r="Y100" s="149">
        <f t="shared" si="115"/>
        <v>1897.0088189049347</v>
      </c>
      <c r="Z100" s="149">
        <f t="shared" si="116"/>
        <v>7117.853152199672</v>
      </c>
      <c r="AA100" s="149">
        <f t="shared" si="129"/>
        <v>7117.853152199672</v>
      </c>
      <c r="AB100" s="149">
        <f t="shared" si="118"/>
        <v>7117.853152199672</v>
      </c>
      <c r="AC100" s="149">
        <f t="shared" si="119"/>
        <v>7117.853152199672</v>
      </c>
      <c r="AD100" s="149">
        <f t="shared" si="120"/>
        <v>7117.853152199672</v>
      </c>
      <c r="AE100" s="149">
        <f t="shared" si="121"/>
        <v>8268.878757316692</v>
      </c>
      <c r="AF100" s="149">
        <f t="shared" si="122"/>
        <v>8268.878757316692</v>
      </c>
      <c r="AG100" s="149">
        <f t="shared" si="123"/>
        <v>8268.878757316692</v>
      </c>
      <c r="AH100" s="149">
        <f t="shared" si="124"/>
        <v>8268.878757316692</v>
      </c>
      <c r="AI100" s="149">
        <f t="shared" si="130"/>
        <v>8268.878757316692</v>
      </c>
      <c r="AJ100" s="149">
        <f t="shared" si="126"/>
        <v>10916.350495073688</v>
      </c>
      <c r="AK100" s="149">
        <f t="shared" si="127"/>
        <v>10916.350495073688</v>
      </c>
      <c r="AL100" s="149">
        <f t="shared" si="128"/>
        <v>10916.350495073688</v>
      </c>
      <c r="AM100" s="130"/>
      <c r="AN100" s="403"/>
      <c r="AO100" s="24"/>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row>
    <row r="101" spans="1:116" ht="18.75">
      <c r="A101" s="371"/>
      <c r="B101" s="147"/>
      <c r="C101" s="148"/>
      <c r="D101" s="149"/>
      <c r="E101" s="149"/>
      <c r="F101" s="149"/>
      <c r="G101" s="149"/>
      <c r="H101" s="149"/>
      <c r="I101" s="149"/>
      <c r="J101" s="149"/>
      <c r="K101" s="149"/>
      <c r="L101" s="149"/>
      <c r="M101" s="149"/>
      <c r="N101" s="149"/>
      <c r="O101" s="149"/>
      <c r="P101" s="149"/>
      <c r="Q101" s="149"/>
      <c r="R101" s="149">
        <f>+O98</f>
        <v>251.132766432288</v>
      </c>
      <c r="S101" s="149">
        <f t="shared" si="109"/>
        <v>259.22718898377605</v>
      </c>
      <c r="T101" s="149">
        <f t="shared" si="110"/>
        <v>567.1082214344477</v>
      </c>
      <c r="U101" s="149">
        <f t="shared" si="111"/>
        <v>573.9721448463151</v>
      </c>
      <c r="V101" s="149">
        <f t="shared" si="112"/>
        <v>1869.5531252574651</v>
      </c>
      <c r="W101" s="149">
        <f t="shared" si="113"/>
        <v>1897.0088189049347</v>
      </c>
      <c r="X101" s="149">
        <f t="shared" si="114"/>
        <v>1897.0088189049347</v>
      </c>
      <c r="Y101" s="149">
        <f t="shared" si="115"/>
        <v>1897.0088189049347</v>
      </c>
      <c r="Z101" s="149">
        <f t="shared" si="116"/>
        <v>1897.0088189049347</v>
      </c>
      <c r="AA101" s="149">
        <f t="shared" si="129"/>
        <v>7117.853152199672</v>
      </c>
      <c r="AB101" s="149">
        <f t="shared" si="118"/>
        <v>7117.853152199672</v>
      </c>
      <c r="AC101" s="149">
        <f t="shared" si="119"/>
        <v>7117.853152199672</v>
      </c>
      <c r="AD101" s="149">
        <f t="shared" si="120"/>
        <v>7117.853152199672</v>
      </c>
      <c r="AE101" s="149">
        <f t="shared" si="121"/>
        <v>7117.853152199672</v>
      </c>
      <c r="AF101" s="149">
        <f t="shared" si="122"/>
        <v>8268.878757316692</v>
      </c>
      <c r="AG101" s="149">
        <f t="shared" si="123"/>
        <v>8268.878757316692</v>
      </c>
      <c r="AH101" s="149">
        <f t="shared" si="124"/>
        <v>8268.878757316692</v>
      </c>
      <c r="AI101" s="149">
        <f t="shared" si="130"/>
        <v>8268.878757316692</v>
      </c>
      <c r="AJ101" s="149">
        <f t="shared" si="126"/>
        <v>8268.878757316692</v>
      </c>
      <c r="AK101" s="149">
        <f t="shared" si="127"/>
        <v>10916.350495073688</v>
      </c>
      <c r="AL101" s="149">
        <f t="shared" si="128"/>
        <v>10916.350495073688</v>
      </c>
      <c r="AM101" s="130"/>
      <c r="AN101" s="403"/>
      <c r="AO101" s="24"/>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row>
    <row r="102" spans="1:116" ht="18.75">
      <c r="A102" s="371"/>
      <c r="B102" s="147"/>
      <c r="C102" s="148"/>
      <c r="D102" s="149"/>
      <c r="E102" s="149"/>
      <c r="F102" s="149"/>
      <c r="G102" s="149"/>
      <c r="H102" s="149"/>
      <c r="I102" s="149"/>
      <c r="J102" s="149"/>
      <c r="K102" s="149"/>
      <c r="L102" s="149"/>
      <c r="M102" s="149"/>
      <c r="N102" s="149"/>
      <c r="O102" s="149"/>
      <c r="P102" s="149"/>
      <c r="Q102" s="149"/>
      <c r="R102" s="149"/>
      <c r="S102" s="149">
        <f>+P99</f>
        <v>251.132766432288</v>
      </c>
      <c r="T102" s="149">
        <f t="shared" si="110"/>
        <v>259.22718898377605</v>
      </c>
      <c r="U102" s="149">
        <f t="shared" si="111"/>
        <v>567.1082214344477</v>
      </c>
      <c r="V102" s="149">
        <f t="shared" si="112"/>
        <v>573.9721448463151</v>
      </c>
      <c r="W102" s="149">
        <f t="shared" si="113"/>
        <v>1869.5531252574651</v>
      </c>
      <c r="X102" s="149">
        <f t="shared" si="114"/>
        <v>1897.0088189049347</v>
      </c>
      <c r="Y102" s="149">
        <f t="shared" si="115"/>
        <v>1897.0088189049347</v>
      </c>
      <c r="Z102" s="149">
        <f t="shared" si="116"/>
        <v>1897.0088189049347</v>
      </c>
      <c r="AA102" s="149">
        <f t="shared" si="129"/>
        <v>1897.0088189049347</v>
      </c>
      <c r="AB102" s="149">
        <f t="shared" si="118"/>
        <v>7117.853152199672</v>
      </c>
      <c r="AC102" s="149">
        <f t="shared" si="119"/>
        <v>7117.853152199672</v>
      </c>
      <c r="AD102" s="149">
        <f t="shared" si="120"/>
        <v>7117.853152199672</v>
      </c>
      <c r="AE102" s="149">
        <f t="shared" si="121"/>
        <v>7117.853152199672</v>
      </c>
      <c r="AF102" s="149">
        <f t="shared" si="122"/>
        <v>7117.853152199672</v>
      </c>
      <c r="AG102" s="149">
        <f t="shared" si="123"/>
        <v>8268.878757316692</v>
      </c>
      <c r="AH102" s="149">
        <f t="shared" si="124"/>
        <v>8268.878757316692</v>
      </c>
      <c r="AI102" s="149">
        <f t="shared" si="130"/>
        <v>8268.878757316692</v>
      </c>
      <c r="AJ102" s="149">
        <f t="shared" si="126"/>
        <v>8268.878757316692</v>
      </c>
      <c r="AK102" s="149">
        <f t="shared" si="127"/>
        <v>8268.878757316692</v>
      </c>
      <c r="AL102" s="149">
        <f t="shared" si="128"/>
        <v>10916.350495073688</v>
      </c>
      <c r="AM102" s="130"/>
      <c r="AN102" s="403"/>
      <c r="AO102" s="24"/>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row>
    <row r="103" spans="1:116" ht="18.75">
      <c r="A103" s="371"/>
      <c r="B103" s="147"/>
      <c r="C103" s="148"/>
      <c r="D103" s="149"/>
      <c r="E103" s="149"/>
      <c r="F103" s="149"/>
      <c r="G103" s="149"/>
      <c r="H103" s="149"/>
      <c r="I103" s="149"/>
      <c r="J103" s="149"/>
      <c r="K103" s="149"/>
      <c r="L103" s="149"/>
      <c r="M103" s="149"/>
      <c r="N103" s="149"/>
      <c r="O103" s="149"/>
      <c r="P103" s="149"/>
      <c r="Q103" s="149"/>
      <c r="R103" s="149"/>
      <c r="S103" s="149"/>
      <c r="T103" s="149">
        <f>+Q100</f>
        <v>251.132766432288</v>
      </c>
      <c r="U103" s="149">
        <f t="shared" si="111"/>
        <v>259.22718898377605</v>
      </c>
      <c r="V103" s="149">
        <f t="shared" si="112"/>
        <v>567.1082214344477</v>
      </c>
      <c r="W103" s="149">
        <f t="shared" si="113"/>
        <v>573.9721448463151</v>
      </c>
      <c r="X103" s="149">
        <f t="shared" si="114"/>
        <v>1869.5531252574651</v>
      </c>
      <c r="Y103" s="149">
        <f t="shared" si="115"/>
        <v>1897.0088189049347</v>
      </c>
      <c r="Z103" s="149">
        <f t="shared" si="116"/>
        <v>1897.0088189049347</v>
      </c>
      <c r="AA103" s="149">
        <f t="shared" si="129"/>
        <v>1897.0088189049347</v>
      </c>
      <c r="AB103" s="149">
        <f t="shared" si="118"/>
        <v>1897.0088189049347</v>
      </c>
      <c r="AC103" s="149">
        <f t="shared" si="119"/>
        <v>7117.853152199672</v>
      </c>
      <c r="AD103" s="149">
        <f t="shared" si="120"/>
        <v>7117.853152199672</v>
      </c>
      <c r="AE103" s="149">
        <f t="shared" si="121"/>
        <v>7117.853152199672</v>
      </c>
      <c r="AF103" s="149">
        <f t="shared" si="122"/>
        <v>7117.853152199672</v>
      </c>
      <c r="AG103" s="149">
        <f t="shared" si="123"/>
        <v>7117.853152199672</v>
      </c>
      <c r="AH103" s="149">
        <f t="shared" si="124"/>
        <v>8268.878757316692</v>
      </c>
      <c r="AI103" s="149">
        <f t="shared" si="130"/>
        <v>8268.878757316692</v>
      </c>
      <c r="AJ103" s="149">
        <f t="shared" si="126"/>
        <v>8268.878757316692</v>
      </c>
      <c r="AK103" s="149">
        <f t="shared" si="127"/>
        <v>8268.878757316692</v>
      </c>
      <c r="AL103" s="149">
        <f t="shared" si="128"/>
        <v>8268.878757316692</v>
      </c>
      <c r="AM103" s="130"/>
      <c r="AN103" s="403"/>
      <c r="AO103" s="24"/>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row>
    <row r="104" spans="1:116" ht="18.75">
      <c r="A104" s="371"/>
      <c r="B104" s="147"/>
      <c r="C104" s="148"/>
      <c r="D104" s="149"/>
      <c r="E104" s="149"/>
      <c r="F104" s="149"/>
      <c r="G104" s="149"/>
      <c r="H104" s="149"/>
      <c r="I104" s="149"/>
      <c r="J104" s="149"/>
      <c r="K104" s="149"/>
      <c r="L104" s="149"/>
      <c r="M104" s="149"/>
      <c r="N104" s="149"/>
      <c r="O104" s="149"/>
      <c r="P104" s="149"/>
      <c r="Q104" s="149"/>
      <c r="R104" s="149"/>
      <c r="S104" s="149"/>
      <c r="T104" s="149"/>
      <c r="U104" s="149">
        <f>+R101</f>
        <v>251.132766432288</v>
      </c>
      <c r="V104" s="149">
        <f t="shared" si="112"/>
        <v>259.22718898377605</v>
      </c>
      <c r="W104" s="149">
        <f t="shared" si="113"/>
        <v>567.1082214344477</v>
      </c>
      <c r="X104" s="149">
        <f t="shared" si="114"/>
        <v>573.9721448463151</v>
      </c>
      <c r="Y104" s="149">
        <f t="shared" si="115"/>
        <v>1869.5531252574651</v>
      </c>
      <c r="Z104" s="149">
        <f t="shared" si="116"/>
        <v>1897.0088189049347</v>
      </c>
      <c r="AA104" s="149">
        <f t="shared" si="129"/>
        <v>1897.0088189049347</v>
      </c>
      <c r="AB104" s="149">
        <f t="shared" si="118"/>
        <v>1897.0088189049347</v>
      </c>
      <c r="AC104" s="149">
        <f t="shared" si="119"/>
        <v>1897.0088189049347</v>
      </c>
      <c r="AD104" s="149">
        <f t="shared" si="120"/>
        <v>7117.853152199672</v>
      </c>
      <c r="AE104" s="149">
        <f t="shared" si="121"/>
        <v>7117.853152199672</v>
      </c>
      <c r="AF104" s="149">
        <f t="shared" si="122"/>
        <v>7117.853152199672</v>
      </c>
      <c r="AG104" s="149">
        <f t="shared" si="123"/>
        <v>7117.853152199672</v>
      </c>
      <c r="AH104" s="149">
        <f t="shared" si="124"/>
        <v>7117.853152199672</v>
      </c>
      <c r="AI104" s="149">
        <f t="shared" si="130"/>
        <v>8268.878757316692</v>
      </c>
      <c r="AJ104" s="149">
        <f t="shared" si="126"/>
        <v>8268.878757316692</v>
      </c>
      <c r="AK104" s="149">
        <f t="shared" si="127"/>
        <v>8268.878757316692</v>
      </c>
      <c r="AL104" s="149">
        <f t="shared" si="128"/>
        <v>8268.878757316692</v>
      </c>
      <c r="AM104" s="130"/>
      <c r="AN104" s="403"/>
      <c r="AO104" s="24"/>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row>
    <row r="105" spans="1:116" ht="18.75">
      <c r="A105" s="371"/>
      <c r="B105" s="147"/>
      <c r="C105" s="148"/>
      <c r="D105" s="149"/>
      <c r="E105" s="149"/>
      <c r="F105" s="149"/>
      <c r="G105" s="149"/>
      <c r="H105" s="149"/>
      <c r="I105" s="149"/>
      <c r="J105" s="149"/>
      <c r="K105" s="149"/>
      <c r="L105" s="149"/>
      <c r="M105" s="149"/>
      <c r="N105" s="149"/>
      <c r="O105" s="149"/>
      <c r="P105" s="149"/>
      <c r="Q105" s="149"/>
      <c r="R105" s="149"/>
      <c r="S105" s="149"/>
      <c r="T105" s="149"/>
      <c r="U105" s="149"/>
      <c r="V105" s="149">
        <f>+S102</f>
        <v>251.132766432288</v>
      </c>
      <c r="W105" s="149">
        <f>+T102</f>
        <v>259.22718898377605</v>
      </c>
      <c r="X105" s="149">
        <f t="shared" si="114"/>
        <v>567.1082214344477</v>
      </c>
      <c r="Y105" s="149">
        <f t="shared" si="115"/>
        <v>573.9721448463151</v>
      </c>
      <c r="Z105" s="149">
        <f t="shared" si="116"/>
        <v>1869.5531252574651</v>
      </c>
      <c r="AA105" s="149">
        <f t="shared" si="129"/>
        <v>1897.0088189049347</v>
      </c>
      <c r="AB105" s="149">
        <f t="shared" si="118"/>
        <v>1897.0088189049347</v>
      </c>
      <c r="AC105" s="149">
        <f t="shared" si="119"/>
        <v>1897.0088189049347</v>
      </c>
      <c r="AD105" s="149">
        <f t="shared" si="120"/>
        <v>1897.0088189049347</v>
      </c>
      <c r="AE105" s="149">
        <f t="shared" si="121"/>
        <v>7117.853152199672</v>
      </c>
      <c r="AF105" s="149">
        <f t="shared" si="122"/>
        <v>7117.853152199672</v>
      </c>
      <c r="AG105" s="149">
        <f t="shared" si="123"/>
        <v>7117.853152199672</v>
      </c>
      <c r="AH105" s="149">
        <f t="shared" si="124"/>
        <v>7117.853152199672</v>
      </c>
      <c r="AI105" s="149">
        <f t="shared" si="130"/>
        <v>7117.853152199672</v>
      </c>
      <c r="AJ105" s="149">
        <f t="shared" si="126"/>
        <v>8268.878757316692</v>
      </c>
      <c r="AK105" s="149">
        <f t="shared" si="127"/>
        <v>8268.878757316692</v>
      </c>
      <c r="AL105" s="149">
        <f t="shared" si="128"/>
        <v>8268.878757316692</v>
      </c>
      <c r="AM105" s="130"/>
      <c r="AN105" s="403"/>
      <c r="AO105" s="24"/>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row>
    <row r="106" spans="1:116" ht="18.75">
      <c r="A106" s="413"/>
      <c r="B106" s="61"/>
      <c r="C106" s="70"/>
      <c r="D106" s="280">
        <f>SUM(D86:D105)*$D$170</f>
        <v>251.132766432288</v>
      </c>
      <c r="E106" s="280">
        <f aca="true" t="shared" si="131" ref="E106:AL106">SUM(E86:E105)*$D$170</f>
        <v>510.35995541606405</v>
      </c>
      <c r="F106" s="280">
        <f t="shared" si="131"/>
        <v>1077.4681768505118</v>
      </c>
      <c r="G106" s="280">
        <f t="shared" si="131"/>
        <v>1651.4403216968271</v>
      </c>
      <c r="H106" s="280">
        <f t="shared" si="131"/>
        <v>3520.9934469542923</v>
      </c>
      <c r="I106" s="280">
        <f t="shared" si="131"/>
        <v>5418.002265859227</v>
      </c>
      <c r="J106" s="280">
        <f t="shared" si="131"/>
        <v>7315.011084764162</v>
      </c>
      <c r="K106" s="280">
        <f t="shared" si="131"/>
        <v>9212.019903669097</v>
      </c>
      <c r="L106" s="280">
        <f t="shared" si="131"/>
        <v>11109.028722574032</v>
      </c>
      <c r="M106" s="280">
        <f t="shared" si="131"/>
        <v>18226.881874773702</v>
      </c>
      <c r="N106" s="280">
        <f t="shared" si="131"/>
        <v>25344.735026973372</v>
      </c>
      <c r="O106" s="280">
        <f t="shared" si="131"/>
        <v>32462.58817917305</v>
      </c>
      <c r="P106" s="280">
        <f t="shared" si="131"/>
        <v>39580.44133137273</v>
      </c>
      <c r="Q106" s="280">
        <f t="shared" si="131"/>
        <v>46698.2944835724</v>
      </c>
      <c r="R106" s="280">
        <f t="shared" si="131"/>
        <v>54967.17324088909</v>
      </c>
      <c r="S106" s="280">
        <f t="shared" si="131"/>
        <v>63236.051998205774</v>
      </c>
      <c r="T106" s="280">
        <f t="shared" si="131"/>
        <v>71504.93075552244</v>
      </c>
      <c r="U106" s="280">
        <f t="shared" si="131"/>
        <v>79773.80951283911</v>
      </c>
      <c r="V106" s="280">
        <f t="shared" si="131"/>
        <v>88042.68827015582</v>
      </c>
      <c r="W106" s="280">
        <f t="shared" si="131"/>
        <v>98707.90599879724</v>
      </c>
      <c r="X106" s="280">
        <f t="shared" si="131"/>
        <v>109365.02930488715</v>
      </c>
      <c r="Y106" s="280">
        <f t="shared" si="131"/>
        <v>119714.27157852639</v>
      </c>
      <c r="Z106" s="280">
        <f t="shared" si="131"/>
        <v>130056.64992875376</v>
      </c>
      <c r="AA106" s="280">
        <f t="shared" si="131"/>
        <v>139103.44729856998</v>
      </c>
      <c r="AB106" s="280">
        <f t="shared" si="131"/>
        <v>150251.04504657956</v>
      </c>
      <c r="AC106" s="280">
        <f t="shared" si="131"/>
        <v>161398.6427945891</v>
      </c>
      <c r="AD106" s="280">
        <f t="shared" si="131"/>
        <v>172546.24054259865</v>
      </c>
      <c r="AE106" s="280">
        <f t="shared" si="131"/>
        <v>183693.83829060817</v>
      </c>
      <c r="AF106" s="280">
        <f t="shared" si="131"/>
        <v>189620.59170532296</v>
      </c>
      <c r="AG106" s="280">
        <f t="shared" si="131"/>
        <v>200682.907467961</v>
      </c>
      <c r="AH106" s="280">
        <f t="shared" si="131"/>
        <v>211745.22323059902</v>
      </c>
      <c r="AI106" s="280">
        <f t="shared" si="131"/>
        <v>222807.53899323705</v>
      </c>
      <c r="AJ106" s="280">
        <f t="shared" si="131"/>
        <v>233869.85475587507</v>
      </c>
      <c r="AK106" s="280">
        <f t="shared" si="131"/>
        <v>243781.1449133961</v>
      </c>
      <c r="AL106" s="280">
        <f t="shared" si="131"/>
        <v>253692.43507091707</v>
      </c>
      <c r="AM106" s="130"/>
      <c r="AN106" s="403"/>
      <c r="AO106" s="24"/>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row>
    <row r="107" spans="1:116" ht="18.75">
      <c r="A107" s="371"/>
      <c r="B107" s="147"/>
      <c r="C107" s="148"/>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27"/>
      <c r="AN107" s="403"/>
      <c r="AO107" s="24"/>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row>
    <row r="108" spans="1:116" ht="18.75">
      <c r="A108" s="371"/>
      <c r="B108" s="61"/>
      <c r="C108" s="126"/>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403"/>
      <c r="AO108" s="24"/>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row>
    <row r="109" spans="1:116" ht="18.75">
      <c r="A109" s="371"/>
      <c r="B109" s="61" t="s">
        <v>18</v>
      </c>
      <c r="C109" s="73"/>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403"/>
      <c r="AO109" s="24"/>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row>
    <row r="110" spans="1:116" ht="18.75">
      <c r="A110" s="371"/>
      <c r="B110" s="61"/>
      <c r="C110" s="70" t="s">
        <v>72</v>
      </c>
      <c r="D110" s="130">
        <f>+('Education Model'!E75*260*'Age Earning Profiles'!$D10)/1000000</f>
        <v>503.18963356771195</v>
      </c>
      <c r="E110" s="130">
        <f>+('Education Model'!F75*260*'Age Earning Profiles'!$D10)/1000000</f>
        <v>495.0952110162239</v>
      </c>
      <c r="F110" s="130">
        <f>+('Education Model'!G75*260*'Age Earning Profiles'!$D10)/1000000</f>
        <v>187.21417856555212</v>
      </c>
      <c r="G110" s="130">
        <f>+('Education Model'!H75*260*'Age Earning Profiles'!$D10)/1000000</f>
        <v>180.35025515368488</v>
      </c>
      <c r="H110" s="130">
        <f>+('Education Model'!I75*260*'Age Earning Profiles'!$D11)/1000000</f>
        <v>346.97266348363524</v>
      </c>
      <c r="I110" s="130">
        <f>+('Education Model'!J75*260*'Age Earning Profiles'!$D11)/1000000</f>
        <v>299.9203349939106</v>
      </c>
      <c r="J110" s="130">
        <f>+('Education Model'!K75*260*'Age Earning Profiles'!$D11)/1000000</f>
        <v>296.1713308064867</v>
      </c>
      <c r="K110" s="130">
        <f>+('Education Model'!L75*260*'Age Earning Profiles'!$D11)/1000000</f>
        <v>292.4223266190628</v>
      </c>
      <c r="L110" s="130">
        <f>+('Education Model'!M75*260*'Age Earning Profiles'!$D11)/1000000</f>
        <v>288.6733224316389</v>
      </c>
      <c r="M110" s="130">
        <f>+L110</f>
        <v>288.6733224316389</v>
      </c>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27"/>
      <c r="AN110" s="403"/>
      <c r="AO110" s="24"/>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row>
    <row r="111" spans="1:116" ht="18.75">
      <c r="A111" s="371"/>
      <c r="B111" s="61"/>
      <c r="C111" s="70"/>
      <c r="D111" s="149"/>
      <c r="E111" s="149">
        <f>+D110</f>
        <v>503.18963356771195</v>
      </c>
      <c r="F111" s="149">
        <f aca="true" t="shared" si="132" ref="F111:AL111">+E110</f>
        <v>495.0952110162239</v>
      </c>
      <c r="G111" s="149">
        <f t="shared" si="132"/>
        <v>187.21417856555212</v>
      </c>
      <c r="H111" s="149">
        <f t="shared" si="132"/>
        <v>180.35025515368488</v>
      </c>
      <c r="I111" s="149">
        <f t="shared" si="132"/>
        <v>346.97266348363524</v>
      </c>
      <c r="J111" s="149">
        <f t="shared" si="132"/>
        <v>299.9203349939106</v>
      </c>
      <c r="K111" s="149">
        <f t="shared" si="132"/>
        <v>296.1713308064867</v>
      </c>
      <c r="L111" s="149">
        <f t="shared" si="132"/>
        <v>292.4223266190628</v>
      </c>
      <c r="M111" s="149">
        <f t="shared" si="132"/>
        <v>288.6733224316389</v>
      </c>
      <c r="N111" s="149">
        <f t="shared" si="132"/>
        <v>288.6733224316389</v>
      </c>
      <c r="O111" s="149">
        <f t="shared" si="132"/>
        <v>0</v>
      </c>
      <c r="P111" s="149">
        <f t="shared" si="132"/>
        <v>0</v>
      </c>
      <c r="Q111" s="149">
        <f t="shared" si="132"/>
        <v>0</v>
      </c>
      <c r="R111" s="149">
        <f t="shared" si="132"/>
        <v>0</v>
      </c>
      <c r="S111" s="149">
        <f t="shared" si="132"/>
        <v>0</v>
      </c>
      <c r="T111" s="149">
        <f t="shared" si="132"/>
        <v>0</v>
      </c>
      <c r="U111" s="149">
        <f t="shared" si="132"/>
        <v>0</v>
      </c>
      <c r="V111" s="149">
        <f t="shared" si="132"/>
        <v>0</v>
      </c>
      <c r="W111" s="149">
        <f t="shared" si="132"/>
        <v>0</v>
      </c>
      <c r="X111" s="149">
        <f t="shared" si="132"/>
        <v>0</v>
      </c>
      <c r="Y111" s="149">
        <f t="shared" si="132"/>
        <v>0</v>
      </c>
      <c r="Z111" s="149">
        <f t="shared" si="132"/>
        <v>0</v>
      </c>
      <c r="AA111" s="149">
        <f t="shared" si="132"/>
        <v>0</v>
      </c>
      <c r="AB111" s="149">
        <f t="shared" si="132"/>
        <v>0</v>
      </c>
      <c r="AC111" s="149">
        <f t="shared" si="132"/>
        <v>0</v>
      </c>
      <c r="AD111" s="149">
        <f t="shared" si="132"/>
        <v>0</v>
      </c>
      <c r="AE111" s="149">
        <f t="shared" si="132"/>
        <v>0</v>
      </c>
      <c r="AF111" s="149">
        <f t="shared" si="132"/>
        <v>0</v>
      </c>
      <c r="AG111" s="149">
        <f t="shared" si="132"/>
        <v>0</v>
      </c>
      <c r="AH111" s="149">
        <f t="shared" si="132"/>
        <v>0</v>
      </c>
      <c r="AI111" s="149">
        <f t="shared" si="132"/>
        <v>0</v>
      </c>
      <c r="AJ111" s="149">
        <f t="shared" si="132"/>
        <v>0</v>
      </c>
      <c r="AK111" s="149">
        <f t="shared" si="132"/>
        <v>0</v>
      </c>
      <c r="AL111" s="149">
        <f t="shared" si="132"/>
        <v>0</v>
      </c>
      <c r="AM111" s="130"/>
      <c r="AN111" s="403"/>
      <c r="AO111" s="24"/>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row>
    <row r="112" spans="1:116" ht="18.75">
      <c r="A112" s="371"/>
      <c r="B112" s="61"/>
      <c r="C112" s="70"/>
      <c r="D112" s="149"/>
      <c r="E112" s="149"/>
      <c r="F112" s="149">
        <f aca="true" t="shared" si="133" ref="F112:AL112">+D110</f>
        <v>503.18963356771195</v>
      </c>
      <c r="G112" s="149">
        <f t="shared" si="133"/>
        <v>495.0952110162239</v>
      </c>
      <c r="H112" s="149">
        <f t="shared" si="133"/>
        <v>187.21417856555212</v>
      </c>
      <c r="I112" s="149">
        <f t="shared" si="133"/>
        <v>180.35025515368488</v>
      </c>
      <c r="J112" s="149">
        <f t="shared" si="133"/>
        <v>346.97266348363524</v>
      </c>
      <c r="K112" s="149">
        <f t="shared" si="133"/>
        <v>299.9203349939106</v>
      </c>
      <c r="L112" s="149">
        <f t="shared" si="133"/>
        <v>296.1713308064867</v>
      </c>
      <c r="M112" s="149">
        <f t="shared" si="133"/>
        <v>292.4223266190628</v>
      </c>
      <c r="N112" s="149">
        <f t="shared" si="133"/>
        <v>288.6733224316389</v>
      </c>
      <c r="O112" s="149">
        <f t="shared" si="133"/>
        <v>288.6733224316389</v>
      </c>
      <c r="P112" s="149">
        <f t="shared" si="133"/>
        <v>0</v>
      </c>
      <c r="Q112" s="149">
        <f t="shared" si="133"/>
        <v>0</v>
      </c>
      <c r="R112" s="149">
        <f t="shared" si="133"/>
        <v>0</v>
      </c>
      <c r="S112" s="149">
        <f t="shared" si="133"/>
        <v>0</v>
      </c>
      <c r="T112" s="149">
        <f t="shared" si="133"/>
        <v>0</v>
      </c>
      <c r="U112" s="149">
        <f t="shared" si="133"/>
        <v>0</v>
      </c>
      <c r="V112" s="149">
        <f t="shared" si="133"/>
        <v>0</v>
      </c>
      <c r="W112" s="149">
        <f t="shared" si="133"/>
        <v>0</v>
      </c>
      <c r="X112" s="149">
        <f t="shared" si="133"/>
        <v>0</v>
      </c>
      <c r="Y112" s="149">
        <f t="shared" si="133"/>
        <v>0</v>
      </c>
      <c r="Z112" s="149">
        <f t="shared" si="133"/>
        <v>0</v>
      </c>
      <c r="AA112" s="149">
        <f t="shared" si="133"/>
        <v>0</v>
      </c>
      <c r="AB112" s="149">
        <f t="shared" si="133"/>
        <v>0</v>
      </c>
      <c r="AC112" s="149">
        <f t="shared" si="133"/>
        <v>0</v>
      </c>
      <c r="AD112" s="149">
        <f t="shared" si="133"/>
        <v>0</v>
      </c>
      <c r="AE112" s="149">
        <f t="shared" si="133"/>
        <v>0</v>
      </c>
      <c r="AF112" s="149">
        <f t="shared" si="133"/>
        <v>0</v>
      </c>
      <c r="AG112" s="149">
        <f t="shared" si="133"/>
        <v>0</v>
      </c>
      <c r="AH112" s="149">
        <f t="shared" si="133"/>
        <v>0</v>
      </c>
      <c r="AI112" s="149">
        <f t="shared" si="133"/>
        <v>0</v>
      </c>
      <c r="AJ112" s="149">
        <f t="shared" si="133"/>
        <v>0</v>
      </c>
      <c r="AK112" s="149">
        <f t="shared" si="133"/>
        <v>0</v>
      </c>
      <c r="AL112" s="149">
        <f t="shared" si="133"/>
        <v>0</v>
      </c>
      <c r="AM112" s="130"/>
      <c r="AN112" s="403"/>
      <c r="AO112" s="24"/>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row>
    <row r="113" spans="1:116" ht="18.75">
      <c r="A113" s="371"/>
      <c r="B113" s="61"/>
      <c r="C113" s="70"/>
      <c r="D113" s="149"/>
      <c r="E113" s="149"/>
      <c r="F113" s="149"/>
      <c r="G113" s="149">
        <f aca="true" t="shared" si="134" ref="G113:L113">+D110</f>
        <v>503.18963356771195</v>
      </c>
      <c r="H113" s="149">
        <f t="shared" si="134"/>
        <v>495.0952110162239</v>
      </c>
      <c r="I113" s="149">
        <f t="shared" si="134"/>
        <v>187.21417856555212</v>
      </c>
      <c r="J113" s="149">
        <f t="shared" si="134"/>
        <v>180.35025515368488</v>
      </c>
      <c r="K113" s="149">
        <f t="shared" si="134"/>
        <v>346.97266348363524</v>
      </c>
      <c r="L113" s="149">
        <f t="shared" si="134"/>
        <v>299.9203349939106</v>
      </c>
      <c r="M113" s="149">
        <f aca="true" t="shared" si="135" ref="M113:M118">+J110</f>
        <v>296.1713308064867</v>
      </c>
      <c r="N113" s="149">
        <f aca="true" t="shared" si="136" ref="N113:N119">+K110</f>
        <v>292.4223266190628</v>
      </c>
      <c r="O113" s="149">
        <f aca="true" t="shared" si="137" ref="O113:O120">+L110</f>
        <v>288.6733224316389</v>
      </c>
      <c r="P113" s="149">
        <f aca="true" t="shared" si="138" ref="P113:P121">+M110</f>
        <v>288.6733224316389</v>
      </c>
      <c r="Q113" s="149">
        <f aca="true" t="shared" si="139" ref="Q113:Q121">+N110</f>
        <v>0</v>
      </c>
      <c r="R113" s="149">
        <f aca="true" t="shared" si="140" ref="R113:R123">+O110</f>
        <v>0</v>
      </c>
      <c r="S113" s="149">
        <f aca="true" t="shared" si="141" ref="S113:S124">+P110</f>
        <v>0</v>
      </c>
      <c r="T113" s="149">
        <f aca="true" t="shared" si="142" ref="T113:T125">+Q110</f>
        <v>0</v>
      </c>
      <c r="U113" s="149">
        <f aca="true" t="shared" si="143" ref="U113:U126">+R110</f>
        <v>0</v>
      </c>
      <c r="V113" s="149">
        <f aca="true" t="shared" si="144" ref="V113:V127">+S110</f>
        <v>0</v>
      </c>
      <c r="W113" s="149">
        <f aca="true" t="shared" si="145" ref="W113:W127">+T110</f>
        <v>0</v>
      </c>
      <c r="X113" s="149">
        <f aca="true" t="shared" si="146" ref="X113:X129">+U110</f>
        <v>0</v>
      </c>
      <c r="Y113" s="149">
        <f aca="true" t="shared" si="147" ref="Y113:Y129">+V110</f>
        <v>0</v>
      </c>
      <c r="Z113" s="149">
        <f aca="true" t="shared" si="148" ref="Z113:Z129">+W110</f>
        <v>0</v>
      </c>
      <c r="AA113" s="149">
        <f aca="true" t="shared" si="149" ref="AA113:AA118">+X110</f>
        <v>0</v>
      </c>
      <c r="AB113" s="149">
        <f aca="true" t="shared" si="150" ref="AB113:AB129">+Y110</f>
        <v>0</v>
      </c>
      <c r="AC113" s="149">
        <f aca="true" t="shared" si="151" ref="AC113:AC129">+Z110</f>
        <v>0</v>
      </c>
      <c r="AD113" s="149">
        <f aca="true" t="shared" si="152" ref="AD113:AD129">+AA110</f>
        <v>0</v>
      </c>
      <c r="AE113" s="149">
        <f aca="true" t="shared" si="153" ref="AE113:AE129">+AB110</f>
        <v>0</v>
      </c>
      <c r="AF113" s="149">
        <f aca="true" t="shared" si="154" ref="AF113:AF129">+AC110</f>
        <v>0</v>
      </c>
      <c r="AG113" s="149">
        <f aca="true" t="shared" si="155" ref="AG113:AG129">+AD110</f>
        <v>0</v>
      </c>
      <c r="AH113" s="149">
        <f aca="true" t="shared" si="156" ref="AH113:AH129">+AE110</f>
        <v>0</v>
      </c>
      <c r="AI113" s="149">
        <f aca="true" t="shared" si="157" ref="AI113:AI118">+AF110</f>
        <v>0</v>
      </c>
      <c r="AJ113" s="149">
        <f aca="true" t="shared" si="158" ref="AJ113:AJ129">+AG110</f>
        <v>0</v>
      </c>
      <c r="AK113" s="149">
        <f aca="true" t="shared" si="159" ref="AK113:AK129">+AH110</f>
        <v>0</v>
      </c>
      <c r="AL113" s="149">
        <f aca="true" t="shared" si="160" ref="AL113:AL129">+AI110</f>
        <v>0</v>
      </c>
      <c r="AM113" s="130"/>
      <c r="AN113" s="403"/>
      <c r="AO113" s="24"/>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row>
    <row r="114" spans="1:116" ht="18.75">
      <c r="A114" s="371"/>
      <c r="B114" s="61"/>
      <c r="C114" s="70"/>
      <c r="D114" s="149"/>
      <c r="E114" s="149"/>
      <c r="F114" s="149"/>
      <c r="G114" s="149"/>
      <c r="H114" s="149">
        <f>+E111</f>
        <v>503.18963356771195</v>
      </c>
      <c r="I114" s="149">
        <f>+F111</f>
        <v>495.0952110162239</v>
      </c>
      <c r="J114" s="149">
        <f>+G111</f>
        <v>187.21417856555212</v>
      </c>
      <c r="K114" s="149">
        <f>+H111</f>
        <v>180.35025515368488</v>
      </c>
      <c r="L114" s="149">
        <f>+I111</f>
        <v>346.97266348363524</v>
      </c>
      <c r="M114" s="149">
        <f t="shared" si="135"/>
        <v>299.9203349939106</v>
      </c>
      <c r="N114" s="149">
        <f t="shared" si="136"/>
        <v>296.1713308064867</v>
      </c>
      <c r="O114" s="149">
        <f t="shared" si="137"/>
        <v>292.4223266190628</v>
      </c>
      <c r="P114" s="149">
        <f t="shared" si="138"/>
        <v>288.6733224316389</v>
      </c>
      <c r="Q114" s="149">
        <f t="shared" si="139"/>
        <v>288.6733224316389</v>
      </c>
      <c r="R114" s="149">
        <f t="shared" si="140"/>
        <v>0</v>
      </c>
      <c r="S114" s="149">
        <f t="shared" si="141"/>
        <v>0</v>
      </c>
      <c r="T114" s="149">
        <f t="shared" si="142"/>
        <v>0</v>
      </c>
      <c r="U114" s="149">
        <f t="shared" si="143"/>
        <v>0</v>
      </c>
      <c r="V114" s="149">
        <f t="shared" si="144"/>
        <v>0</v>
      </c>
      <c r="W114" s="149">
        <f t="shared" si="145"/>
        <v>0</v>
      </c>
      <c r="X114" s="149">
        <f t="shared" si="146"/>
        <v>0</v>
      </c>
      <c r="Y114" s="149">
        <f t="shared" si="147"/>
        <v>0</v>
      </c>
      <c r="Z114" s="149">
        <f t="shared" si="148"/>
        <v>0</v>
      </c>
      <c r="AA114" s="149">
        <f t="shared" si="149"/>
        <v>0</v>
      </c>
      <c r="AB114" s="149">
        <f t="shared" si="150"/>
        <v>0</v>
      </c>
      <c r="AC114" s="149">
        <f t="shared" si="151"/>
        <v>0</v>
      </c>
      <c r="AD114" s="149">
        <f t="shared" si="152"/>
        <v>0</v>
      </c>
      <c r="AE114" s="149">
        <f t="shared" si="153"/>
        <v>0</v>
      </c>
      <c r="AF114" s="149">
        <f t="shared" si="154"/>
        <v>0</v>
      </c>
      <c r="AG114" s="149">
        <f t="shared" si="155"/>
        <v>0</v>
      </c>
      <c r="AH114" s="149">
        <f t="shared" si="156"/>
        <v>0</v>
      </c>
      <c r="AI114" s="149">
        <f t="shared" si="157"/>
        <v>0</v>
      </c>
      <c r="AJ114" s="149">
        <f t="shared" si="158"/>
        <v>0</v>
      </c>
      <c r="AK114" s="149">
        <f t="shared" si="159"/>
        <v>0</v>
      </c>
      <c r="AL114" s="149">
        <f t="shared" si="160"/>
        <v>0</v>
      </c>
      <c r="AM114" s="130"/>
      <c r="AN114" s="403"/>
      <c r="AO114" s="24"/>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row>
    <row r="115" spans="1:116" ht="18.75">
      <c r="A115" s="371"/>
      <c r="B115" s="61"/>
      <c r="C115" s="70"/>
      <c r="D115" s="149"/>
      <c r="E115" s="149"/>
      <c r="F115" s="149"/>
      <c r="G115" s="149"/>
      <c r="H115" s="149"/>
      <c r="I115" s="149">
        <f>+F112</f>
        <v>503.18963356771195</v>
      </c>
      <c r="J115" s="149">
        <f>+G112</f>
        <v>495.0952110162239</v>
      </c>
      <c r="K115" s="149">
        <f>+H112</f>
        <v>187.21417856555212</v>
      </c>
      <c r="L115" s="149">
        <f>+I112</f>
        <v>180.35025515368488</v>
      </c>
      <c r="M115" s="149">
        <f t="shared" si="135"/>
        <v>346.97266348363524</v>
      </c>
      <c r="N115" s="149">
        <f t="shared" si="136"/>
        <v>299.9203349939106</v>
      </c>
      <c r="O115" s="149">
        <f t="shared" si="137"/>
        <v>296.1713308064867</v>
      </c>
      <c r="P115" s="149">
        <f t="shared" si="138"/>
        <v>292.4223266190628</v>
      </c>
      <c r="Q115" s="149">
        <f t="shared" si="139"/>
        <v>288.6733224316389</v>
      </c>
      <c r="R115" s="149">
        <f t="shared" si="140"/>
        <v>288.6733224316389</v>
      </c>
      <c r="S115" s="149">
        <f t="shared" si="141"/>
        <v>0</v>
      </c>
      <c r="T115" s="149">
        <f t="shared" si="142"/>
        <v>0</v>
      </c>
      <c r="U115" s="149">
        <f t="shared" si="143"/>
        <v>0</v>
      </c>
      <c r="V115" s="149">
        <f t="shared" si="144"/>
        <v>0</v>
      </c>
      <c r="W115" s="149">
        <f t="shared" si="145"/>
        <v>0</v>
      </c>
      <c r="X115" s="149">
        <f t="shared" si="146"/>
        <v>0</v>
      </c>
      <c r="Y115" s="149">
        <f t="shared" si="147"/>
        <v>0</v>
      </c>
      <c r="Z115" s="149">
        <f t="shared" si="148"/>
        <v>0</v>
      </c>
      <c r="AA115" s="149">
        <f t="shared" si="149"/>
        <v>0</v>
      </c>
      <c r="AB115" s="149">
        <f t="shared" si="150"/>
        <v>0</v>
      </c>
      <c r="AC115" s="149">
        <f t="shared" si="151"/>
        <v>0</v>
      </c>
      <c r="AD115" s="149">
        <f t="shared" si="152"/>
        <v>0</v>
      </c>
      <c r="AE115" s="149">
        <f t="shared" si="153"/>
        <v>0</v>
      </c>
      <c r="AF115" s="149">
        <f t="shared" si="154"/>
        <v>0</v>
      </c>
      <c r="AG115" s="149">
        <f t="shared" si="155"/>
        <v>0</v>
      </c>
      <c r="AH115" s="149">
        <f t="shared" si="156"/>
        <v>0</v>
      </c>
      <c r="AI115" s="149">
        <f t="shared" si="157"/>
        <v>0</v>
      </c>
      <c r="AJ115" s="149">
        <f t="shared" si="158"/>
        <v>0</v>
      </c>
      <c r="AK115" s="149">
        <f t="shared" si="159"/>
        <v>0</v>
      </c>
      <c r="AL115" s="149">
        <f t="shared" si="160"/>
        <v>0</v>
      </c>
      <c r="AM115" s="130"/>
      <c r="AN115" s="403"/>
      <c r="AO115" s="24"/>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row>
    <row r="116" spans="1:116" ht="18.75">
      <c r="A116" s="371"/>
      <c r="B116" s="61"/>
      <c r="C116" s="70"/>
      <c r="D116" s="149"/>
      <c r="E116" s="149"/>
      <c r="F116" s="149"/>
      <c r="G116" s="149"/>
      <c r="H116" s="149"/>
      <c r="I116" s="149"/>
      <c r="J116" s="149">
        <f>+G113</f>
        <v>503.18963356771195</v>
      </c>
      <c r="K116" s="149">
        <f>+H113</f>
        <v>495.0952110162239</v>
      </c>
      <c r="L116" s="149">
        <f>+I113</f>
        <v>187.21417856555212</v>
      </c>
      <c r="M116" s="149">
        <f t="shared" si="135"/>
        <v>180.35025515368488</v>
      </c>
      <c r="N116" s="149">
        <f t="shared" si="136"/>
        <v>346.97266348363524</v>
      </c>
      <c r="O116" s="149">
        <f t="shared" si="137"/>
        <v>299.9203349939106</v>
      </c>
      <c r="P116" s="149">
        <f t="shared" si="138"/>
        <v>296.1713308064867</v>
      </c>
      <c r="Q116" s="149">
        <f t="shared" si="139"/>
        <v>292.4223266190628</v>
      </c>
      <c r="R116" s="149">
        <f t="shared" si="140"/>
        <v>288.6733224316389</v>
      </c>
      <c r="S116" s="149">
        <f t="shared" si="141"/>
        <v>288.6733224316389</v>
      </c>
      <c r="T116" s="149">
        <f t="shared" si="142"/>
        <v>0</v>
      </c>
      <c r="U116" s="149">
        <f t="shared" si="143"/>
        <v>0</v>
      </c>
      <c r="V116" s="149">
        <f t="shared" si="144"/>
        <v>0</v>
      </c>
      <c r="W116" s="149">
        <f t="shared" si="145"/>
        <v>0</v>
      </c>
      <c r="X116" s="149">
        <f t="shared" si="146"/>
        <v>0</v>
      </c>
      <c r="Y116" s="149">
        <f t="shared" si="147"/>
        <v>0</v>
      </c>
      <c r="Z116" s="149">
        <f t="shared" si="148"/>
        <v>0</v>
      </c>
      <c r="AA116" s="149">
        <f t="shared" si="149"/>
        <v>0</v>
      </c>
      <c r="AB116" s="149">
        <f t="shared" si="150"/>
        <v>0</v>
      </c>
      <c r="AC116" s="149">
        <f t="shared" si="151"/>
        <v>0</v>
      </c>
      <c r="AD116" s="149">
        <f t="shared" si="152"/>
        <v>0</v>
      </c>
      <c r="AE116" s="149">
        <f t="shared" si="153"/>
        <v>0</v>
      </c>
      <c r="AF116" s="149">
        <f t="shared" si="154"/>
        <v>0</v>
      </c>
      <c r="AG116" s="149">
        <f t="shared" si="155"/>
        <v>0</v>
      </c>
      <c r="AH116" s="149">
        <f t="shared" si="156"/>
        <v>0</v>
      </c>
      <c r="AI116" s="149">
        <f t="shared" si="157"/>
        <v>0</v>
      </c>
      <c r="AJ116" s="149">
        <f t="shared" si="158"/>
        <v>0</v>
      </c>
      <c r="AK116" s="149">
        <f t="shared" si="159"/>
        <v>0</v>
      </c>
      <c r="AL116" s="149">
        <f t="shared" si="160"/>
        <v>0</v>
      </c>
      <c r="AM116" s="130"/>
      <c r="AN116" s="403"/>
      <c r="AO116" s="24"/>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row>
    <row r="117" spans="1:116" ht="18.75">
      <c r="A117" s="371"/>
      <c r="B117" s="61"/>
      <c r="C117" s="70"/>
      <c r="D117" s="149"/>
      <c r="E117" s="149"/>
      <c r="F117" s="149"/>
      <c r="G117" s="149"/>
      <c r="H117" s="149"/>
      <c r="I117" s="149"/>
      <c r="J117" s="149"/>
      <c r="K117" s="149">
        <f>+H114</f>
        <v>503.18963356771195</v>
      </c>
      <c r="L117" s="149">
        <f>+I114</f>
        <v>495.0952110162239</v>
      </c>
      <c r="M117" s="149">
        <f t="shared" si="135"/>
        <v>187.21417856555212</v>
      </c>
      <c r="N117" s="149">
        <f t="shared" si="136"/>
        <v>180.35025515368488</v>
      </c>
      <c r="O117" s="149">
        <f t="shared" si="137"/>
        <v>346.97266348363524</v>
      </c>
      <c r="P117" s="149">
        <f t="shared" si="138"/>
        <v>299.9203349939106</v>
      </c>
      <c r="Q117" s="149">
        <f t="shared" si="139"/>
        <v>296.1713308064867</v>
      </c>
      <c r="R117" s="149">
        <f t="shared" si="140"/>
        <v>292.4223266190628</v>
      </c>
      <c r="S117" s="149">
        <f t="shared" si="141"/>
        <v>288.6733224316389</v>
      </c>
      <c r="T117" s="149">
        <f t="shared" si="142"/>
        <v>288.6733224316389</v>
      </c>
      <c r="U117" s="149">
        <f t="shared" si="143"/>
        <v>0</v>
      </c>
      <c r="V117" s="149">
        <f t="shared" si="144"/>
        <v>0</v>
      </c>
      <c r="W117" s="149">
        <f t="shared" si="145"/>
        <v>0</v>
      </c>
      <c r="X117" s="149">
        <f t="shared" si="146"/>
        <v>0</v>
      </c>
      <c r="Y117" s="149">
        <f t="shared" si="147"/>
        <v>0</v>
      </c>
      <c r="Z117" s="149">
        <f t="shared" si="148"/>
        <v>0</v>
      </c>
      <c r="AA117" s="149">
        <f t="shared" si="149"/>
        <v>0</v>
      </c>
      <c r="AB117" s="149">
        <f t="shared" si="150"/>
        <v>0</v>
      </c>
      <c r="AC117" s="149">
        <f t="shared" si="151"/>
        <v>0</v>
      </c>
      <c r="AD117" s="149">
        <f t="shared" si="152"/>
        <v>0</v>
      </c>
      <c r="AE117" s="149">
        <f t="shared" si="153"/>
        <v>0</v>
      </c>
      <c r="AF117" s="149">
        <f t="shared" si="154"/>
        <v>0</v>
      </c>
      <c r="AG117" s="149">
        <f t="shared" si="155"/>
        <v>0</v>
      </c>
      <c r="AH117" s="149">
        <f t="shared" si="156"/>
        <v>0</v>
      </c>
      <c r="AI117" s="149">
        <f t="shared" si="157"/>
        <v>0</v>
      </c>
      <c r="AJ117" s="149">
        <f t="shared" si="158"/>
        <v>0</v>
      </c>
      <c r="AK117" s="149">
        <f t="shared" si="159"/>
        <v>0</v>
      </c>
      <c r="AL117" s="149">
        <f t="shared" si="160"/>
        <v>0</v>
      </c>
      <c r="AM117" s="130"/>
      <c r="AN117" s="403"/>
      <c r="AO117" s="24"/>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row>
    <row r="118" spans="1:116" ht="18.75">
      <c r="A118" s="371"/>
      <c r="B118" s="61"/>
      <c r="C118" s="70"/>
      <c r="D118" s="149"/>
      <c r="E118" s="149"/>
      <c r="F118" s="149"/>
      <c r="G118" s="149"/>
      <c r="H118" s="149"/>
      <c r="I118" s="149"/>
      <c r="J118" s="149"/>
      <c r="K118" s="149"/>
      <c r="L118" s="149">
        <f>+I115</f>
        <v>503.18963356771195</v>
      </c>
      <c r="M118" s="149">
        <f t="shared" si="135"/>
        <v>495.0952110162239</v>
      </c>
      <c r="N118" s="149">
        <f t="shared" si="136"/>
        <v>187.21417856555212</v>
      </c>
      <c r="O118" s="149">
        <f t="shared" si="137"/>
        <v>180.35025515368488</v>
      </c>
      <c r="P118" s="149">
        <f t="shared" si="138"/>
        <v>346.97266348363524</v>
      </c>
      <c r="Q118" s="149">
        <f t="shared" si="139"/>
        <v>299.9203349939106</v>
      </c>
      <c r="R118" s="149">
        <f t="shared" si="140"/>
        <v>296.1713308064867</v>
      </c>
      <c r="S118" s="149">
        <f t="shared" si="141"/>
        <v>292.4223266190628</v>
      </c>
      <c r="T118" s="149">
        <f t="shared" si="142"/>
        <v>288.6733224316389</v>
      </c>
      <c r="U118" s="149">
        <f t="shared" si="143"/>
        <v>288.6733224316389</v>
      </c>
      <c r="V118" s="149">
        <f t="shared" si="144"/>
        <v>0</v>
      </c>
      <c r="W118" s="149">
        <f t="shared" si="145"/>
        <v>0</v>
      </c>
      <c r="X118" s="149">
        <f t="shared" si="146"/>
        <v>0</v>
      </c>
      <c r="Y118" s="149">
        <f t="shared" si="147"/>
        <v>0</v>
      </c>
      <c r="Z118" s="149">
        <f t="shared" si="148"/>
        <v>0</v>
      </c>
      <c r="AA118" s="149">
        <f t="shared" si="149"/>
        <v>0</v>
      </c>
      <c r="AB118" s="149">
        <f t="shared" si="150"/>
        <v>0</v>
      </c>
      <c r="AC118" s="149">
        <f t="shared" si="151"/>
        <v>0</v>
      </c>
      <c r="AD118" s="149">
        <f t="shared" si="152"/>
        <v>0</v>
      </c>
      <c r="AE118" s="149">
        <f t="shared" si="153"/>
        <v>0</v>
      </c>
      <c r="AF118" s="149">
        <f t="shared" si="154"/>
        <v>0</v>
      </c>
      <c r="AG118" s="149">
        <f t="shared" si="155"/>
        <v>0</v>
      </c>
      <c r="AH118" s="149">
        <f t="shared" si="156"/>
        <v>0</v>
      </c>
      <c r="AI118" s="149">
        <f t="shared" si="157"/>
        <v>0</v>
      </c>
      <c r="AJ118" s="149">
        <f t="shared" si="158"/>
        <v>0</v>
      </c>
      <c r="AK118" s="149">
        <f t="shared" si="159"/>
        <v>0</v>
      </c>
      <c r="AL118" s="149">
        <f t="shared" si="160"/>
        <v>0</v>
      </c>
      <c r="AM118" s="130"/>
      <c r="AN118" s="403"/>
      <c r="AO118" s="24"/>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row>
    <row r="119" spans="1:116" ht="18.75">
      <c r="A119" s="371"/>
      <c r="B119" s="61"/>
      <c r="C119" s="70"/>
      <c r="D119" s="149"/>
      <c r="E119" s="149"/>
      <c r="F119" s="149"/>
      <c r="G119" s="149"/>
      <c r="H119" s="149"/>
      <c r="I119" s="149"/>
      <c r="J119" s="149"/>
      <c r="K119" s="149"/>
      <c r="L119" s="149"/>
      <c r="M119" s="149">
        <f>+J116</f>
        <v>503.18963356771195</v>
      </c>
      <c r="N119" s="149">
        <f t="shared" si="136"/>
        <v>495.0952110162239</v>
      </c>
      <c r="O119" s="149">
        <f t="shared" si="137"/>
        <v>187.21417856555212</v>
      </c>
      <c r="P119" s="149">
        <f t="shared" si="138"/>
        <v>180.35025515368488</v>
      </c>
      <c r="Q119" s="149">
        <f t="shared" si="139"/>
        <v>346.97266348363524</v>
      </c>
      <c r="R119" s="149">
        <f t="shared" si="140"/>
        <v>299.9203349939106</v>
      </c>
      <c r="S119" s="149">
        <f t="shared" si="141"/>
        <v>296.1713308064867</v>
      </c>
      <c r="T119" s="149">
        <f t="shared" si="142"/>
        <v>292.4223266190628</v>
      </c>
      <c r="U119" s="149">
        <f t="shared" si="143"/>
        <v>288.6733224316389</v>
      </c>
      <c r="V119" s="149">
        <f t="shared" si="144"/>
        <v>288.6733224316389</v>
      </c>
      <c r="W119" s="149">
        <f t="shared" si="145"/>
        <v>0</v>
      </c>
      <c r="X119" s="149">
        <f t="shared" si="146"/>
        <v>0</v>
      </c>
      <c r="Y119" s="149">
        <f t="shared" si="147"/>
        <v>0</v>
      </c>
      <c r="Z119" s="149">
        <f t="shared" si="148"/>
        <v>0</v>
      </c>
      <c r="AA119" s="149">
        <f aca="true" t="shared" si="161" ref="AA119:AA129">+X116</f>
        <v>0</v>
      </c>
      <c r="AB119" s="149">
        <f t="shared" si="150"/>
        <v>0</v>
      </c>
      <c r="AC119" s="149">
        <f t="shared" si="151"/>
        <v>0</v>
      </c>
      <c r="AD119" s="149">
        <f t="shared" si="152"/>
        <v>0</v>
      </c>
      <c r="AE119" s="149">
        <f t="shared" si="153"/>
        <v>0</v>
      </c>
      <c r="AF119" s="149">
        <f t="shared" si="154"/>
        <v>0</v>
      </c>
      <c r="AG119" s="149">
        <f t="shared" si="155"/>
        <v>0</v>
      </c>
      <c r="AH119" s="149">
        <f t="shared" si="156"/>
        <v>0</v>
      </c>
      <c r="AI119" s="149">
        <f aca="true" t="shared" si="162" ref="AI119:AI129">+AF116</f>
        <v>0</v>
      </c>
      <c r="AJ119" s="149">
        <f t="shared" si="158"/>
        <v>0</v>
      </c>
      <c r="AK119" s="149">
        <f t="shared" si="159"/>
        <v>0</v>
      </c>
      <c r="AL119" s="149">
        <f t="shared" si="160"/>
        <v>0</v>
      </c>
      <c r="AM119" s="130"/>
      <c r="AN119" s="403"/>
      <c r="AO119" s="24"/>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row>
    <row r="120" spans="1:116" ht="18.75">
      <c r="A120" s="371"/>
      <c r="B120" s="61"/>
      <c r="C120" s="70"/>
      <c r="D120" s="149"/>
      <c r="E120" s="149"/>
      <c r="F120" s="149"/>
      <c r="G120" s="149"/>
      <c r="H120" s="149"/>
      <c r="I120" s="149"/>
      <c r="J120" s="149"/>
      <c r="K120" s="149"/>
      <c r="L120" s="149"/>
      <c r="M120" s="149"/>
      <c r="N120" s="149">
        <f>+K117</f>
        <v>503.18963356771195</v>
      </c>
      <c r="O120" s="149">
        <f t="shared" si="137"/>
        <v>495.0952110162239</v>
      </c>
      <c r="P120" s="149">
        <f t="shared" si="138"/>
        <v>187.21417856555212</v>
      </c>
      <c r="Q120" s="149">
        <f t="shared" si="139"/>
        <v>180.35025515368488</v>
      </c>
      <c r="R120" s="149">
        <f t="shared" si="140"/>
        <v>346.97266348363524</v>
      </c>
      <c r="S120" s="149">
        <f t="shared" si="141"/>
        <v>299.9203349939106</v>
      </c>
      <c r="T120" s="149">
        <f t="shared" si="142"/>
        <v>296.1713308064867</v>
      </c>
      <c r="U120" s="149">
        <f t="shared" si="143"/>
        <v>292.4223266190628</v>
      </c>
      <c r="V120" s="149">
        <f t="shared" si="144"/>
        <v>288.6733224316389</v>
      </c>
      <c r="W120" s="149">
        <f t="shared" si="145"/>
        <v>288.6733224316389</v>
      </c>
      <c r="X120" s="149">
        <f t="shared" si="146"/>
        <v>0</v>
      </c>
      <c r="Y120" s="149">
        <f t="shared" si="147"/>
        <v>0</v>
      </c>
      <c r="Z120" s="149">
        <f t="shared" si="148"/>
        <v>0</v>
      </c>
      <c r="AA120" s="149">
        <f t="shared" si="161"/>
        <v>0</v>
      </c>
      <c r="AB120" s="149">
        <f t="shared" si="150"/>
        <v>0</v>
      </c>
      <c r="AC120" s="149">
        <f t="shared" si="151"/>
        <v>0</v>
      </c>
      <c r="AD120" s="149">
        <f t="shared" si="152"/>
        <v>0</v>
      </c>
      <c r="AE120" s="149">
        <f t="shared" si="153"/>
        <v>0</v>
      </c>
      <c r="AF120" s="149">
        <f t="shared" si="154"/>
        <v>0</v>
      </c>
      <c r="AG120" s="149">
        <f t="shared" si="155"/>
        <v>0</v>
      </c>
      <c r="AH120" s="149">
        <f t="shared" si="156"/>
        <v>0</v>
      </c>
      <c r="AI120" s="149">
        <f t="shared" si="162"/>
        <v>0</v>
      </c>
      <c r="AJ120" s="149">
        <f t="shared" si="158"/>
        <v>0</v>
      </c>
      <c r="AK120" s="149">
        <f t="shared" si="159"/>
        <v>0</v>
      </c>
      <c r="AL120" s="149">
        <f t="shared" si="160"/>
        <v>0</v>
      </c>
      <c r="AM120" s="130"/>
      <c r="AN120" s="403"/>
      <c r="AO120" s="24"/>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row>
    <row r="121" spans="1:116" ht="18.75">
      <c r="A121" s="371"/>
      <c r="B121" s="61"/>
      <c r="C121" s="70"/>
      <c r="D121" s="149"/>
      <c r="E121" s="149"/>
      <c r="F121" s="149"/>
      <c r="G121" s="149"/>
      <c r="H121" s="149"/>
      <c r="I121" s="149"/>
      <c r="J121" s="149"/>
      <c r="K121" s="149"/>
      <c r="L121" s="149"/>
      <c r="M121" s="149"/>
      <c r="N121" s="149"/>
      <c r="O121" s="149">
        <f>+L118</f>
        <v>503.18963356771195</v>
      </c>
      <c r="P121" s="149">
        <f t="shared" si="138"/>
        <v>495.0952110162239</v>
      </c>
      <c r="Q121" s="149">
        <f t="shared" si="139"/>
        <v>187.21417856555212</v>
      </c>
      <c r="R121" s="149">
        <f t="shared" si="140"/>
        <v>180.35025515368488</v>
      </c>
      <c r="S121" s="149">
        <f t="shared" si="141"/>
        <v>346.97266348363524</v>
      </c>
      <c r="T121" s="149">
        <f t="shared" si="142"/>
        <v>299.9203349939106</v>
      </c>
      <c r="U121" s="149">
        <f t="shared" si="143"/>
        <v>296.1713308064867</v>
      </c>
      <c r="V121" s="149">
        <f t="shared" si="144"/>
        <v>292.4223266190628</v>
      </c>
      <c r="W121" s="149">
        <f t="shared" si="145"/>
        <v>288.6733224316389</v>
      </c>
      <c r="X121" s="149">
        <f t="shared" si="146"/>
        <v>288.6733224316389</v>
      </c>
      <c r="Y121" s="149">
        <f t="shared" si="147"/>
        <v>0</v>
      </c>
      <c r="Z121" s="149">
        <f t="shared" si="148"/>
        <v>0</v>
      </c>
      <c r="AA121" s="149">
        <f t="shared" si="161"/>
        <v>0</v>
      </c>
      <c r="AB121" s="149">
        <f t="shared" si="150"/>
        <v>0</v>
      </c>
      <c r="AC121" s="149">
        <f t="shared" si="151"/>
        <v>0</v>
      </c>
      <c r="AD121" s="149">
        <f t="shared" si="152"/>
        <v>0</v>
      </c>
      <c r="AE121" s="149">
        <f t="shared" si="153"/>
        <v>0</v>
      </c>
      <c r="AF121" s="149">
        <f t="shared" si="154"/>
        <v>0</v>
      </c>
      <c r="AG121" s="149">
        <f t="shared" si="155"/>
        <v>0</v>
      </c>
      <c r="AH121" s="149">
        <f t="shared" si="156"/>
        <v>0</v>
      </c>
      <c r="AI121" s="149">
        <f t="shared" si="162"/>
        <v>0</v>
      </c>
      <c r="AJ121" s="149">
        <f t="shared" si="158"/>
        <v>0</v>
      </c>
      <c r="AK121" s="149">
        <f t="shared" si="159"/>
        <v>0</v>
      </c>
      <c r="AL121" s="149">
        <f t="shared" si="160"/>
        <v>0</v>
      </c>
      <c r="AM121" s="130"/>
      <c r="AN121" s="403"/>
      <c r="AO121" s="24"/>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row>
    <row r="122" spans="1:116" ht="18.75">
      <c r="A122" s="371"/>
      <c r="B122" s="61"/>
      <c r="C122" s="70"/>
      <c r="D122" s="149"/>
      <c r="E122" s="149"/>
      <c r="F122" s="149"/>
      <c r="G122" s="149"/>
      <c r="H122" s="149"/>
      <c r="I122" s="149"/>
      <c r="J122" s="149"/>
      <c r="K122" s="149"/>
      <c r="L122" s="149"/>
      <c r="M122" s="149"/>
      <c r="N122" s="149"/>
      <c r="O122" s="149"/>
      <c r="P122" s="149">
        <f>+M119</f>
        <v>503.18963356771195</v>
      </c>
      <c r="Q122" s="149">
        <f>+N119</f>
        <v>495.0952110162239</v>
      </c>
      <c r="R122" s="149">
        <f t="shared" si="140"/>
        <v>187.21417856555212</v>
      </c>
      <c r="S122" s="149">
        <f t="shared" si="141"/>
        <v>180.35025515368488</v>
      </c>
      <c r="T122" s="149">
        <f t="shared" si="142"/>
        <v>346.97266348363524</v>
      </c>
      <c r="U122" s="149">
        <f t="shared" si="143"/>
        <v>299.9203349939106</v>
      </c>
      <c r="V122" s="149">
        <f t="shared" si="144"/>
        <v>296.1713308064867</v>
      </c>
      <c r="W122" s="149">
        <f t="shared" si="145"/>
        <v>292.4223266190628</v>
      </c>
      <c r="X122" s="149">
        <f t="shared" si="146"/>
        <v>288.6733224316389</v>
      </c>
      <c r="Y122" s="149">
        <f t="shared" si="147"/>
        <v>288.6733224316389</v>
      </c>
      <c r="Z122" s="149">
        <f t="shared" si="148"/>
        <v>0</v>
      </c>
      <c r="AA122" s="149">
        <f t="shared" si="161"/>
        <v>0</v>
      </c>
      <c r="AB122" s="149">
        <f t="shared" si="150"/>
        <v>0</v>
      </c>
      <c r="AC122" s="149">
        <f t="shared" si="151"/>
        <v>0</v>
      </c>
      <c r="AD122" s="149">
        <f t="shared" si="152"/>
        <v>0</v>
      </c>
      <c r="AE122" s="149">
        <f t="shared" si="153"/>
        <v>0</v>
      </c>
      <c r="AF122" s="149">
        <f t="shared" si="154"/>
        <v>0</v>
      </c>
      <c r="AG122" s="149">
        <f t="shared" si="155"/>
        <v>0</v>
      </c>
      <c r="AH122" s="149">
        <f t="shared" si="156"/>
        <v>0</v>
      </c>
      <c r="AI122" s="149">
        <f t="shared" si="162"/>
        <v>0</v>
      </c>
      <c r="AJ122" s="149">
        <f t="shared" si="158"/>
        <v>0</v>
      </c>
      <c r="AK122" s="149">
        <f t="shared" si="159"/>
        <v>0</v>
      </c>
      <c r="AL122" s="149">
        <f t="shared" si="160"/>
        <v>0</v>
      </c>
      <c r="AM122" s="130"/>
      <c r="AN122" s="403"/>
      <c r="AO122" s="24"/>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row>
    <row r="123" spans="1:116" ht="18.75">
      <c r="A123" s="371"/>
      <c r="B123" s="61"/>
      <c r="C123" s="70"/>
      <c r="D123" s="149"/>
      <c r="E123" s="149"/>
      <c r="F123" s="149"/>
      <c r="G123" s="149"/>
      <c r="H123" s="149"/>
      <c r="I123" s="149"/>
      <c r="J123" s="149"/>
      <c r="K123" s="149"/>
      <c r="L123" s="149"/>
      <c r="M123" s="149"/>
      <c r="N123" s="149"/>
      <c r="O123" s="149"/>
      <c r="P123" s="149"/>
      <c r="Q123" s="149">
        <f>+N120</f>
        <v>503.18963356771195</v>
      </c>
      <c r="R123" s="149">
        <f t="shared" si="140"/>
        <v>495.0952110162239</v>
      </c>
      <c r="S123" s="149">
        <f t="shared" si="141"/>
        <v>187.21417856555212</v>
      </c>
      <c r="T123" s="149">
        <f t="shared" si="142"/>
        <v>180.35025515368488</v>
      </c>
      <c r="U123" s="149">
        <f t="shared" si="143"/>
        <v>346.97266348363524</v>
      </c>
      <c r="V123" s="149">
        <f t="shared" si="144"/>
        <v>299.9203349939106</v>
      </c>
      <c r="W123" s="149">
        <f t="shared" si="145"/>
        <v>296.1713308064867</v>
      </c>
      <c r="X123" s="149">
        <f t="shared" si="146"/>
        <v>292.4223266190628</v>
      </c>
      <c r="Y123" s="149">
        <f t="shared" si="147"/>
        <v>288.6733224316389</v>
      </c>
      <c r="Z123" s="149">
        <f t="shared" si="148"/>
        <v>288.6733224316389</v>
      </c>
      <c r="AA123" s="149">
        <f t="shared" si="161"/>
        <v>0</v>
      </c>
      <c r="AB123" s="149">
        <f t="shared" si="150"/>
        <v>0</v>
      </c>
      <c r="AC123" s="149">
        <f t="shared" si="151"/>
        <v>0</v>
      </c>
      <c r="AD123" s="149">
        <f t="shared" si="152"/>
        <v>0</v>
      </c>
      <c r="AE123" s="149">
        <f t="shared" si="153"/>
        <v>0</v>
      </c>
      <c r="AF123" s="149">
        <f t="shared" si="154"/>
        <v>0</v>
      </c>
      <c r="AG123" s="149">
        <f t="shared" si="155"/>
        <v>0</v>
      </c>
      <c r="AH123" s="149">
        <f t="shared" si="156"/>
        <v>0</v>
      </c>
      <c r="AI123" s="149">
        <f t="shared" si="162"/>
        <v>0</v>
      </c>
      <c r="AJ123" s="149">
        <f t="shared" si="158"/>
        <v>0</v>
      </c>
      <c r="AK123" s="149">
        <f t="shared" si="159"/>
        <v>0</v>
      </c>
      <c r="AL123" s="149">
        <f t="shared" si="160"/>
        <v>0</v>
      </c>
      <c r="AM123" s="130"/>
      <c r="AN123" s="403"/>
      <c r="AO123" s="24"/>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row>
    <row r="124" spans="1:116" ht="18.75">
      <c r="A124" s="371"/>
      <c r="B124" s="61"/>
      <c r="C124" s="70"/>
      <c r="D124" s="149"/>
      <c r="E124" s="149"/>
      <c r="F124" s="149"/>
      <c r="G124" s="149"/>
      <c r="H124" s="149"/>
      <c r="I124" s="149"/>
      <c r="J124" s="149"/>
      <c r="K124" s="149"/>
      <c r="L124" s="149"/>
      <c r="M124" s="149"/>
      <c r="N124" s="149"/>
      <c r="O124" s="149"/>
      <c r="P124" s="149"/>
      <c r="Q124" s="149"/>
      <c r="R124" s="149">
        <f>+O121</f>
        <v>503.18963356771195</v>
      </c>
      <c r="S124" s="149">
        <f t="shared" si="141"/>
        <v>495.0952110162239</v>
      </c>
      <c r="T124" s="149">
        <f t="shared" si="142"/>
        <v>187.21417856555212</v>
      </c>
      <c r="U124" s="149">
        <f t="shared" si="143"/>
        <v>180.35025515368488</v>
      </c>
      <c r="V124" s="149">
        <f t="shared" si="144"/>
        <v>346.97266348363524</v>
      </c>
      <c r="W124" s="149">
        <f t="shared" si="145"/>
        <v>299.9203349939106</v>
      </c>
      <c r="X124" s="149">
        <f t="shared" si="146"/>
        <v>296.1713308064867</v>
      </c>
      <c r="Y124" s="149">
        <f t="shared" si="147"/>
        <v>292.4223266190628</v>
      </c>
      <c r="Z124" s="149">
        <f t="shared" si="148"/>
        <v>288.6733224316389</v>
      </c>
      <c r="AA124" s="149">
        <f t="shared" si="161"/>
        <v>288.6733224316389</v>
      </c>
      <c r="AB124" s="149">
        <f t="shared" si="150"/>
        <v>0</v>
      </c>
      <c r="AC124" s="149">
        <f t="shared" si="151"/>
        <v>0</v>
      </c>
      <c r="AD124" s="149">
        <f t="shared" si="152"/>
        <v>0</v>
      </c>
      <c r="AE124" s="149">
        <f t="shared" si="153"/>
        <v>0</v>
      </c>
      <c r="AF124" s="149">
        <f t="shared" si="154"/>
        <v>0</v>
      </c>
      <c r="AG124" s="149">
        <f t="shared" si="155"/>
        <v>0</v>
      </c>
      <c r="AH124" s="149">
        <f t="shared" si="156"/>
        <v>0</v>
      </c>
      <c r="AI124" s="149">
        <f t="shared" si="162"/>
        <v>0</v>
      </c>
      <c r="AJ124" s="149">
        <f t="shared" si="158"/>
        <v>0</v>
      </c>
      <c r="AK124" s="149">
        <f t="shared" si="159"/>
        <v>0</v>
      </c>
      <c r="AL124" s="149">
        <f t="shared" si="160"/>
        <v>0</v>
      </c>
      <c r="AM124" s="130"/>
      <c r="AN124" s="403"/>
      <c r="AO124" s="24"/>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row>
    <row r="125" spans="1:116" ht="18.75">
      <c r="A125" s="371"/>
      <c r="B125" s="61"/>
      <c r="C125" s="70"/>
      <c r="D125" s="149"/>
      <c r="E125" s="149"/>
      <c r="F125" s="149"/>
      <c r="G125" s="149"/>
      <c r="H125" s="149"/>
      <c r="I125" s="149"/>
      <c r="J125" s="149"/>
      <c r="K125" s="149"/>
      <c r="L125" s="149"/>
      <c r="M125" s="149"/>
      <c r="N125" s="149"/>
      <c r="O125" s="149"/>
      <c r="P125" s="149"/>
      <c r="Q125" s="149"/>
      <c r="R125" s="149"/>
      <c r="S125" s="149">
        <f>+P122</f>
        <v>503.18963356771195</v>
      </c>
      <c r="T125" s="149">
        <f t="shared" si="142"/>
        <v>495.0952110162239</v>
      </c>
      <c r="U125" s="149">
        <f t="shared" si="143"/>
        <v>187.21417856555212</v>
      </c>
      <c r="V125" s="149">
        <f t="shared" si="144"/>
        <v>180.35025515368488</v>
      </c>
      <c r="W125" s="149">
        <f t="shared" si="145"/>
        <v>346.97266348363524</v>
      </c>
      <c r="X125" s="149">
        <f t="shared" si="146"/>
        <v>299.9203349939106</v>
      </c>
      <c r="Y125" s="149">
        <f t="shared" si="147"/>
        <v>296.1713308064867</v>
      </c>
      <c r="Z125" s="149">
        <f t="shared" si="148"/>
        <v>292.4223266190628</v>
      </c>
      <c r="AA125" s="149">
        <f t="shared" si="161"/>
        <v>288.6733224316389</v>
      </c>
      <c r="AB125" s="149">
        <f t="shared" si="150"/>
        <v>288.6733224316389</v>
      </c>
      <c r="AC125" s="149">
        <f t="shared" si="151"/>
        <v>0</v>
      </c>
      <c r="AD125" s="149">
        <f t="shared" si="152"/>
        <v>0</v>
      </c>
      <c r="AE125" s="149">
        <f t="shared" si="153"/>
        <v>0</v>
      </c>
      <c r="AF125" s="149">
        <f t="shared" si="154"/>
        <v>0</v>
      </c>
      <c r="AG125" s="149">
        <f t="shared" si="155"/>
        <v>0</v>
      </c>
      <c r="AH125" s="149">
        <f t="shared" si="156"/>
        <v>0</v>
      </c>
      <c r="AI125" s="149">
        <f t="shared" si="162"/>
        <v>0</v>
      </c>
      <c r="AJ125" s="149">
        <f t="shared" si="158"/>
        <v>0</v>
      </c>
      <c r="AK125" s="149">
        <f t="shared" si="159"/>
        <v>0</v>
      </c>
      <c r="AL125" s="149">
        <f t="shared" si="160"/>
        <v>0</v>
      </c>
      <c r="AM125" s="130"/>
      <c r="AN125" s="403"/>
      <c r="AO125" s="24"/>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row>
    <row r="126" spans="1:116" ht="18.75">
      <c r="A126" s="371"/>
      <c r="B126" s="61"/>
      <c r="C126" s="70"/>
      <c r="D126" s="149"/>
      <c r="E126" s="149"/>
      <c r="F126" s="149"/>
      <c r="G126" s="149"/>
      <c r="H126" s="149"/>
      <c r="I126" s="149"/>
      <c r="J126" s="149"/>
      <c r="K126" s="149"/>
      <c r="L126" s="149"/>
      <c r="M126" s="149"/>
      <c r="N126" s="149"/>
      <c r="O126" s="149"/>
      <c r="P126" s="149"/>
      <c r="Q126" s="149"/>
      <c r="R126" s="149"/>
      <c r="S126" s="149"/>
      <c r="T126" s="149">
        <f>+Q123</f>
        <v>503.18963356771195</v>
      </c>
      <c r="U126" s="149">
        <f t="shared" si="143"/>
        <v>495.0952110162239</v>
      </c>
      <c r="V126" s="149">
        <f t="shared" si="144"/>
        <v>187.21417856555212</v>
      </c>
      <c r="W126" s="149">
        <f t="shared" si="145"/>
        <v>180.35025515368488</v>
      </c>
      <c r="X126" s="149">
        <f t="shared" si="146"/>
        <v>346.97266348363524</v>
      </c>
      <c r="Y126" s="149">
        <f t="shared" si="147"/>
        <v>299.9203349939106</v>
      </c>
      <c r="Z126" s="149">
        <f t="shared" si="148"/>
        <v>296.1713308064867</v>
      </c>
      <c r="AA126" s="149">
        <f t="shared" si="161"/>
        <v>292.4223266190628</v>
      </c>
      <c r="AB126" s="149">
        <f t="shared" si="150"/>
        <v>288.6733224316389</v>
      </c>
      <c r="AC126" s="149">
        <f t="shared" si="151"/>
        <v>288.6733224316389</v>
      </c>
      <c r="AD126" s="149">
        <f t="shared" si="152"/>
        <v>0</v>
      </c>
      <c r="AE126" s="149">
        <f t="shared" si="153"/>
        <v>0</v>
      </c>
      <c r="AF126" s="149">
        <f t="shared" si="154"/>
        <v>0</v>
      </c>
      <c r="AG126" s="149">
        <f t="shared" si="155"/>
        <v>0</v>
      </c>
      <c r="AH126" s="149">
        <f t="shared" si="156"/>
        <v>0</v>
      </c>
      <c r="AI126" s="149">
        <f t="shared" si="162"/>
        <v>0</v>
      </c>
      <c r="AJ126" s="149">
        <f t="shared" si="158"/>
        <v>0</v>
      </c>
      <c r="AK126" s="149">
        <f t="shared" si="159"/>
        <v>0</v>
      </c>
      <c r="AL126" s="149">
        <f t="shared" si="160"/>
        <v>0</v>
      </c>
      <c r="AM126" s="130"/>
      <c r="AN126" s="403"/>
      <c r="AO126" s="24"/>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row>
    <row r="127" spans="1:116" ht="18.75">
      <c r="A127" s="371"/>
      <c r="B127" s="61"/>
      <c r="C127" s="70"/>
      <c r="D127" s="149"/>
      <c r="E127" s="149"/>
      <c r="F127" s="149"/>
      <c r="G127" s="149"/>
      <c r="H127" s="149"/>
      <c r="I127" s="149"/>
      <c r="J127" s="149"/>
      <c r="K127" s="149"/>
      <c r="L127" s="149"/>
      <c r="M127" s="149"/>
      <c r="N127" s="149"/>
      <c r="O127" s="149"/>
      <c r="P127" s="149"/>
      <c r="Q127" s="149"/>
      <c r="R127" s="149"/>
      <c r="S127" s="149"/>
      <c r="T127" s="149"/>
      <c r="U127" s="149">
        <f>+R124</f>
        <v>503.18963356771195</v>
      </c>
      <c r="V127" s="149">
        <f t="shared" si="144"/>
        <v>495.0952110162239</v>
      </c>
      <c r="W127" s="149">
        <f t="shared" si="145"/>
        <v>187.21417856555212</v>
      </c>
      <c r="X127" s="149">
        <f t="shared" si="146"/>
        <v>180.35025515368488</v>
      </c>
      <c r="Y127" s="149">
        <f t="shared" si="147"/>
        <v>346.97266348363524</v>
      </c>
      <c r="Z127" s="149">
        <f t="shared" si="148"/>
        <v>299.9203349939106</v>
      </c>
      <c r="AA127" s="149">
        <f t="shared" si="161"/>
        <v>296.1713308064867</v>
      </c>
      <c r="AB127" s="149">
        <f t="shared" si="150"/>
        <v>292.4223266190628</v>
      </c>
      <c r="AC127" s="149">
        <f t="shared" si="151"/>
        <v>288.6733224316389</v>
      </c>
      <c r="AD127" s="149">
        <f t="shared" si="152"/>
        <v>288.6733224316389</v>
      </c>
      <c r="AE127" s="149">
        <f t="shared" si="153"/>
        <v>0</v>
      </c>
      <c r="AF127" s="149">
        <f t="shared" si="154"/>
        <v>0</v>
      </c>
      <c r="AG127" s="149">
        <f t="shared" si="155"/>
        <v>0</v>
      </c>
      <c r="AH127" s="149">
        <f t="shared" si="156"/>
        <v>0</v>
      </c>
      <c r="AI127" s="149">
        <f t="shared" si="162"/>
        <v>0</v>
      </c>
      <c r="AJ127" s="149">
        <f t="shared" si="158"/>
        <v>0</v>
      </c>
      <c r="AK127" s="149">
        <f t="shared" si="159"/>
        <v>0</v>
      </c>
      <c r="AL127" s="149">
        <f t="shared" si="160"/>
        <v>0</v>
      </c>
      <c r="AM127" s="130"/>
      <c r="AN127" s="403"/>
      <c r="AO127" s="24"/>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row>
    <row r="128" spans="1:116" ht="18.75">
      <c r="A128" s="371"/>
      <c r="B128" s="61"/>
      <c r="C128" s="70"/>
      <c r="D128" s="149"/>
      <c r="E128" s="149"/>
      <c r="F128" s="149"/>
      <c r="G128" s="149"/>
      <c r="H128" s="149"/>
      <c r="I128" s="149"/>
      <c r="J128" s="149"/>
      <c r="K128" s="149"/>
      <c r="L128" s="149"/>
      <c r="M128" s="149"/>
      <c r="N128" s="149"/>
      <c r="O128" s="149"/>
      <c r="P128" s="149"/>
      <c r="Q128" s="149"/>
      <c r="R128" s="149"/>
      <c r="S128" s="149"/>
      <c r="T128" s="149"/>
      <c r="U128" s="149"/>
      <c r="V128" s="149">
        <f>+S125</f>
        <v>503.18963356771195</v>
      </c>
      <c r="W128" s="149">
        <f>+T125</f>
        <v>495.0952110162239</v>
      </c>
      <c r="X128" s="149">
        <f t="shared" si="146"/>
        <v>187.21417856555212</v>
      </c>
      <c r="Y128" s="149">
        <f t="shared" si="147"/>
        <v>180.35025515368488</v>
      </c>
      <c r="Z128" s="149">
        <f t="shared" si="148"/>
        <v>346.97266348363524</v>
      </c>
      <c r="AA128" s="149">
        <f t="shared" si="161"/>
        <v>299.9203349939106</v>
      </c>
      <c r="AB128" s="149">
        <f t="shared" si="150"/>
        <v>296.1713308064867</v>
      </c>
      <c r="AC128" s="149">
        <f t="shared" si="151"/>
        <v>292.4223266190628</v>
      </c>
      <c r="AD128" s="149">
        <f t="shared" si="152"/>
        <v>288.6733224316389</v>
      </c>
      <c r="AE128" s="149">
        <f t="shared" si="153"/>
        <v>288.6733224316389</v>
      </c>
      <c r="AF128" s="149">
        <f t="shared" si="154"/>
        <v>0</v>
      </c>
      <c r="AG128" s="149">
        <f t="shared" si="155"/>
        <v>0</v>
      </c>
      <c r="AH128" s="149">
        <f t="shared" si="156"/>
        <v>0</v>
      </c>
      <c r="AI128" s="149">
        <f t="shared" si="162"/>
        <v>0</v>
      </c>
      <c r="AJ128" s="149">
        <f t="shared" si="158"/>
        <v>0</v>
      </c>
      <c r="AK128" s="149">
        <f t="shared" si="159"/>
        <v>0</v>
      </c>
      <c r="AL128" s="149">
        <f t="shared" si="160"/>
        <v>0</v>
      </c>
      <c r="AM128" s="130"/>
      <c r="AN128" s="403"/>
      <c r="AO128" s="24"/>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row>
    <row r="129" spans="1:116" ht="18.75">
      <c r="A129" s="371"/>
      <c r="B129" s="61"/>
      <c r="C129" s="70"/>
      <c r="D129" s="149"/>
      <c r="E129" s="149"/>
      <c r="F129" s="149"/>
      <c r="G129" s="149"/>
      <c r="H129" s="149"/>
      <c r="I129" s="149"/>
      <c r="J129" s="149"/>
      <c r="K129" s="149"/>
      <c r="L129" s="149"/>
      <c r="M129" s="149"/>
      <c r="N129" s="149"/>
      <c r="O129" s="149"/>
      <c r="P129" s="149"/>
      <c r="Q129" s="149"/>
      <c r="R129" s="149"/>
      <c r="S129" s="149"/>
      <c r="T129" s="149"/>
      <c r="U129" s="149"/>
      <c r="V129" s="149"/>
      <c r="W129" s="149">
        <f>+T126</f>
        <v>503.18963356771195</v>
      </c>
      <c r="X129" s="149">
        <f t="shared" si="146"/>
        <v>495.0952110162239</v>
      </c>
      <c r="Y129" s="149">
        <f t="shared" si="147"/>
        <v>187.21417856555212</v>
      </c>
      <c r="Z129" s="149">
        <f t="shared" si="148"/>
        <v>180.35025515368488</v>
      </c>
      <c r="AA129" s="149">
        <f t="shared" si="161"/>
        <v>346.97266348363524</v>
      </c>
      <c r="AB129" s="149">
        <f t="shared" si="150"/>
        <v>299.9203349939106</v>
      </c>
      <c r="AC129" s="149">
        <f t="shared" si="151"/>
        <v>296.1713308064867</v>
      </c>
      <c r="AD129" s="149">
        <f t="shared" si="152"/>
        <v>292.4223266190628</v>
      </c>
      <c r="AE129" s="149">
        <f t="shared" si="153"/>
        <v>288.6733224316389</v>
      </c>
      <c r="AF129" s="149">
        <f t="shared" si="154"/>
        <v>288.6733224316389</v>
      </c>
      <c r="AG129" s="149">
        <f t="shared" si="155"/>
        <v>0</v>
      </c>
      <c r="AH129" s="149">
        <f t="shared" si="156"/>
        <v>0</v>
      </c>
      <c r="AI129" s="149">
        <f t="shared" si="162"/>
        <v>0</v>
      </c>
      <c r="AJ129" s="149">
        <f t="shared" si="158"/>
        <v>0</v>
      </c>
      <c r="AK129" s="149">
        <f t="shared" si="159"/>
        <v>0</v>
      </c>
      <c r="AL129" s="149">
        <f t="shared" si="160"/>
        <v>0</v>
      </c>
      <c r="AM129" s="130"/>
      <c r="AN129" s="403"/>
      <c r="AO129" s="24"/>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row>
    <row r="130" spans="1:116" ht="18.75">
      <c r="A130" s="413"/>
      <c r="B130" s="61"/>
      <c r="C130" s="70"/>
      <c r="D130" s="280">
        <f>SUM(D110:D129)*$D$167</f>
        <v>503.18963356771195</v>
      </c>
      <c r="E130" s="280">
        <f aca="true" t="shared" si="163" ref="E130:AL130">SUM(E110:E129)*$D$167</f>
        <v>998.2848445839359</v>
      </c>
      <c r="F130" s="280">
        <f t="shared" si="163"/>
        <v>1185.499023149488</v>
      </c>
      <c r="G130" s="280">
        <f t="shared" si="163"/>
        <v>1365.849278303173</v>
      </c>
      <c r="H130" s="280">
        <f t="shared" si="163"/>
        <v>1712.821941786808</v>
      </c>
      <c r="I130" s="280">
        <f t="shared" si="163"/>
        <v>2012.7422767807188</v>
      </c>
      <c r="J130" s="280">
        <f t="shared" si="163"/>
        <v>2308.913607587205</v>
      </c>
      <c r="K130" s="280">
        <f t="shared" si="163"/>
        <v>2601.3359342062686</v>
      </c>
      <c r="L130" s="280">
        <f t="shared" si="163"/>
        <v>2890.009256637907</v>
      </c>
      <c r="M130" s="280">
        <f t="shared" si="163"/>
        <v>3178.682579069546</v>
      </c>
      <c r="N130" s="280">
        <f t="shared" si="163"/>
        <v>3178.682579069546</v>
      </c>
      <c r="O130" s="280">
        <f t="shared" si="163"/>
        <v>3178.682579069546</v>
      </c>
      <c r="P130" s="280">
        <f t="shared" si="163"/>
        <v>3178.682579069546</v>
      </c>
      <c r="Q130" s="280">
        <f t="shared" si="163"/>
        <v>3178.682579069546</v>
      </c>
      <c r="R130" s="280">
        <f t="shared" si="163"/>
        <v>3178.682579069546</v>
      </c>
      <c r="S130" s="280">
        <f t="shared" si="163"/>
        <v>3178.682579069546</v>
      </c>
      <c r="T130" s="280">
        <f t="shared" si="163"/>
        <v>3178.682579069546</v>
      </c>
      <c r="U130" s="280">
        <f t="shared" si="163"/>
        <v>3178.682579069546</v>
      </c>
      <c r="V130" s="280">
        <f t="shared" si="163"/>
        <v>3178.682579069546</v>
      </c>
      <c r="W130" s="280">
        <f t="shared" si="163"/>
        <v>3178.682579069546</v>
      </c>
      <c r="X130" s="280">
        <f t="shared" si="163"/>
        <v>2675.492945501834</v>
      </c>
      <c r="Y130" s="280">
        <f t="shared" si="163"/>
        <v>2180.3977344856103</v>
      </c>
      <c r="Z130" s="280">
        <f t="shared" si="163"/>
        <v>1993.183555920058</v>
      </c>
      <c r="AA130" s="280">
        <f t="shared" si="163"/>
        <v>1812.8333007663732</v>
      </c>
      <c r="AB130" s="280">
        <f t="shared" si="163"/>
        <v>1465.860637282738</v>
      </c>
      <c r="AC130" s="280">
        <f t="shared" si="163"/>
        <v>1165.9403022888273</v>
      </c>
      <c r="AD130" s="280">
        <f t="shared" si="163"/>
        <v>869.7689714823406</v>
      </c>
      <c r="AE130" s="280">
        <f t="shared" si="163"/>
        <v>577.3466448632778</v>
      </c>
      <c r="AF130" s="280">
        <f t="shared" si="163"/>
        <v>288.6733224316389</v>
      </c>
      <c r="AG130" s="280">
        <f t="shared" si="163"/>
        <v>0</v>
      </c>
      <c r="AH130" s="280">
        <f t="shared" si="163"/>
        <v>0</v>
      </c>
      <c r="AI130" s="280">
        <f t="shared" si="163"/>
        <v>0</v>
      </c>
      <c r="AJ130" s="280">
        <f t="shared" si="163"/>
        <v>0</v>
      </c>
      <c r="AK130" s="280">
        <f t="shared" si="163"/>
        <v>0</v>
      </c>
      <c r="AL130" s="280">
        <f t="shared" si="163"/>
        <v>0</v>
      </c>
      <c r="AM130" s="130"/>
      <c r="AN130" s="403"/>
      <c r="AO130" s="24"/>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row>
    <row r="131" spans="1:116" ht="18.75">
      <c r="A131" s="371"/>
      <c r="B131" s="61"/>
      <c r="C131" s="7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403"/>
      <c r="AO131" s="24"/>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row>
    <row r="132" spans="1:116" ht="18.75">
      <c r="A132" s="371"/>
      <c r="B132" s="61"/>
      <c r="C132" s="7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403"/>
      <c r="AO132" s="24"/>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row>
    <row r="133" spans="1:116" ht="18.75">
      <c r="A133" s="371"/>
      <c r="B133" s="61"/>
      <c r="C133" s="68" t="s">
        <v>38</v>
      </c>
      <c r="D133" s="130">
        <f>+'Education Model'!E75/22*1100000*12/1000000</f>
        <v>290.30171167367996</v>
      </c>
      <c r="E133" s="130">
        <f>+D133</f>
        <v>290.30171167367996</v>
      </c>
      <c r="F133" s="130">
        <f aca="true" t="shared" si="164" ref="F133:M133">+E133</f>
        <v>290.30171167367996</v>
      </c>
      <c r="G133" s="130">
        <f t="shared" si="164"/>
        <v>290.30171167367996</v>
      </c>
      <c r="H133" s="130">
        <f t="shared" si="164"/>
        <v>290.30171167367996</v>
      </c>
      <c r="I133" s="130">
        <f t="shared" si="164"/>
        <v>290.30171167367996</v>
      </c>
      <c r="J133" s="130">
        <f t="shared" si="164"/>
        <v>290.30171167367996</v>
      </c>
      <c r="K133" s="130">
        <f t="shared" si="164"/>
        <v>290.30171167367996</v>
      </c>
      <c r="L133" s="130">
        <f t="shared" si="164"/>
        <v>290.30171167367996</v>
      </c>
      <c r="M133" s="130">
        <f t="shared" si="164"/>
        <v>290.30171167367996</v>
      </c>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27"/>
      <c r="AN133" s="403"/>
      <c r="AO133" s="24"/>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row>
    <row r="134" spans="1:116" ht="18.75">
      <c r="A134" s="371"/>
      <c r="B134" s="61"/>
      <c r="C134" s="68"/>
      <c r="D134" s="149"/>
      <c r="E134" s="149">
        <f>+D133</f>
        <v>290.30171167367996</v>
      </c>
      <c r="F134" s="149">
        <f aca="true" t="shared" si="165" ref="F134:AL134">+E133</f>
        <v>290.30171167367996</v>
      </c>
      <c r="G134" s="149">
        <f t="shared" si="165"/>
        <v>290.30171167367996</v>
      </c>
      <c r="H134" s="149">
        <f t="shared" si="165"/>
        <v>290.30171167367996</v>
      </c>
      <c r="I134" s="149">
        <f t="shared" si="165"/>
        <v>290.30171167367996</v>
      </c>
      <c r="J134" s="149">
        <f t="shared" si="165"/>
        <v>290.30171167367996</v>
      </c>
      <c r="K134" s="149">
        <f t="shared" si="165"/>
        <v>290.30171167367996</v>
      </c>
      <c r="L134" s="149">
        <f t="shared" si="165"/>
        <v>290.30171167367996</v>
      </c>
      <c r="M134" s="149">
        <f t="shared" si="165"/>
        <v>290.30171167367996</v>
      </c>
      <c r="N134" s="149">
        <f t="shared" si="165"/>
        <v>290.30171167367996</v>
      </c>
      <c r="O134" s="149">
        <f t="shared" si="165"/>
        <v>0</v>
      </c>
      <c r="P134" s="149">
        <f t="shared" si="165"/>
        <v>0</v>
      </c>
      <c r="Q134" s="149">
        <f t="shared" si="165"/>
        <v>0</v>
      </c>
      <c r="R134" s="149">
        <f t="shared" si="165"/>
        <v>0</v>
      </c>
      <c r="S134" s="149">
        <f t="shared" si="165"/>
        <v>0</v>
      </c>
      <c r="T134" s="149">
        <f t="shared" si="165"/>
        <v>0</v>
      </c>
      <c r="U134" s="149">
        <f t="shared" si="165"/>
        <v>0</v>
      </c>
      <c r="V134" s="149">
        <f t="shared" si="165"/>
        <v>0</v>
      </c>
      <c r="W134" s="149">
        <f t="shared" si="165"/>
        <v>0</v>
      </c>
      <c r="X134" s="149">
        <f t="shared" si="165"/>
        <v>0</v>
      </c>
      <c r="Y134" s="149">
        <f t="shared" si="165"/>
        <v>0</v>
      </c>
      <c r="Z134" s="149">
        <f t="shared" si="165"/>
        <v>0</v>
      </c>
      <c r="AA134" s="149">
        <f t="shared" si="165"/>
        <v>0</v>
      </c>
      <c r="AB134" s="149">
        <f t="shared" si="165"/>
        <v>0</v>
      </c>
      <c r="AC134" s="149">
        <f t="shared" si="165"/>
        <v>0</v>
      </c>
      <c r="AD134" s="149">
        <f t="shared" si="165"/>
        <v>0</v>
      </c>
      <c r="AE134" s="149">
        <f t="shared" si="165"/>
        <v>0</v>
      </c>
      <c r="AF134" s="149">
        <f t="shared" si="165"/>
        <v>0</v>
      </c>
      <c r="AG134" s="149">
        <f t="shared" si="165"/>
        <v>0</v>
      </c>
      <c r="AH134" s="149">
        <f t="shared" si="165"/>
        <v>0</v>
      </c>
      <c r="AI134" s="149">
        <f t="shared" si="165"/>
        <v>0</v>
      </c>
      <c r="AJ134" s="149">
        <f t="shared" si="165"/>
        <v>0</v>
      </c>
      <c r="AK134" s="149">
        <f t="shared" si="165"/>
        <v>0</v>
      </c>
      <c r="AL134" s="149">
        <f t="shared" si="165"/>
        <v>0</v>
      </c>
      <c r="AM134" s="130"/>
      <c r="AN134" s="403"/>
      <c r="AO134" s="24"/>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row>
    <row r="135" spans="1:116" ht="18.75">
      <c r="A135" s="371"/>
      <c r="B135" s="61"/>
      <c r="C135" s="68"/>
      <c r="D135" s="149"/>
      <c r="E135" s="149"/>
      <c r="F135" s="149">
        <f aca="true" t="shared" si="166" ref="F135:AL135">+D133</f>
        <v>290.30171167367996</v>
      </c>
      <c r="G135" s="149">
        <f t="shared" si="166"/>
        <v>290.30171167367996</v>
      </c>
      <c r="H135" s="149">
        <f t="shared" si="166"/>
        <v>290.30171167367996</v>
      </c>
      <c r="I135" s="149">
        <f t="shared" si="166"/>
        <v>290.30171167367996</v>
      </c>
      <c r="J135" s="149">
        <f t="shared" si="166"/>
        <v>290.30171167367996</v>
      </c>
      <c r="K135" s="149">
        <f t="shared" si="166"/>
        <v>290.30171167367996</v>
      </c>
      <c r="L135" s="149">
        <f t="shared" si="166"/>
        <v>290.30171167367996</v>
      </c>
      <c r="M135" s="149">
        <f t="shared" si="166"/>
        <v>290.30171167367996</v>
      </c>
      <c r="N135" s="149">
        <f t="shared" si="166"/>
        <v>290.30171167367996</v>
      </c>
      <c r="O135" s="149">
        <f t="shared" si="166"/>
        <v>290.30171167367996</v>
      </c>
      <c r="P135" s="149">
        <f t="shared" si="166"/>
        <v>0</v>
      </c>
      <c r="Q135" s="149">
        <f t="shared" si="166"/>
        <v>0</v>
      </c>
      <c r="R135" s="149">
        <f t="shared" si="166"/>
        <v>0</v>
      </c>
      <c r="S135" s="149">
        <f t="shared" si="166"/>
        <v>0</v>
      </c>
      <c r="T135" s="149">
        <f t="shared" si="166"/>
        <v>0</v>
      </c>
      <c r="U135" s="149">
        <f t="shared" si="166"/>
        <v>0</v>
      </c>
      <c r="V135" s="149">
        <f t="shared" si="166"/>
        <v>0</v>
      </c>
      <c r="W135" s="149">
        <f t="shared" si="166"/>
        <v>0</v>
      </c>
      <c r="X135" s="149">
        <f t="shared" si="166"/>
        <v>0</v>
      </c>
      <c r="Y135" s="149">
        <f t="shared" si="166"/>
        <v>0</v>
      </c>
      <c r="Z135" s="149">
        <f t="shared" si="166"/>
        <v>0</v>
      </c>
      <c r="AA135" s="149">
        <f t="shared" si="166"/>
        <v>0</v>
      </c>
      <c r="AB135" s="149">
        <f t="shared" si="166"/>
        <v>0</v>
      </c>
      <c r="AC135" s="149">
        <f t="shared" si="166"/>
        <v>0</v>
      </c>
      <c r="AD135" s="149">
        <f t="shared" si="166"/>
        <v>0</v>
      </c>
      <c r="AE135" s="149">
        <f t="shared" si="166"/>
        <v>0</v>
      </c>
      <c r="AF135" s="149">
        <f t="shared" si="166"/>
        <v>0</v>
      </c>
      <c r="AG135" s="149">
        <f t="shared" si="166"/>
        <v>0</v>
      </c>
      <c r="AH135" s="149">
        <f t="shared" si="166"/>
        <v>0</v>
      </c>
      <c r="AI135" s="149">
        <f t="shared" si="166"/>
        <v>0</v>
      </c>
      <c r="AJ135" s="149">
        <f t="shared" si="166"/>
        <v>0</v>
      </c>
      <c r="AK135" s="149">
        <f t="shared" si="166"/>
        <v>0</v>
      </c>
      <c r="AL135" s="149">
        <f t="shared" si="166"/>
        <v>0</v>
      </c>
      <c r="AM135" s="130"/>
      <c r="AN135" s="403"/>
      <c r="AO135" s="24"/>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row>
    <row r="136" spans="1:116" ht="18.75">
      <c r="A136" s="371"/>
      <c r="B136" s="61"/>
      <c r="C136" s="68"/>
      <c r="D136" s="149"/>
      <c r="E136" s="149"/>
      <c r="F136" s="149"/>
      <c r="G136" s="149">
        <f aca="true" t="shared" si="167" ref="G136:L136">+D133</f>
        <v>290.30171167367996</v>
      </c>
      <c r="H136" s="149">
        <f t="shared" si="167"/>
        <v>290.30171167367996</v>
      </c>
      <c r="I136" s="149">
        <f t="shared" si="167"/>
        <v>290.30171167367996</v>
      </c>
      <c r="J136" s="149">
        <f t="shared" si="167"/>
        <v>290.30171167367996</v>
      </c>
      <c r="K136" s="149">
        <f t="shared" si="167"/>
        <v>290.30171167367996</v>
      </c>
      <c r="L136" s="149">
        <f t="shared" si="167"/>
        <v>290.30171167367996</v>
      </c>
      <c r="M136" s="149">
        <f aca="true" t="shared" si="168" ref="M136:M141">+J133</f>
        <v>290.30171167367996</v>
      </c>
      <c r="N136" s="149">
        <f aca="true" t="shared" si="169" ref="N136:N142">+K133</f>
        <v>290.30171167367996</v>
      </c>
      <c r="O136" s="149">
        <f aca="true" t="shared" si="170" ref="O136:O143">+L133</f>
        <v>290.30171167367996</v>
      </c>
      <c r="P136" s="149">
        <f aca="true" t="shared" si="171" ref="P136:P144">+M133</f>
        <v>290.30171167367996</v>
      </c>
      <c r="Q136" s="149">
        <f aca="true" t="shared" si="172" ref="Q136:Q144">+N133</f>
        <v>0</v>
      </c>
      <c r="R136" s="149">
        <f aca="true" t="shared" si="173" ref="R136:R146">+O133</f>
        <v>0</v>
      </c>
      <c r="S136" s="149">
        <f aca="true" t="shared" si="174" ref="S136:S147">+P133</f>
        <v>0</v>
      </c>
      <c r="T136" s="149">
        <f aca="true" t="shared" si="175" ref="T136:T148">+Q133</f>
        <v>0</v>
      </c>
      <c r="U136" s="149">
        <f aca="true" t="shared" si="176" ref="U136:U149">+R133</f>
        <v>0</v>
      </c>
      <c r="V136" s="149">
        <f aca="true" t="shared" si="177" ref="V136:V150">+S133</f>
        <v>0</v>
      </c>
      <c r="W136" s="149">
        <f aca="true" t="shared" si="178" ref="W136:W150">+T133</f>
        <v>0</v>
      </c>
      <c r="X136" s="149">
        <f aca="true" t="shared" si="179" ref="X136:X152">+U133</f>
        <v>0</v>
      </c>
      <c r="Y136" s="149">
        <f aca="true" t="shared" si="180" ref="Y136:Y152">+V133</f>
        <v>0</v>
      </c>
      <c r="Z136" s="149">
        <f aca="true" t="shared" si="181" ref="Z136:Z152">+W133</f>
        <v>0</v>
      </c>
      <c r="AA136" s="149">
        <f aca="true" t="shared" si="182" ref="AA136:AA141">+X133</f>
        <v>0</v>
      </c>
      <c r="AB136" s="149">
        <f aca="true" t="shared" si="183" ref="AB136:AB152">+Y133</f>
        <v>0</v>
      </c>
      <c r="AC136" s="149">
        <f aca="true" t="shared" si="184" ref="AC136:AC152">+Z133</f>
        <v>0</v>
      </c>
      <c r="AD136" s="149">
        <f aca="true" t="shared" si="185" ref="AD136:AD152">+AA133</f>
        <v>0</v>
      </c>
      <c r="AE136" s="149">
        <f aca="true" t="shared" si="186" ref="AE136:AE152">+AB133</f>
        <v>0</v>
      </c>
      <c r="AF136" s="149">
        <f aca="true" t="shared" si="187" ref="AF136:AF152">+AC133</f>
        <v>0</v>
      </c>
      <c r="AG136" s="149">
        <f aca="true" t="shared" si="188" ref="AG136:AG152">+AD133</f>
        <v>0</v>
      </c>
      <c r="AH136" s="149">
        <f aca="true" t="shared" si="189" ref="AH136:AH152">+AE133</f>
        <v>0</v>
      </c>
      <c r="AI136" s="149">
        <f aca="true" t="shared" si="190" ref="AI136:AI141">+AF133</f>
        <v>0</v>
      </c>
      <c r="AJ136" s="149">
        <f aca="true" t="shared" si="191" ref="AJ136:AJ152">+AG133</f>
        <v>0</v>
      </c>
      <c r="AK136" s="149">
        <f aca="true" t="shared" si="192" ref="AK136:AK152">+AH133</f>
        <v>0</v>
      </c>
      <c r="AL136" s="149">
        <f aca="true" t="shared" si="193" ref="AL136:AL152">+AI133</f>
        <v>0</v>
      </c>
      <c r="AM136" s="130"/>
      <c r="AN136" s="403"/>
      <c r="AO136" s="24"/>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row>
    <row r="137" spans="1:116" ht="18.75">
      <c r="A137" s="371"/>
      <c r="B137" s="61"/>
      <c r="C137" s="68"/>
      <c r="D137" s="149"/>
      <c r="E137" s="149"/>
      <c r="F137" s="149"/>
      <c r="G137" s="149"/>
      <c r="H137" s="149">
        <f>+E134</f>
        <v>290.30171167367996</v>
      </c>
      <c r="I137" s="149">
        <f>+F134</f>
        <v>290.30171167367996</v>
      </c>
      <c r="J137" s="149">
        <f>+G134</f>
        <v>290.30171167367996</v>
      </c>
      <c r="K137" s="149">
        <f>+H134</f>
        <v>290.30171167367996</v>
      </c>
      <c r="L137" s="149">
        <f>+I134</f>
        <v>290.30171167367996</v>
      </c>
      <c r="M137" s="149">
        <f t="shared" si="168"/>
        <v>290.30171167367996</v>
      </c>
      <c r="N137" s="149">
        <f t="shared" si="169"/>
        <v>290.30171167367996</v>
      </c>
      <c r="O137" s="149">
        <f t="shared" si="170"/>
        <v>290.30171167367996</v>
      </c>
      <c r="P137" s="149">
        <f t="shared" si="171"/>
        <v>290.30171167367996</v>
      </c>
      <c r="Q137" s="149">
        <f t="shared" si="172"/>
        <v>290.30171167367996</v>
      </c>
      <c r="R137" s="149">
        <f t="shared" si="173"/>
        <v>0</v>
      </c>
      <c r="S137" s="149">
        <f t="shared" si="174"/>
        <v>0</v>
      </c>
      <c r="T137" s="149">
        <f t="shared" si="175"/>
        <v>0</v>
      </c>
      <c r="U137" s="149">
        <f t="shared" si="176"/>
        <v>0</v>
      </c>
      <c r="V137" s="149">
        <f t="shared" si="177"/>
        <v>0</v>
      </c>
      <c r="W137" s="149">
        <f t="shared" si="178"/>
        <v>0</v>
      </c>
      <c r="X137" s="149">
        <f t="shared" si="179"/>
        <v>0</v>
      </c>
      <c r="Y137" s="149">
        <f t="shared" si="180"/>
        <v>0</v>
      </c>
      <c r="Z137" s="149">
        <f t="shared" si="181"/>
        <v>0</v>
      </c>
      <c r="AA137" s="149">
        <f t="shared" si="182"/>
        <v>0</v>
      </c>
      <c r="AB137" s="149">
        <f t="shared" si="183"/>
        <v>0</v>
      </c>
      <c r="AC137" s="149">
        <f t="shared" si="184"/>
        <v>0</v>
      </c>
      <c r="AD137" s="149">
        <f t="shared" si="185"/>
        <v>0</v>
      </c>
      <c r="AE137" s="149">
        <f t="shared" si="186"/>
        <v>0</v>
      </c>
      <c r="AF137" s="149">
        <f t="shared" si="187"/>
        <v>0</v>
      </c>
      <c r="AG137" s="149">
        <f t="shared" si="188"/>
        <v>0</v>
      </c>
      <c r="AH137" s="149">
        <f t="shared" si="189"/>
        <v>0</v>
      </c>
      <c r="AI137" s="149">
        <f t="shared" si="190"/>
        <v>0</v>
      </c>
      <c r="AJ137" s="149">
        <f t="shared" si="191"/>
        <v>0</v>
      </c>
      <c r="AK137" s="149">
        <f t="shared" si="192"/>
        <v>0</v>
      </c>
      <c r="AL137" s="149">
        <f t="shared" si="193"/>
        <v>0</v>
      </c>
      <c r="AM137" s="130"/>
      <c r="AN137" s="403"/>
      <c r="AO137" s="24"/>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row>
    <row r="138" spans="1:116" ht="18.75">
      <c r="A138" s="371"/>
      <c r="B138" s="61"/>
      <c r="C138" s="68"/>
      <c r="D138" s="149"/>
      <c r="E138" s="149"/>
      <c r="F138" s="149"/>
      <c r="G138" s="149"/>
      <c r="H138" s="149"/>
      <c r="I138" s="149">
        <f>+F135</f>
        <v>290.30171167367996</v>
      </c>
      <c r="J138" s="149">
        <f>+G135</f>
        <v>290.30171167367996</v>
      </c>
      <c r="K138" s="149">
        <f>+H135</f>
        <v>290.30171167367996</v>
      </c>
      <c r="L138" s="149">
        <f>+I135</f>
        <v>290.30171167367996</v>
      </c>
      <c r="M138" s="149">
        <f t="shared" si="168"/>
        <v>290.30171167367996</v>
      </c>
      <c r="N138" s="149">
        <f t="shared" si="169"/>
        <v>290.30171167367996</v>
      </c>
      <c r="O138" s="149">
        <f t="shared" si="170"/>
        <v>290.30171167367996</v>
      </c>
      <c r="P138" s="149">
        <f t="shared" si="171"/>
        <v>290.30171167367996</v>
      </c>
      <c r="Q138" s="149">
        <f t="shared" si="172"/>
        <v>290.30171167367996</v>
      </c>
      <c r="R138" s="149">
        <f t="shared" si="173"/>
        <v>290.30171167367996</v>
      </c>
      <c r="S138" s="149">
        <f t="shared" si="174"/>
        <v>0</v>
      </c>
      <c r="T138" s="149">
        <f t="shared" si="175"/>
        <v>0</v>
      </c>
      <c r="U138" s="149">
        <f t="shared" si="176"/>
        <v>0</v>
      </c>
      <c r="V138" s="149">
        <f t="shared" si="177"/>
        <v>0</v>
      </c>
      <c r="W138" s="149">
        <f t="shared" si="178"/>
        <v>0</v>
      </c>
      <c r="X138" s="149">
        <f t="shared" si="179"/>
        <v>0</v>
      </c>
      <c r="Y138" s="149">
        <f t="shared" si="180"/>
        <v>0</v>
      </c>
      <c r="Z138" s="149">
        <f t="shared" si="181"/>
        <v>0</v>
      </c>
      <c r="AA138" s="149">
        <f t="shared" si="182"/>
        <v>0</v>
      </c>
      <c r="AB138" s="149">
        <f t="shared" si="183"/>
        <v>0</v>
      </c>
      <c r="AC138" s="149">
        <f t="shared" si="184"/>
        <v>0</v>
      </c>
      <c r="AD138" s="149">
        <f t="shared" si="185"/>
        <v>0</v>
      </c>
      <c r="AE138" s="149">
        <f t="shared" si="186"/>
        <v>0</v>
      </c>
      <c r="AF138" s="149">
        <f t="shared" si="187"/>
        <v>0</v>
      </c>
      <c r="AG138" s="149">
        <f t="shared" si="188"/>
        <v>0</v>
      </c>
      <c r="AH138" s="149">
        <f t="shared" si="189"/>
        <v>0</v>
      </c>
      <c r="AI138" s="149">
        <f t="shared" si="190"/>
        <v>0</v>
      </c>
      <c r="AJ138" s="149">
        <f t="shared" si="191"/>
        <v>0</v>
      </c>
      <c r="AK138" s="149">
        <f t="shared" si="192"/>
        <v>0</v>
      </c>
      <c r="AL138" s="149">
        <f t="shared" si="193"/>
        <v>0</v>
      </c>
      <c r="AM138" s="130"/>
      <c r="AN138" s="403"/>
      <c r="AO138" s="24"/>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row>
    <row r="139" spans="1:116" ht="18.75">
      <c r="A139" s="371"/>
      <c r="B139" s="61"/>
      <c r="C139" s="68"/>
      <c r="D139" s="149"/>
      <c r="E139" s="149"/>
      <c r="F139" s="149"/>
      <c r="G139" s="149"/>
      <c r="H139" s="149"/>
      <c r="I139" s="149"/>
      <c r="J139" s="149">
        <f>+G136</f>
        <v>290.30171167367996</v>
      </c>
      <c r="K139" s="149">
        <f>+H136</f>
        <v>290.30171167367996</v>
      </c>
      <c r="L139" s="149">
        <f>+I136</f>
        <v>290.30171167367996</v>
      </c>
      <c r="M139" s="149">
        <f t="shared" si="168"/>
        <v>290.30171167367996</v>
      </c>
      <c r="N139" s="149">
        <f t="shared" si="169"/>
        <v>290.30171167367996</v>
      </c>
      <c r="O139" s="149">
        <f t="shared" si="170"/>
        <v>290.30171167367996</v>
      </c>
      <c r="P139" s="149">
        <f t="shared" si="171"/>
        <v>290.30171167367996</v>
      </c>
      <c r="Q139" s="149">
        <f t="shared" si="172"/>
        <v>290.30171167367996</v>
      </c>
      <c r="R139" s="149">
        <f t="shared" si="173"/>
        <v>290.30171167367996</v>
      </c>
      <c r="S139" s="149">
        <f t="shared" si="174"/>
        <v>290.30171167367996</v>
      </c>
      <c r="T139" s="149">
        <f t="shared" si="175"/>
        <v>0</v>
      </c>
      <c r="U139" s="149">
        <f t="shared" si="176"/>
        <v>0</v>
      </c>
      <c r="V139" s="149">
        <f t="shared" si="177"/>
        <v>0</v>
      </c>
      <c r="W139" s="149">
        <f t="shared" si="178"/>
        <v>0</v>
      </c>
      <c r="X139" s="149">
        <f t="shared" si="179"/>
        <v>0</v>
      </c>
      <c r="Y139" s="149">
        <f t="shared" si="180"/>
        <v>0</v>
      </c>
      <c r="Z139" s="149">
        <f t="shared" si="181"/>
        <v>0</v>
      </c>
      <c r="AA139" s="149">
        <f t="shared" si="182"/>
        <v>0</v>
      </c>
      <c r="AB139" s="149">
        <f t="shared" si="183"/>
        <v>0</v>
      </c>
      <c r="AC139" s="149">
        <f t="shared" si="184"/>
        <v>0</v>
      </c>
      <c r="AD139" s="149">
        <f t="shared" si="185"/>
        <v>0</v>
      </c>
      <c r="AE139" s="149">
        <f t="shared" si="186"/>
        <v>0</v>
      </c>
      <c r="AF139" s="149">
        <f t="shared" si="187"/>
        <v>0</v>
      </c>
      <c r="AG139" s="149">
        <f t="shared" si="188"/>
        <v>0</v>
      </c>
      <c r="AH139" s="149">
        <f t="shared" si="189"/>
        <v>0</v>
      </c>
      <c r="AI139" s="149">
        <f t="shared" si="190"/>
        <v>0</v>
      </c>
      <c r="AJ139" s="149">
        <f t="shared" si="191"/>
        <v>0</v>
      </c>
      <c r="AK139" s="149">
        <f t="shared" si="192"/>
        <v>0</v>
      </c>
      <c r="AL139" s="149">
        <f t="shared" si="193"/>
        <v>0</v>
      </c>
      <c r="AM139" s="130"/>
      <c r="AN139" s="403"/>
      <c r="AO139" s="24"/>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row>
    <row r="140" spans="1:116" ht="18.75">
      <c r="A140" s="371"/>
      <c r="B140" s="61"/>
      <c r="C140" s="68"/>
      <c r="D140" s="149"/>
      <c r="E140" s="149"/>
      <c r="F140" s="149"/>
      <c r="G140" s="149"/>
      <c r="H140" s="149"/>
      <c r="I140" s="149"/>
      <c r="J140" s="149"/>
      <c r="K140" s="149">
        <f>+H137</f>
        <v>290.30171167367996</v>
      </c>
      <c r="L140" s="149">
        <f>+I137</f>
        <v>290.30171167367996</v>
      </c>
      <c r="M140" s="149">
        <f t="shared" si="168"/>
        <v>290.30171167367996</v>
      </c>
      <c r="N140" s="149">
        <f t="shared" si="169"/>
        <v>290.30171167367996</v>
      </c>
      <c r="O140" s="149">
        <f t="shared" si="170"/>
        <v>290.30171167367996</v>
      </c>
      <c r="P140" s="149">
        <f t="shared" si="171"/>
        <v>290.30171167367996</v>
      </c>
      <c r="Q140" s="149">
        <f t="shared" si="172"/>
        <v>290.30171167367996</v>
      </c>
      <c r="R140" s="149">
        <f t="shared" si="173"/>
        <v>290.30171167367996</v>
      </c>
      <c r="S140" s="149">
        <f t="shared" si="174"/>
        <v>290.30171167367996</v>
      </c>
      <c r="T140" s="149">
        <f t="shared" si="175"/>
        <v>290.30171167367996</v>
      </c>
      <c r="U140" s="149">
        <f t="shared" si="176"/>
        <v>0</v>
      </c>
      <c r="V140" s="149">
        <f t="shared" si="177"/>
        <v>0</v>
      </c>
      <c r="W140" s="149">
        <f t="shared" si="178"/>
        <v>0</v>
      </c>
      <c r="X140" s="149">
        <f t="shared" si="179"/>
        <v>0</v>
      </c>
      <c r="Y140" s="149">
        <f t="shared" si="180"/>
        <v>0</v>
      </c>
      <c r="Z140" s="149">
        <f t="shared" si="181"/>
        <v>0</v>
      </c>
      <c r="AA140" s="149">
        <f t="shared" si="182"/>
        <v>0</v>
      </c>
      <c r="AB140" s="149">
        <f t="shared" si="183"/>
        <v>0</v>
      </c>
      <c r="AC140" s="149">
        <f t="shared" si="184"/>
        <v>0</v>
      </c>
      <c r="AD140" s="149">
        <f t="shared" si="185"/>
        <v>0</v>
      </c>
      <c r="AE140" s="149">
        <f t="shared" si="186"/>
        <v>0</v>
      </c>
      <c r="AF140" s="149">
        <f t="shared" si="187"/>
        <v>0</v>
      </c>
      <c r="AG140" s="149">
        <f t="shared" si="188"/>
        <v>0</v>
      </c>
      <c r="AH140" s="149">
        <f t="shared" si="189"/>
        <v>0</v>
      </c>
      <c r="AI140" s="149">
        <f t="shared" si="190"/>
        <v>0</v>
      </c>
      <c r="AJ140" s="149">
        <f t="shared" si="191"/>
        <v>0</v>
      </c>
      <c r="AK140" s="149">
        <f t="shared" si="192"/>
        <v>0</v>
      </c>
      <c r="AL140" s="149">
        <f t="shared" si="193"/>
        <v>0</v>
      </c>
      <c r="AM140" s="130"/>
      <c r="AN140" s="403"/>
      <c r="AO140" s="24"/>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row>
    <row r="141" spans="1:116" ht="18.75">
      <c r="A141" s="371"/>
      <c r="B141" s="61"/>
      <c r="C141" s="68"/>
      <c r="D141" s="149"/>
      <c r="E141" s="149"/>
      <c r="F141" s="149"/>
      <c r="G141" s="149"/>
      <c r="H141" s="149"/>
      <c r="I141" s="149"/>
      <c r="J141" s="149"/>
      <c r="K141" s="149"/>
      <c r="L141" s="149">
        <f>+I138</f>
        <v>290.30171167367996</v>
      </c>
      <c r="M141" s="149">
        <f t="shared" si="168"/>
        <v>290.30171167367996</v>
      </c>
      <c r="N141" s="149">
        <f t="shared" si="169"/>
        <v>290.30171167367996</v>
      </c>
      <c r="O141" s="149">
        <f t="shared" si="170"/>
        <v>290.30171167367996</v>
      </c>
      <c r="P141" s="149">
        <f t="shared" si="171"/>
        <v>290.30171167367996</v>
      </c>
      <c r="Q141" s="149">
        <f t="shared" si="172"/>
        <v>290.30171167367996</v>
      </c>
      <c r="R141" s="149">
        <f t="shared" si="173"/>
        <v>290.30171167367996</v>
      </c>
      <c r="S141" s="149">
        <f t="shared" si="174"/>
        <v>290.30171167367996</v>
      </c>
      <c r="T141" s="149">
        <f t="shared" si="175"/>
        <v>290.30171167367996</v>
      </c>
      <c r="U141" s="149">
        <f t="shared" si="176"/>
        <v>290.30171167367996</v>
      </c>
      <c r="V141" s="149">
        <f t="shared" si="177"/>
        <v>0</v>
      </c>
      <c r="W141" s="149">
        <f t="shared" si="178"/>
        <v>0</v>
      </c>
      <c r="X141" s="149">
        <f t="shared" si="179"/>
        <v>0</v>
      </c>
      <c r="Y141" s="149">
        <f t="shared" si="180"/>
        <v>0</v>
      </c>
      <c r="Z141" s="149">
        <f t="shared" si="181"/>
        <v>0</v>
      </c>
      <c r="AA141" s="149">
        <f t="shared" si="182"/>
        <v>0</v>
      </c>
      <c r="AB141" s="149">
        <f t="shared" si="183"/>
        <v>0</v>
      </c>
      <c r="AC141" s="149">
        <f t="shared" si="184"/>
        <v>0</v>
      </c>
      <c r="AD141" s="149">
        <f t="shared" si="185"/>
        <v>0</v>
      </c>
      <c r="AE141" s="149">
        <f t="shared" si="186"/>
        <v>0</v>
      </c>
      <c r="AF141" s="149">
        <f t="shared" si="187"/>
        <v>0</v>
      </c>
      <c r="AG141" s="149">
        <f t="shared" si="188"/>
        <v>0</v>
      </c>
      <c r="AH141" s="149">
        <f t="shared" si="189"/>
        <v>0</v>
      </c>
      <c r="AI141" s="149">
        <f t="shared" si="190"/>
        <v>0</v>
      </c>
      <c r="AJ141" s="149">
        <f t="shared" si="191"/>
        <v>0</v>
      </c>
      <c r="AK141" s="149">
        <f t="shared" si="192"/>
        <v>0</v>
      </c>
      <c r="AL141" s="149">
        <f t="shared" si="193"/>
        <v>0</v>
      </c>
      <c r="AM141" s="130"/>
      <c r="AN141" s="403"/>
      <c r="AO141" s="24"/>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row>
    <row r="142" spans="1:116" ht="18.75">
      <c r="A142" s="371"/>
      <c r="B142" s="61"/>
      <c r="C142" s="68"/>
      <c r="D142" s="149"/>
      <c r="E142" s="149"/>
      <c r="F142" s="149"/>
      <c r="G142" s="149"/>
      <c r="H142" s="149"/>
      <c r="I142" s="149"/>
      <c r="J142" s="149"/>
      <c r="K142" s="149"/>
      <c r="L142" s="149"/>
      <c r="M142" s="149">
        <f>+J139</f>
        <v>290.30171167367996</v>
      </c>
      <c r="N142" s="149">
        <f t="shared" si="169"/>
        <v>290.30171167367996</v>
      </c>
      <c r="O142" s="149">
        <f t="shared" si="170"/>
        <v>290.30171167367996</v>
      </c>
      <c r="P142" s="149">
        <f t="shared" si="171"/>
        <v>290.30171167367996</v>
      </c>
      <c r="Q142" s="149">
        <f t="shared" si="172"/>
        <v>290.30171167367996</v>
      </c>
      <c r="R142" s="149">
        <f t="shared" si="173"/>
        <v>290.30171167367996</v>
      </c>
      <c r="S142" s="149">
        <f t="shared" si="174"/>
        <v>290.30171167367996</v>
      </c>
      <c r="T142" s="149">
        <f t="shared" si="175"/>
        <v>290.30171167367996</v>
      </c>
      <c r="U142" s="149">
        <f t="shared" si="176"/>
        <v>290.30171167367996</v>
      </c>
      <c r="V142" s="149">
        <f t="shared" si="177"/>
        <v>290.30171167367996</v>
      </c>
      <c r="W142" s="149">
        <f t="shared" si="178"/>
        <v>0</v>
      </c>
      <c r="X142" s="149">
        <f t="shared" si="179"/>
        <v>0</v>
      </c>
      <c r="Y142" s="149">
        <f t="shared" si="180"/>
        <v>0</v>
      </c>
      <c r="Z142" s="149">
        <f t="shared" si="181"/>
        <v>0</v>
      </c>
      <c r="AA142" s="149">
        <f aca="true" t="shared" si="194" ref="AA142:AA152">+X139</f>
        <v>0</v>
      </c>
      <c r="AB142" s="149">
        <f t="shared" si="183"/>
        <v>0</v>
      </c>
      <c r="AC142" s="149">
        <f t="shared" si="184"/>
        <v>0</v>
      </c>
      <c r="AD142" s="149">
        <f t="shared" si="185"/>
        <v>0</v>
      </c>
      <c r="AE142" s="149">
        <f t="shared" si="186"/>
        <v>0</v>
      </c>
      <c r="AF142" s="149">
        <f t="shared" si="187"/>
        <v>0</v>
      </c>
      <c r="AG142" s="149">
        <f t="shared" si="188"/>
        <v>0</v>
      </c>
      <c r="AH142" s="149">
        <f t="shared" si="189"/>
        <v>0</v>
      </c>
      <c r="AI142" s="149">
        <f aca="true" t="shared" si="195" ref="AI142:AI152">+AF139</f>
        <v>0</v>
      </c>
      <c r="AJ142" s="149">
        <f t="shared" si="191"/>
        <v>0</v>
      </c>
      <c r="AK142" s="149">
        <f t="shared" si="192"/>
        <v>0</v>
      </c>
      <c r="AL142" s="149">
        <f t="shared" si="193"/>
        <v>0</v>
      </c>
      <c r="AM142" s="130"/>
      <c r="AN142" s="403"/>
      <c r="AO142" s="24"/>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row>
    <row r="143" spans="1:116" ht="18.75">
      <c r="A143" s="371"/>
      <c r="B143" s="61"/>
      <c r="C143" s="68"/>
      <c r="D143" s="149"/>
      <c r="E143" s="149"/>
      <c r="F143" s="149"/>
      <c r="G143" s="149"/>
      <c r="H143" s="149"/>
      <c r="I143" s="149"/>
      <c r="J143" s="149"/>
      <c r="K143" s="149"/>
      <c r="L143" s="149"/>
      <c r="M143" s="149"/>
      <c r="N143" s="149">
        <f>+K140</f>
        <v>290.30171167367996</v>
      </c>
      <c r="O143" s="149">
        <f t="shared" si="170"/>
        <v>290.30171167367996</v>
      </c>
      <c r="P143" s="149">
        <f t="shared" si="171"/>
        <v>290.30171167367996</v>
      </c>
      <c r="Q143" s="149">
        <f t="shared" si="172"/>
        <v>290.30171167367996</v>
      </c>
      <c r="R143" s="149">
        <f t="shared" si="173"/>
        <v>290.30171167367996</v>
      </c>
      <c r="S143" s="149">
        <f t="shared" si="174"/>
        <v>290.30171167367996</v>
      </c>
      <c r="T143" s="149">
        <f t="shared" si="175"/>
        <v>290.30171167367996</v>
      </c>
      <c r="U143" s="149">
        <f t="shared" si="176"/>
        <v>290.30171167367996</v>
      </c>
      <c r="V143" s="149">
        <f t="shared" si="177"/>
        <v>290.30171167367996</v>
      </c>
      <c r="W143" s="149">
        <f t="shared" si="178"/>
        <v>290.30171167367996</v>
      </c>
      <c r="X143" s="149">
        <f t="shared" si="179"/>
        <v>0</v>
      </c>
      <c r="Y143" s="149">
        <f t="shared" si="180"/>
        <v>0</v>
      </c>
      <c r="Z143" s="149">
        <f t="shared" si="181"/>
        <v>0</v>
      </c>
      <c r="AA143" s="149">
        <f t="shared" si="194"/>
        <v>0</v>
      </c>
      <c r="AB143" s="149">
        <f t="shared" si="183"/>
        <v>0</v>
      </c>
      <c r="AC143" s="149">
        <f t="shared" si="184"/>
        <v>0</v>
      </c>
      <c r="AD143" s="149">
        <f t="shared" si="185"/>
        <v>0</v>
      </c>
      <c r="AE143" s="149">
        <f t="shared" si="186"/>
        <v>0</v>
      </c>
      <c r="AF143" s="149">
        <f t="shared" si="187"/>
        <v>0</v>
      </c>
      <c r="AG143" s="149">
        <f t="shared" si="188"/>
        <v>0</v>
      </c>
      <c r="AH143" s="149">
        <f t="shared" si="189"/>
        <v>0</v>
      </c>
      <c r="AI143" s="149">
        <f t="shared" si="195"/>
        <v>0</v>
      </c>
      <c r="AJ143" s="149">
        <f t="shared" si="191"/>
        <v>0</v>
      </c>
      <c r="AK143" s="149">
        <f t="shared" si="192"/>
        <v>0</v>
      </c>
      <c r="AL143" s="149">
        <f t="shared" si="193"/>
        <v>0</v>
      </c>
      <c r="AM143" s="130"/>
      <c r="AN143" s="403"/>
      <c r="AO143" s="24"/>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row>
    <row r="144" spans="1:116" ht="18.75">
      <c r="A144" s="371"/>
      <c r="B144" s="61"/>
      <c r="C144" s="68"/>
      <c r="D144" s="149"/>
      <c r="E144" s="149"/>
      <c r="F144" s="149"/>
      <c r="G144" s="149"/>
      <c r="H144" s="149"/>
      <c r="I144" s="149"/>
      <c r="J144" s="149"/>
      <c r="K144" s="149"/>
      <c r="L144" s="149"/>
      <c r="M144" s="149"/>
      <c r="N144" s="149"/>
      <c r="O144" s="149">
        <f>+L141</f>
        <v>290.30171167367996</v>
      </c>
      <c r="P144" s="149">
        <f t="shared" si="171"/>
        <v>290.30171167367996</v>
      </c>
      <c r="Q144" s="149">
        <f t="shared" si="172"/>
        <v>290.30171167367996</v>
      </c>
      <c r="R144" s="149">
        <f t="shared" si="173"/>
        <v>290.30171167367996</v>
      </c>
      <c r="S144" s="149">
        <f t="shared" si="174"/>
        <v>290.30171167367996</v>
      </c>
      <c r="T144" s="149">
        <f t="shared" si="175"/>
        <v>290.30171167367996</v>
      </c>
      <c r="U144" s="149">
        <f t="shared" si="176"/>
        <v>290.30171167367996</v>
      </c>
      <c r="V144" s="149">
        <f t="shared" si="177"/>
        <v>290.30171167367996</v>
      </c>
      <c r="W144" s="149">
        <f t="shared" si="178"/>
        <v>290.30171167367996</v>
      </c>
      <c r="X144" s="149">
        <f t="shared" si="179"/>
        <v>290.30171167367996</v>
      </c>
      <c r="Y144" s="149">
        <f t="shared" si="180"/>
        <v>0</v>
      </c>
      <c r="Z144" s="149">
        <f t="shared" si="181"/>
        <v>0</v>
      </c>
      <c r="AA144" s="149">
        <f t="shared" si="194"/>
        <v>0</v>
      </c>
      <c r="AB144" s="149">
        <f t="shared" si="183"/>
        <v>0</v>
      </c>
      <c r="AC144" s="149">
        <f t="shared" si="184"/>
        <v>0</v>
      </c>
      <c r="AD144" s="149">
        <f t="shared" si="185"/>
        <v>0</v>
      </c>
      <c r="AE144" s="149">
        <f t="shared" si="186"/>
        <v>0</v>
      </c>
      <c r="AF144" s="149">
        <f t="shared" si="187"/>
        <v>0</v>
      </c>
      <c r="AG144" s="149">
        <f t="shared" si="188"/>
        <v>0</v>
      </c>
      <c r="AH144" s="149">
        <f t="shared" si="189"/>
        <v>0</v>
      </c>
      <c r="AI144" s="149">
        <f t="shared" si="195"/>
        <v>0</v>
      </c>
      <c r="AJ144" s="149">
        <f t="shared" si="191"/>
        <v>0</v>
      </c>
      <c r="AK144" s="149">
        <f t="shared" si="192"/>
        <v>0</v>
      </c>
      <c r="AL144" s="149">
        <f t="shared" si="193"/>
        <v>0</v>
      </c>
      <c r="AM144" s="130"/>
      <c r="AN144" s="403"/>
      <c r="AO144" s="24"/>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row>
    <row r="145" spans="1:116" ht="18.75">
      <c r="A145" s="371"/>
      <c r="B145" s="61"/>
      <c r="C145" s="68"/>
      <c r="D145" s="149"/>
      <c r="E145" s="149"/>
      <c r="F145" s="149"/>
      <c r="G145" s="149"/>
      <c r="H145" s="149"/>
      <c r="I145" s="149"/>
      <c r="J145" s="149"/>
      <c r="K145" s="149"/>
      <c r="L145" s="149"/>
      <c r="M145" s="149"/>
      <c r="N145" s="149"/>
      <c r="O145" s="149"/>
      <c r="P145" s="149">
        <f>+M142</f>
        <v>290.30171167367996</v>
      </c>
      <c r="Q145" s="149">
        <f>+N142</f>
        <v>290.30171167367996</v>
      </c>
      <c r="R145" s="149">
        <f t="shared" si="173"/>
        <v>290.30171167367996</v>
      </c>
      <c r="S145" s="149">
        <f t="shared" si="174"/>
        <v>290.30171167367996</v>
      </c>
      <c r="T145" s="149">
        <f t="shared" si="175"/>
        <v>290.30171167367996</v>
      </c>
      <c r="U145" s="149">
        <f t="shared" si="176"/>
        <v>290.30171167367996</v>
      </c>
      <c r="V145" s="149">
        <f t="shared" si="177"/>
        <v>290.30171167367996</v>
      </c>
      <c r="W145" s="149">
        <f t="shared" si="178"/>
        <v>290.30171167367996</v>
      </c>
      <c r="X145" s="149">
        <f t="shared" si="179"/>
        <v>290.30171167367996</v>
      </c>
      <c r="Y145" s="149">
        <f t="shared" si="180"/>
        <v>290.30171167367996</v>
      </c>
      <c r="Z145" s="149">
        <f t="shared" si="181"/>
        <v>0</v>
      </c>
      <c r="AA145" s="149">
        <f t="shared" si="194"/>
        <v>0</v>
      </c>
      <c r="AB145" s="149">
        <f t="shared" si="183"/>
        <v>0</v>
      </c>
      <c r="AC145" s="149">
        <f t="shared" si="184"/>
        <v>0</v>
      </c>
      <c r="AD145" s="149">
        <f t="shared" si="185"/>
        <v>0</v>
      </c>
      <c r="AE145" s="149">
        <f t="shared" si="186"/>
        <v>0</v>
      </c>
      <c r="AF145" s="149">
        <f t="shared" si="187"/>
        <v>0</v>
      </c>
      <c r="AG145" s="149">
        <f t="shared" si="188"/>
        <v>0</v>
      </c>
      <c r="AH145" s="149">
        <f t="shared" si="189"/>
        <v>0</v>
      </c>
      <c r="AI145" s="149">
        <f t="shared" si="195"/>
        <v>0</v>
      </c>
      <c r="AJ145" s="149">
        <f t="shared" si="191"/>
        <v>0</v>
      </c>
      <c r="AK145" s="149">
        <f t="shared" si="192"/>
        <v>0</v>
      </c>
      <c r="AL145" s="149">
        <f t="shared" si="193"/>
        <v>0</v>
      </c>
      <c r="AM145" s="130"/>
      <c r="AN145" s="403"/>
      <c r="AO145" s="24"/>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row>
    <row r="146" spans="1:116" ht="18.75">
      <c r="A146" s="371"/>
      <c r="B146" s="61"/>
      <c r="C146" s="68"/>
      <c r="D146" s="149"/>
      <c r="E146" s="149"/>
      <c r="F146" s="149"/>
      <c r="G146" s="149"/>
      <c r="H146" s="149"/>
      <c r="I146" s="149"/>
      <c r="J146" s="149"/>
      <c r="K146" s="149"/>
      <c r="L146" s="149"/>
      <c r="M146" s="149"/>
      <c r="N146" s="149"/>
      <c r="O146" s="149"/>
      <c r="P146" s="149"/>
      <c r="Q146" s="149">
        <f>+N143</f>
        <v>290.30171167367996</v>
      </c>
      <c r="R146" s="149">
        <f t="shared" si="173"/>
        <v>290.30171167367996</v>
      </c>
      <c r="S146" s="149">
        <f t="shared" si="174"/>
        <v>290.30171167367996</v>
      </c>
      <c r="T146" s="149">
        <f t="shared" si="175"/>
        <v>290.30171167367996</v>
      </c>
      <c r="U146" s="149">
        <f t="shared" si="176"/>
        <v>290.30171167367996</v>
      </c>
      <c r="V146" s="149">
        <f t="shared" si="177"/>
        <v>290.30171167367996</v>
      </c>
      <c r="W146" s="149">
        <f t="shared" si="178"/>
        <v>290.30171167367996</v>
      </c>
      <c r="X146" s="149">
        <f t="shared" si="179"/>
        <v>290.30171167367996</v>
      </c>
      <c r="Y146" s="149">
        <f t="shared" si="180"/>
        <v>290.30171167367996</v>
      </c>
      <c r="Z146" s="149">
        <f t="shared" si="181"/>
        <v>290.30171167367996</v>
      </c>
      <c r="AA146" s="149">
        <f t="shared" si="194"/>
        <v>0</v>
      </c>
      <c r="AB146" s="149">
        <f t="shared" si="183"/>
        <v>0</v>
      </c>
      <c r="AC146" s="149">
        <f t="shared" si="184"/>
        <v>0</v>
      </c>
      <c r="AD146" s="149">
        <f t="shared" si="185"/>
        <v>0</v>
      </c>
      <c r="AE146" s="149">
        <f t="shared" si="186"/>
        <v>0</v>
      </c>
      <c r="AF146" s="149">
        <f t="shared" si="187"/>
        <v>0</v>
      </c>
      <c r="AG146" s="149">
        <f t="shared" si="188"/>
        <v>0</v>
      </c>
      <c r="AH146" s="149">
        <f t="shared" si="189"/>
        <v>0</v>
      </c>
      <c r="AI146" s="149">
        <f t="shared" si="195"/>
        <v>0</v>
      </c>
      <c r="AJ146" s="149">
        <f t="shared" si="191"/>
        <v>0</v>
      </c>
      <c r="AK146" s="149">
        <f t="shared" si="192"/>
        <v>0</v>
      </c>
      <c r="AL146" s="149">
        <f t="shared" si="193"/>
        <v>0</v>
      </c>
      <c r="AM146" s="130"/>
      <c r="AN146" s="403"/>
      <c r="AO146" s="24"/>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row>
    <row r="147" spans="1:116" ht="18.75">
      <c r="A147" s="371"/>
      <c r="B147" s="61"/>
      <c r="C147" s="68"/>
      <c r="D147" s="149"/>
      <c r="E147" s="149"/>
      <c r="F147" s="149"/>
      <c r="G147" s="149"/>
      <c r="H147" s="149"/>
      <c r="I147" s="149"/>
      <c r="J147" s="149"/>
      <c r="K147" s="149"/>
      <c r="L147" s="149"/>
      <c r="M147" s="149"/>
      <c r="N147" s="149"/>
      <c r="O147" s="149"/>
      <c r="P147" s="149"/>
      <c r="Q147" s="149"/>
      <c r="R147" s="149">
        <f>+O144</f>
        <v>290.30171167367996</v>
      </c>
      <c r="S147" s="149">
        <f t="shared" si="174"/>
        <v>290.30171167367996</v>
      </c>
      <c r="T147" s="149">
        <f t="shared" si="175"/>
        <v>290.30171167367996</v>
      </c>
      <c r="U147" s="149">
        <f t="shared" si="176"/>
        <v>290.30171167367996</v>
      </c>
      <c r="V147" s="149">
        <f t="shared" si="177"/>
        <v>290.30171167367996</v>
      </c>
      <c r="W147" s="149">
        <f t="shared" si="178"/>
        <v>290.30171167367996</v>
      </c>
      <c r="X147" s="149">
        <f t="shared" si="179"/>
        <v>290.30171167367996</v>
      </c>
      <c r="Y147" s="149">
        <f t="shared" si="180"/>
        <v>290.30171167367996</v>
      </c>
      <c r="Z147" s="149">
        <f t="shared" si="181"/>
        <v>290.30171167367996</v>
      </c>
      <c r="AA147" s="149">
        <f t="shared" si="194"/>
        <v>290.30171167367996</v>
      </c>
      <c r="AB147" s="149">
        <f t="shared" si="183"/>
        <v>0</v>
      </c>
      <c r="AC147" s="149">
        <f t="shared" si="184"/>
        <v>0</v>
      </c>
      <c r="AD147" s="149">
        <f t="shared" si="185"/>
        <v>0</v>
      </c>
      <c r="AE147" s="149">
        <f t="shared" si="186"/>
        <v>0</v>
      </c>
      <c r="AF147" s="149">
        <f t="shared" si="187"/>
        <v>0</v>
      </c>
      <c r="AG147" s="149">
        <f t="shared" si="188"/>
        <v>0</v>
      </c>
      <c r="AH147" s="149">
        <f t="shared" si="189"/>
        <v>0</v>
      </c>
      <c r="AI147" s="149">
        <f t="shared" si="195"/>
        <v>0</v>
      </c>
      <c r="AJ147" s="149">
        <f t="shared" si="191"/>
        <v>0</v>
      </c>
      <c r="AK147" s="149">
        <f t="shared" si="192"/>
        <v>0</v>
      </c>
      <c r="AL147" s="149">
        <f t="shared" si="193"/>
        <v>0</v>
      </c>
      <c r="AM147" s="130"/>
      <c r="AN147" s="403"/>
      <c r="AO147" s="24"/>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row>
    <row r="148" spans="1:116" ht="18.75">
      <c r="A148" s="371"/>
      <c r="B148" s="61"/>
      <c r="C148" s="68"/>
      <c r="D148" s="149"/>
      <c r="E148" s="149"/>
      <c r="F148" s="149"/>
      <c r="G148" s="149"/>
      <c r="H148" s="149"/>
      <c r="I148" s="149"/>
      <c r="J148" s="149"/>
      <c r="K148" s="149"/>
      <c r="L148" s="149"/>
      <c r="M148" s="149"/>
      <c r="N148" s="149"/>
      <c r="O148" s="149"/>
      <c r="P148" s="149"/>
      <c r="Q148" s="149"/>
      <c r="R148" s="149"/>
      <c r="S148" s="149">
        <f>+P145</f>
        <v>290.30171167367996</v>
      </c>
      <c r="T148" s="149">
        <f t="shared" si="175"/>
        <v>290.30171167367996</v>
      </c>
      <c r="U148" s="149">
        <f t="shared" si="176"/>
        <v>290.30171167367996</v>
      </c>
      <c r="V148" s="149">
        <f t="shared" si="177"/>
        <v>290.30171167367996</v>
      </c>
      <c r="W148" s="149">
        <f t="shared" si="178"/>
        <v>290.30171167367996</v>
      </c>
      <c r="X148" s="149">
        <f t="shared" si="179"/>
        <v>290.30171167367996</v>
      </c>
      <c r="Y148" s="149">
        <f t="shared" si="180"/>
        <v>290.30171167367996</v>
      </c>
      <c r="Z148" s="149">
        <f t="shared" si="181"/>
        <v>290.30171167367996</v>
      </c>
      <c r="AA148" s="149">
        <f t="shared" si="194"/>
        <v>290.30171167367996</v>
      </c>
      <c r="AB148" s="149">
        <f t="shared" si="183"/>
        <v>290.30171167367996</v>
      </c>
      <c r="AC148" s="149">
        <f t="shared" si="184"/>
        <v>0</v>
      </c>
      <c r="AD148" s="149">
        <f t="shared" si="185"/>
        <v>0</v>
      </c>
      <c r="AE148" s="149">
        <f t="shared" si="186"/>
        <v>0</v>
      </c>
      <c r="AF148" s="149">
        <f t="shared" si="187"/>
        <v>0</v>
      </c>
      <c r="AG148" s="149">
        <f t="shared" si="188"/>
        <v>0</v>
      </c>
      <c r="AH148" s="149">
        <f t="shared" si="189"/>
        <v>0</v>
      </c>
      <c r="AI148" s="149">
        <f t="shared" si="195"/>
        <v>0</v>
      </c>
      <c r="AJ148" s="149">
        <f t="shared" si="191"/>
        <v>0</v>
      </c>
      <c r="AK148" s="149">
        <f t="shared" si="192"/>
        <v>0</v>
      </c>
      <c r="AL148" s="149">
        <f t="shared" si="193"/>
        <v>0</v>
      </c>
      <c r="AM148" s="130"/>
      <c r="AN148" s="403"/>
      <c r="AO148" s="24"/>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row>
    <row r="149" spans="1:116" ht="18.75">
      <c r="A149" s="371"/>
      <c r="B149" s="61"/>
      <c r="C149" s="68"/>
      <c r="D149" s="149"/>
      <c r="E149" s="149"/>
      <c r="F149" s="149"/>
      <c r="G149" s="149"/>
      <c r="H149" s="149"/>
      <c r="I149" s="149"/>
      <c r="J149" s="149"/>
      <c r="K149" s="149"/>
      <c r="L149" s="149"/>
      <c r="M149" s="149"/>
      <c r="N149" s="149"/>
      <c r="O149" s="149"/>
      <c r="P149" s="149"/>
      <c r="Q149" s="149"/>
      <c r="R149" s="149"/>
      <c r="S149" s="149"/>
      <c r="T149" s="149">
        <f>+Q146</f>
        <v>290.30171167367996</v>
      </c>
      <c r="U149" s="149">
        <f t="shared" si="176"/>
        <v>290.30171167367996</v>
      </c>
      <c r="V149" s="149">
        <f t="shared" si="177"/>
        <v>290.30171167367996</v>
      </c>
      <c r="W149" s="149">
        <f t="shared" si="178"/>
        <v>290.30171167367996</v>
      </c>
      <c r="X149" s="149">
        <f t="shared" si="179"/>
        <v>290.30171167367996</v>
      </c>
      <c r="Y149" s="149">
        <f t="shared" si="180"/>
        <v>290.30171167367996</v>
      </c>
      <c r="Z149" s="149">
        <f t="shared" si="181"/>
        <v>290.30171167367996</v>
      </c>
      <c r="AA149" s="149">
        <f t="shared" si="194"/>
        <v>290.30171167367996</v>
      </c>
      <c r="AB149" s="149">
        <f t="shared" si="183"/>
        <v>290.30171167367996</v>
      </c>
      <c r="AC149" s="149">
        <f t="shared" si="184"/>
        <v>290.30171167367996</v>
      </c>
      <c r="AD149" s="149">
        <f t="shared" si="185"/>
        <v>0</v>
      </c>
      <c r="AE149" s="149">
        <f t="shared" si="186"/>
        <v>0</v>
      </c>
      <c r="AF149" s="149">
        <f t="shared" si="187"/>
        <v>0</v>
      </c>
      <c r="AG149" s="149">
        <f t="shared" si="188"/>
        <v>0</v>
      </c>
      <c r="AH149" s="149">
        <f t="shared" si="189"/>
        <v>0</v>
      </c>
      <c r="AI149" s="149">
        <f t="shared" si="195"/>
        <v>0</v>
      </c>
      <c r="AJ149" s="149">
        <f t="shared" si="191"/>
        <v>0</v>
      </c>
      <c r="AK149" s="149">
        <f t="shared" si="192"/>
        <v>0</v>
      </c>
      <c r="AL149" s="149">
        <f t="shared" si="193"/>
        <v>0</v>
      </c>
      <c r="AM149" s="130"/>
      <c r="AN149" s="403"/>
      <c r="AO149" s="24"/>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row>
    <row r="150" spans="1:116" ht="18.75">
      <c r="A150" s="371"/>
      <c r="B150" s="61"/>
      <c r="C150" s="68"/>
      <c r="D150" s="149"/>
      <c r="E150" s="149"/>
      <c r="F150" s="149"/>
      <c r="G150" s="149"/>
      <c r="H150" s="149"/>
      <c r="I150" s="149"/>
      <c r="J150" s="149"/>
      <c r="K150" s="149"/>
      <c r="L150" s="149"/>
      <c r="M150" s="149"/>
      <c r="N150" s="149"/>
      <c r="O150" s="149"/>
      <c r="P150" s="149"/>
      <c r="Q150" s="149"/>
      <c r="R150" s="149"/>
      <c r="S150" s="149"/>
      <c r="T150" s="149"/>
      <c r="U150" s="149">
        <f>+R147</f>
        <v>290.30171167367996</v>
      </c>
      <c r="V150" s="149">
        <f t="shared" si="177"/>
        <v>290.30171167367996</v>
      </c>
      <c r="W150" s="149">
        <f t="shared" si="178"/>
        <v>290.30171167367996</v>
      </c>
      <c r="X150" s="149">
        <f t="shared" si="179"/>
        <v>290.30171167367996</v>
      </c>
      <c r="Y150" s="149">
        <f t="shared" si="180"/>
        <v>290.30171167367996</v>
      </c>
      <c r="Z150" s="149">
        <f t="shared" si="181"/>
        <v>290.30171167367996</v>
      </c>
      <c r="AA150" s="149">
        <f t="shared" si="194"/>
        <v>290.30171167367996</v>
      </c>
      <c r="AB150" s="149">
        <f t="shared" si="183"/>
        <v>290.30171167367996</v>
      </c>
      <c r="AC150" s="149">
        <f t="shared" si="184"/>
        <v>290.30171167367996</v>
      </c>
      <c r="AD150" s="149">
        <f t="shared" si="185"/>
        <v>290.30171167367996</v>
      </c>
      <c r="AE150" s="149">
        <f t="shared" si="186"/>
        <v>0</v>
      </c>
      <c r="AF150" s="149">
        <f t="shared" si="187"/>
        <v>0</v>
      </c>
      <c r="AG150" s="149">
        <f t="shared" si="188"/>
        <v>0</v>
      </c>
      <c r="AH150" s="149">
        <f t="shared" si="189"/>
        <v>0</v>
      </c>
      <c r="AI150" s="149">
        <f t="shared" si="195"/>
        <v>0</v>
      </c>
      <c r="AJ150" s="149">
        <f t="shared" si="191"/>
        <v>0</v>
      </c>
      <c r="AK150" s="149">
        <f t="shared" si="192"/>
        <v>0</v>
      </c>
      <c r="AL150" s="149">
        <f t="shared" si="193"/>
        <v>0</v>
      </c>
      <c r="AM150" s="130"/>
      <c r="AN150" s="403"/>
      <c r="AO150" s="24"/>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row>
    <row r="151" spans="1:116" ht="18.75">
      <c r="A151" s="371"/>
      <c r="B151" s="61"/>
      <c r="C151" s="68"/>
      <c r="D151" s="149"/>
      <c r="E151" s="149"/>
      <c r="F151" s="149"/>
      <c r="G151" s="149"/>
      <c r="H151" s="149"/>
      <c r="I151" s="149"/>
      <c r="J151" s="149"/>
      <c r="K151" s="149"/>
      <c r="L151" s="149"/>
      <c r="M151" s="149"/>
      <c r="N151" s="149"/>
      <c r="O151" s="149"/>
      <c r="P151" s="149"/>
      <c r="Q151" s="149"/>
      <c r="R151" s="149"/>
      <c r="S151" s="149"/>
      <c r="T151" s="149"/>
      <c r="U151" s="149"/>
      <c r="V151" s="149">
        <f>+S148</f>
        <v>290.30171167367996</v>
      </c>
      <c r="W151" s="149">
        <f>+T148</f>
        <v>290.30171167367996</v>
      </c>
      <c r="X151" s="149">
        <f t="shared" si="179"/>
        <v>290.30171167367996</v>
      </c>
      <c r="Y151" s="149">
        <f t="shared" si="180"/>
        <v>290.30171167367996</v>
      </c>
      <c r="Z151" s="149">
        <f t="shared" si="181"/>
        <v>290.30171167367996</v>
      </c>
      <c r="AA151" s="149">
        <f t="shared" si="194"/>
        <v>290.30171167367996</v>
      </c>
      <c r="AB151" s="149">
        <f t="shared" si="183"/>
        <v>290.30171167367996</v>
      </c>
      <c r="AC151" s="149">
        <f t="shared" si="184"/>
        <v>290.30171167367996</v>
      </c>
      <c r="AD151" s="149">
        <f t="shared" si="185"/>
        <v>290.30171167367996</v>
      </c>
      <c r="AE151" s="149">
        <f t="shared" si="186"/>
        <v>290.30171167367996</v>
      </c>
      <c r="AF151" s="149">
        <f t="shared" si="187"/>
        <v>0</v>
      </c>
      <c r="AG151" s="149">
        <f t="shared" si="188"/>
        <v>0</v>
      </c>
      <c r="AH151" s="149">
        <f t="shared" si="189"/>
        <v>0</v>
      </c>
      <c r="AI151" s="149">
        <f t="shared" si="195"/>
        <v>0</v>
      </c>
      <c r="AJ151" s="149">
        <f t="shared" si="191"/>
        <v>0</v>
      </c>
      <c r="AK151" s="149">
        <f t="shared" si="192"/>
        <v>0</v>
      </c>
      <c r="AL151" s="149">
        <f t="shared" si="193"/>
        <v>0</v>
      </c>
      <c r="AM151" s="130"/>
      <c r="AN151" s="403"/>
      <c r="AO151" s="24"/>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row>
    <row r="152" spans="1:116" ht="18.75">
      <c r="A152" s="371"/>
      <c r="B152" s="61"/>
      <c r="C152" s="68"/>
      <c r="D152" s="149"/>
      <c r="E152" s="149"/>
      <c r="F152" s="149"/>
      <c r="G152" s="149"/>
      <c r="H152" s="149"/>
      <c r="I152" s="149"/>
      <c r="J152" s="149"/>
      <c r="K152" s="149"/>
      <c r="L152" s="149"/>
      <c r="M152" s="149"/>
      <c r="N152" s="149"/>
      <c r="O152" s="149"/>
      <c r="P152" s="149"/>
      <c r="Q152" s="149"/>
      <c r="R152" s="149"/>
      <c r="S152" s="149"/>
      <c r="T152" s="149"/>
      <c r="U152" s="149"/>
      <c r="V152" s="149"/>
      <c r="W152" s="149">
        <f>+T149</f>
        <v>290.30171167367996</v>
      </c>
      <c r="X152" s="149">
        <f t="shared" si="179"/>
        <v>290.30171167367996</v>
      </c>
      <c r="Y152" s="149">
        <f t="shared" si="180"/>
        <v>290.30171167367996</v>
      </c>
      <c r="Z152" s="149">
        <f t="shared" si="181"/>
        <v>290.30171167367996</v>
      </c>
      <c r="AA152" s="149">
        <f t="shared" si="194"/>
        <v>290.30171167367996</v>
      </c>
      <c r="AB152" s="149">
        <f t="shared" si="183"/>
        <v>290.30171167367996</v>
      </c>
      <c r="AC152" s="149">
        <f t="shared" si="184"/>
        <v>290.30171167367996</v>
      </c>
      <c r="AD152" s="149">
        <f t="shared" si="185"/>
        <v>290.30171167367996</v>
      </c>
      <c r="AE152" s="149">
        <f t="shared" si="186"/>
        <v>290.30171167367996</v>
      </c>
      <c r="AF152" s="149">
        <f t="shared" si="187"/>
        <v>290.30171167367996</v>
      </c>
      <c r="AG152" s="149">
        <f t="shared" si="188"/>
        <v>0</v>
      </c>
      <c r="AH152" s="149">
        <f t="shared" si="189"/>
        <v>0</v>
      </c>
      <c r="AI152" s="149">
        <f t="shared" si="195"/>
        <v>0</v>
      </c>
      <c r="AJ152" s="149">
        <f t="shared" si="191"/>
        <v>0</v>
      </c>
      <c r="AK152" s="149">
        <f t="shared" si="192"/>
        <v>0</v>
      </c>
      <c r="AL152" s="149">
        <f t="shared" si="193"/>
        <v>0</v>
      </c>
      <c r="AM152" s="130"/>
      <c r="AN152" s="403"/>
      <c r="AO152" s="24"/>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row>
    <row r="153" spans="1:116" ht="18.75">
      <c r="A153" s="413"/>
      <c r="B153" s="61"/>
      <c r="C153" s="70"/>
      <c r="D153" s="280">
        <f>SUM(D133:D152)*$D$167</f>
        <v>290.30171167367996</v>
      </c>
      <c r="E153" s="280">
        <f aca="true" t="shared" si="196" ref="E153:AL153">SUM(E133:E152)*$D$167</f>
        <v>580.6034233473599</v>
      </c>
      <c r="F153" s="280">
        <f t="shared" si="196"/>
        <v>870.9051350210399</v>
      </c>
      <c r="G153" s="280">
        <f t="shared" si="196"/>
        <v>1161.2068466947198</v>
      </c>
      <c r="H153" s="280">
        <f t="shared" si="196"/>
        <v>1451.5085583684</v>
      </c>
      <c r="I153" s="280">
        <f t="shared" si="196"/>
        <v>1741.81027004208</v>
      </c>
      <c r="J153" s="280">
        <f t="shared" si="196"/>
        <v>2032.11198171576</v>
      </c>
      <c r="K153" s="280">
        <f t="shared" si="196"/>
        <v>2322.41369338944</v>
      </c>
      <c r="L153" s="280">
        <f t="shared" si="196"/>
        <v>2612.71540506312</v>
      </c>
      <c r="M153" s="280">
        <f t="shared" si="196"/>
        <v>2903.0171167368003</v>
      </c>
      <c r="N153" s="280">
        <f t="shared" si="196"/>
        <v>2903.0171167368003</v>
      </c>
      <c r="O153" s="280">
        <f t="shared" si="196"/>
        <v>2903.0171167368003</v>
      </c>
      <c r="P153" s="280">
        <f t="shared" si="196"/>
        <v>2903.0171167368003</v>
      </c>
      <c r="Q153" s="280">
        <f t="shared" si="196"/>
        <v>2903.0171167368003</v>
      </c>
      <c r="R153" s="280">
        <f t="shared" si="196"/>
        <v>2903.0171167368003</v>
      </c>
      <c r="S153" s="280">
        <f t="shared" si="196"/>
        <v>2903.0171167368003</v>
      </c>
      <c r="T153" s="280">
        <f t="shared" si="196"/>
        <v>2903.0171167368003</v>
      </c>
      <c r="U153" s="280">
        <f t="shared" si="196"/>
        <v>2903.0171167368003</v>
      </c>
      <c r="V153" s="280">
        <f t="shared" si="196"/>
        <v>2903.0171167368003</v>
      </c>
      <c r="W153" s="280">
        <f t="shared" si="196"/>
        <v>2903.0171167368003</v>
      </c>
      <c r="X153" s="280">
        <f t="shared" si="196"/>
        <v>2612.71540506312</v>
      </c>
      <c r="Y153" s="280">
        <f t="shared" si="196"/>
        <v>2322.41369338944</v>
      </c>
      <c r="Z153" s="280">
        <f t="shared" si="196"/>
        <v>2032.11198171576</v>
      </c>
      <c r="AA153" s="280">
        <f t="shared" si="196"/>
        <v>1741.81027004208</v>
      </c>
      <c r="AB153" s="280">
        <f t="shared" si="196"/>
        <v>1451.5085583684</v>
      </c>
      <c r="AC153" s="280">
        <f t="shared" si="196"/>
        <v>1161.2068466947198</v>
      </c>
      <c r="AD153" s="280">
        <f t="shared" si="196"/>
        <v>870.9051350210399</v>
      </c>
      <c r="AE153" s="280">
        <f t="shared" si="196"/>
        <v>580.6034233473599</v>
      </c>
      <c r="AF153" s="280">
        <f t="shared" si="196"/>
        <v>290.30171167367996</v>
      </c>
      <c r="AG153" s="280">
        <f t="shared" si="196"/>
        <v>0</v>
      </c>
      <c r="AH153" s="280">
        <f t="shared" si="196"/>
        <v>0</v>
      </c>
      <c r="AI153" s="280">
        <f t="shared" si="196"/>
        <v>0</v>
      </c>
      <c r="AJ153" s="280">
        <f t="shared" si="196"/>
        <v>0</v>
      </c>
      <c r="AK153" s="280">
        <f t="shared" si="196"/>
        <v>0</v>
      </c>
      <c r="AL153" s="280">
        <f t="shared" si="196"/>
        <v>0</v>
      </c>
      <c r="AM153" s="130"/>
      <c r="AN153" s="403"/>
      <c r="AO153" s="24"/>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row>
    <row r="154" spans="1:116" ht="18.75">
      <c r="A154" s="371"/>
      <c r="B154" s="61"/>
      <c r="C154" s="68"/>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403"/>
      <c r="AO154" s="24"/>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row>
    <row r="155" spans="1:116" ht="18.75">
      <c r="A155" s="371"/>
      <c r="B155" s="61"/>
      <c r="C155" s="70" t="s">
        <v>20</v>
      </c>
      <c r="D155" s="130">
        <f>(+(Projects!D11*'Project Cost'!D13+Projects!E11*'Project Cost'!E13+Projects!F11*'Project Cost'!F13)*9100/1000000)*D167</f>
        <v>14749.3164</v>
      </c>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403"/>
      <c r="AO155" s="24"/>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row>
    <row r="156" spans="1:116" ht="18.75">
      <c r="A156" s="371"/>
      <c r="B156" s="61"/>
      <c r="C156" s="151" t="s">
        <v>21</v>
      </c>
      <c r="D156" s="130">
        <f>+D106-D130-D153-D155</f>
        <v>-15291.674978809104</v>
      </c>
      <c r="E156" s="130">
        <f aca="true" t="shared" si="197" ref="E156:AL156">+E106-E130-E153-E155</f>
        <v>-1068.5283125152318</v>
      </c>
      <c r="F156" s="130">
        <f t="shared" si="197"/>
        <v>-978.9359813200161</v>
      </c>
      <c r="G156" s="130">
        <f t="shared" si="197"/>
        <v>-875.6158033010656</v>
      </c>
      <c r="H156" s="130">
        <f t="shared" si="197"/>
        <v>356.66294679908424</v>
      </c>
      <c r="I156" s="130">
        <f t="shared" si="197"/>
        <v>1663.4497190364282</v>
      </c>
      <c r="J156" s="130">
        <f t="shared" si="197"/>
        <v>2973.985495461196</v>
      </c>
      <c r="K156" s="130">
        <f t="shared" si="197"/>
        <v>4288.270276073388</v>
      </c>
      <c r="L156" s="130">
        <f t="shared" si="197"/>
        <v>5606.304060873006</v>
      </c>
      <c r="M156" s="130">
        <f t="shared" si="197"/>
        <v>12145.182178967356</v>
      </c>
      <c r="N156" s="130">
        <f t="shared" si="197"/>
        <v>19263.035331167026</v>
      </c>
      <c r="O156" s="130">
        <f t="shared" si="197"/>
        <v>26380.888483366703</v>
      </c>
      <c r="P156" s="130">
        <f t="shared" si="197"/>
        <v>33498.74163556638</v>
      </c>
      <c r="Q156" s="130">
        <f t="shared" si="197"/>
        <v>40616.59478776605</v>
      </c>
      <c r="R156" s="130">
        <f t="shared" si="197"/>
        <v>48885.47354508274</v>
      </c>
      <c r="S156" s="130">
        <f t="shared" si="197"/>
        <v>57154.35230239943</v>
      </c>
      <c r="T156" s="130">
        <f t="shared" si="197"/>
        <v>65423.23105971609</v>
      </c>
      <c r="U156" s="130">
        <f t="shared" si="197"/>
        <v>73692.10981703278</v>
      </c>
      <c r="V156" s="130">
        <f t="shared" si="197"/>
        <v>81960.98857434948</v>
      </c>
      <c r="W156" s="130">
        <f t="shared" si="197"/>
        <v>92626.2063029909</v>
      </c>
      <c r="X156" s="130">
        <f t="shared" si="197"/>
        <v>104076.8209543222</v>
      </c>
      <c r="Y156" s="130">
        <f t="shared" si="197"/>
        <v>115211.46015065134</v>
      </c>
      <c r="Z156" s="130">
        <f t="shared" si="197"/>
        <v>126031.35439111794</v>
      </c>
      <c r="AA156" s="130">
        <f t="shared" si="197"/>
        <v>135548.80372776155</v>
      </c>
      <c r="AB156" s="130">
        <f t="shared" si="197"/>
        <v>147333.6758509284</v>
      </c>
      <c r="AC156" s="130">
        <f t="shared" si="197"/>
        <v>159071.49564560555</v>
      </c>
      <c r="AD156" s="130">
        <f t="shared" si="197"/>
        <v>170805.56643609525</v>
      </c>
      <c r="AE156" s="130">
        <f t="shared" si="197"/>
        <v>182535.88822239754</v>
      </c>
      <c r="AF156" s="130">
        <f t="shared" si="197"/>
        <v>189041.61667121766</v>
      </c>
      <c r="AG156" s="130">
        <f t="shared" si="197"/>
        <v>200682.907467961</v>
      </c>
      <c r="AH156" s="130">
        <f t="shared" si="197"/>
        <v>211745.22323059902</v>
      </c>
      <c r="AI156" s="130">
        <f t="shared" si="197"/>
        <v>222807.53899323705</v>
      </c>
      <c r="AJ156" s="130">
        <f t="shared" si="197"/>
        <v>233869.85475587507</v>
      </c>
      <c r="AK156" s="130">
        <f t="shared" si="197"/>
        <v>243781.1449133961</v>
      </c>
      <c r="AL156" s="130">
        <f t="shared" si="197"/>
        <v>253692.43507091707</v>
      </c>
      <c r="AM156" s="127"/>
      <c r="AN156" s="403"/>
      <c r="AO156" s="24"/>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row>
    <row r="157" spans="1:116" ht="18.75">
      <c r="A157" s="371"/>
      <c r="B157" s="61"/>
      <c r="C157" s="70"/>
      <c r="D157" s="130"/>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403"/>
      <c r="AO157" s="24"/>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row>
    <row r="158" spans="1:116" ht="18.75">
      <c r="A158" s="371"/>
      <c r="B158" s="61" t="s">
        <v>31</v>
      </c>
      <c r="C158" s="126"/>
      <c r="D158" s="131">
        <f>+D106-D130-D153-D155</f>
        <v>-15291.674978809104</v>
      </c>
      <c r="E158" s="131">
        <f>+E106-E130-E153-E155</f>
        <v>-1068.5283125152318</v>
      </c>
      <c r="F158" s="131">
        <f>+F106-F130-F153-F155</f>
        <v>-978.9359813200161</v>
      </c>
      <c r="G158" s="131">
        <f aca="true" t="shared" si="198" ref="G158:AL158">+G106-G130-G153-G155</f>
        <v>-875.6158033010656</v>
      </c>
      <c r="H158" s="131">
        <f t="shared" si="198"/>
        <v>356.66294679908424</v>
      </c>
      <c r="I158" s="131">
        <f t="shared" si="198"/>
        <v>1663.4497190364282</v>
      </c>
      <c r="J158" s="131">
        <f t="shared" si="198"/>
        <v>2973.985495461196</v>
      </c>
      <c r="K158" s="131">
        <f t="shared" si="198"/>
        <v>4288.270276073388</v>
      </c>
      <c r="L158" s="131">
        <f t="shared" si="198"/>
        <v>5606.304060873006</v>
      </c>
      <c r="M158" s="131">
        <f t="shared" si="198"/>
        <v>12145.182178967356</v>
      </c>
      <c r="N158" s="131">
        <f t="shared" si="198"/>
        <v>19263.035331167026</v>
      </c>
      <c r="O158" s="131">
        <f t="shared" si="198"/>
        <v>26380.888483366703</v>
      </c>
      <c r="P158" s="131">
        <f t="shared" si="198"/>
        <v>33498.74163556638</v>
      </c>
      <c r="Q158" s="131">
        <f t="shared" si="198"/>
        <v>40616.59478776605</v>
      </c>
      <c r="R158" s="131">
        <f t="shared" si="198"/>
        <v>48885.47354508274</v>
      </c>
      <c r="S158" s="131">
        <f t="shared" si="198"/>
        <v>57154.35230239943</v>
      </c>
      <c r="T158" s="131">
        <f t="shared" si="198"/>
        <v>65423.23105971609</v>
      </c>
      <c r="U158" s="131">
        <f t="shared" si="198"/>
        <v>73692.10981703278</v>
      </c>
      <c r="V158" s="131">
        <f t="shared" si="198"/>
        <v>81960.98857434948</v>
      </c>
      <c r="W158" s="131">
        <f t="shared" si="198"/>
        <v>92626.2063029909</v>
      </c>
      <c r="X158" s="131">
        <f t="shared" si="198"/>
        <v>104076.8209543222</v>
      </c>
      <c r="Y158" s="131">
        <f t="shared" si="198"/>
        <v>115211.46015065134</v>
      </c>
      <c r="Z158" s="131">
        <f t="shared" si="198"/>
        <v>126031.35439111794</v>
      </c>
      <c r="AA158" s="131">
        <f t="shared" si="198"/>
        <v>135548.80372776155</v>
      </c>
      <c r="AB158" s="131">
        <f t="shared" si="198"/>
        <v>147333.6758509284</v>
      </c>
      <c r="AC158" s="131">
        <f t="shared" si="198"/>
        <v>159071.49564560555</v>
      </c>
      <c r="AD158" s="131">
        <f t="shared" si="198"/>
        <v>170805.56643609525</v>
      </c>
      <c r="AE158" s="131">
        <f t="shared" si="198"/>
        <v>182535.88822239754</v>
      </c>
      <c r="AF158" s="131">
        <f t="shared" si="198"/>
        <v>189041.61667121766</v>
      </c>
      <c r="AG158" s="131">
        <f t="shared" si="198"/>
        <v>200682.907467961</v>
      </c>
      <c r="AH158" s="131">
        <f t="shared" si="198"/>
        <v>211745.22323059902</v>
      </c>
      <c r="AI158" s="131">
        <f t="shared" si="198"/>
        <v>222807.53899323705</v>
      </c>
      <c r="AJ158" s="131">
        <f t="shared" si="198"/>
        <v>233869.85475587507</v>
      </c>
      <c r="AK158" s="131">
        <f t="shared" si="198"/>
        <v>243781.1449133961</v>
      </c>
      <c r="AL158" s="131">
        <f t="shared" si="198"/>
        <v>253692.43507091707</v>
      </c>
      <c r="AM158" s="131"/>
      <c r="AN158" s="403"/>
      <c r="AO158" s="24"/>
      <c r="AP158" s="50"/>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row>
    <row r="159" spans="1:116" s="75" customFormat="1" ht="18.75">
      <c r="A159" s="406"/>
      <c r="B159" s="61"/>
      <c r="C159" s="70" t="s">
        <v>0</v>
      </c>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407"/>
      <c r="AO159" s="72"/>
      <c r="AP159" s="74"/>
      <c r="AQ159" s="74"/>
      <c r="AR159" s="74"/>
      <c r="AS159" s="74"/>
      <c r="AT159" s="74"/>
      <c r="AU159" s="74"/>
      <c r="AV159" s="74"/>
      <c r="AW159" s="74"/>
      <c r="AX159" s="74"/>
      <c r="AY159" s="74"/>
      <c r="AZ159" s="74"/>
      <c r="BA159" s="74"/>
      <c r="BB159" s="74"/>
      <c r="BC159" s="74"/>
      <c r="BD159" s="74"/>
      <c r="BE159" s="74"/>
      <c r="BF159" s="74"/>
      <c r="BG159" s="74"/>
      <c r="BH159" s="74"/>
      <c r="BI159" s="74"/>
      <c r="BJ159" s="74"/>
      <c r="BK159" s="74"/>
      <c r="BL159" s="74"/>
      <c r="BM159" s="74"/>
      <c r="BN159" s="74"/>
      <c r="BO159" s="74"/>
      <c r="BP159" s="74"/>
      <c r="BQ159" s="74"/>
      <c r="BR159" s="74"/>
      <c r="BS159" s="74"/>
      <c r="BT159" s="74"/>
      <c r="BU159" s="74"/>
      <c r="BV159" s="74"/>
      <c r="BW159" s="74"/>
      <c r="BX159" s="72"/>
      <c r="BY159" s="72"/>
      <c r="BZ159" s="72"/>
      <c r="CA159" s="72"/>
      <c r="CB159" s="72"/>
      <c r="CC159" s="72"/>
      <c r="CD159" s="72"/>
      <c r="CE159" s="72"/>
      <c r="CF159" s="72"/>
      <c r="CG159" s="72"/>
      <c r="CH159" s="72"/>
      <c r="CI159" s="72"/>
      <c r="CJ159" s="72"/>
      <c r="CK159" s="72"/>
      <c r="CL159" s="72"/>
      <c r="CM159" s="72"/>
      <c r="CN159" s="72"/>
      <c r="CO159" s="72"/>
      <c r="CP159" s="72"/>
      <c r="CQ159" s="72"/>
      <c r="CR159" s="72"/>
      <c r="CS159" s="72"/>
      <c r="CT159" s="72"/>
      <c r="CU159" s="72"/>
      <c r="CV159" s="72"/>
      <c r="CW159" s="72"/>
      <c r="CX159" s="72"/>
      <c r="CY159" s="72"/>
      <c r="CZ159" s="72"/>
      <c r="DA159" s="72"/>
      <c r="DB159" s="72"/>
      <c r="DC159" s="72"/>
      <c r="DD159" s="72"/>
      <c r="DE159" s="72"/>
      <c r="DF159" s="72"/>
      <c r="DG159" s="72"/>
      <c r="DH159" s="72"/>
      <c r="DI159" s="72"/>
      <c r="DJ159" s="72"/>
      <c r="DK159" s="72"/>
      <c r="DL159" s="72"/>
    </row>
    <row r="160" spans="1:116" ht="18.75">
      <c r="A160" s="371"/>
      <c r="B160" s="5" t="s">
        <v>33</v>
      </c>
      <c r="C160" s="69"/>
      <c r="D160" s="127">
        <f>IF(AND(D81&gt;0,D158&gt;0),D158-D81,IF(AND(D81&gt;0,D158&lt;0),D158-D81,IF(AND(D81&lt;D377,D158&lt;0),D158-D81,D158-D81)))</f>
        <v>-14793.969056633903</v>
      </c>
      <c r="E160" s="127">
        <f aca="true" t="shared" si="199" ref="E160:AL160">IF(AND(E81&gt;0,E158&gt;0),E158-E81,IF(AND(E81&gt;0,E158&lt;0),E158-E81,IF(AND(E81&lt;E377,E158&lt;0),E158-E81,E158-E81)))</f>
        <v>-89.46446208163127</v>
      </c>
      <c r="F160" s="127">
        <f t="shared" si="199"/>
        <v>-121.91865809710373</v>
      </c>
      <c r="G160" s="127">
        <f t="shared" si="199"/>
        <v>-155.58543892940452</v>
      </c>
      <c r="H160" s="127">
        <f t="shared" si="199"/>
        <v>107.22014492268545</v>
      </c>
      <c r="I160" s="127">
        <f t="shared" si="199"/>
        <v>324.7804449929922</v>
      </c>
      <c r="J160" s="127">
        <f t="shared" si="199"/>
        <v>539.3406965730896</v>
      </c>
      <c r="K160" s="127">
        <f t="shared" si="199"/>
        <v>750.90089966298</v>
      </c>
      <c r="L160" s="127">
        <f t="shared" si="199"/>
        <v>959.4610542626679</v>
      </c>
      <c r="M160" s="127">
        <f t="shared" si="199"/>
        <v>1623.4363568291064</v>
      </c>
      <c r="N160" s="127">
        <f t="shared" si="199"/>
        <v>2068.479356239237</v>
      </c>
      <c r="O160" s="127">
        <f t="shared" si="199"/>
        <v>2513.52235564938</v>
      </c>
      <c r="P160" s="127">
        <f t="shared" si="199"/>
        <v>2958.5653550595307</v>
      </c>
      <c r="Q160" s="127">
        <f t="shared" si="199"/>
        <v>3403.608354469681</v>
      </c>
      <c r="R160" s="127">
        <f t="shared" si="199"/>
        <v>3946.397785837944</v>
      </c>
      <c r="S160" s="127">
        <f t="shared" si="199"/>
        <v>4489.187217206207</v>
      </c>
      <c r="T160" s="127">
        <f t="shared" si="199"/>
        <v>5031.976648574448</v>
      </c>
      <c r="U160" s="127">
        <f t="shared" si="199"/>
        <v>5574.766079942667</v>
      </c>
      <c r="V160" s="127">
        <f t="shared" si="199"/>
        <v>6117.5555113109585</v>
      </c>
      <c r="W160" s="127">
        <f t="shared" si="199"/>
        <v>6464.38842606415</v>
      </c>
      <c r="X160" s="127">
        <f t="shared" si="199"/>
        <v>7098.91234133199</v>
      </c>
      <c r="Y160" s="127">
        <f t="shared" si="199"/>
        <v>7433.808795514487</v>
      </c>
      <c r="Z160" s="127">
        <f t="shared" si="199"/>
        <v>8057.364749303539</v>
      </c>
      <c r="AA160" s="127">
        <f t="shared" si="199"/>
        <v>7393.416230910181</v>
      </c>
      <c r="AB160" s="127">
        <f t="shared" si="199"/>
        <v>7810.3480126187205</v>
      </c>
      <c r="AC160" s="127">
        <f t="shared" si="199"/>
        <v>8299.980771756498</v>
      </c>
      <c r="AD160" s="127">
        <f t="shared" si="199"/>
        <v>8792.613579384517</v>
      </c>
      <c r="AE160" s="127">
        <f t="shared" si="199"/>
        <v>9288.24643550269</v>
      </c>
      <c r="AF160" s="127">
        <f t="shared" si="199"/>
        <v>4566.035006816353</v>
      </c>
      <c r="AG160" s="127">
        <f t="shared" si="199"/>
        <v>4846.607896093745</v>
      </c>
      <c r="AH160" s="127">
        <f t="shared" si="199"/>
        <v>5346.113088527432</v>
      </c>
      <c r="AI160" s="127">
        <f t="shared" si="199"/>
        <v>5845.618280961178</v>
      </c>
      <c r="AJ160" s="127">
        <f t="shared" si="199"/>
        <v>6345.123473394924</v>
      </c>
      <c r="AK160" s="127">
        <f t="shared" si="199"/>
        <v>5693.603060711612</v>
      </c>
      <c r="AL160" s="127">
        <f t="shared" si="199"/>
        <v>6095.361821187136</v>
      </c>
      <c r="AM160" s="132"/>
      <c r="AN160" s="403"/>
      <c r="AO160" s="24"/>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row>
    <row r="161" spans="1:116" ht="18.75">
      <c r="A161" s="371"/>
      <c r="B161" s="5"/>
      <c r="C161" s="69"/>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32"/>
      <c r="AN161" s="403"/>
      <c r="AO161" s="24"/>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row>
    <row r="162" spans="1:116" ht="18.75">
      <c r="A162" s="371"/>
      <c r="B162" s="5" t="s">
        <v>34</v>
      </c>
      <c r="C162" s="69"/>
      <c r="D162" s="350">
        <f>IRR(D160:AL160)</f>
        <v>0.12078378027168984</v>
      </c>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32"/>
      <c r="AN162" s="403"/>
      <c r="AO162" s="24"/>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row>
    <row r="163" spans="1:116" ht="18.75">
      <c r="A163" s="371"/>
      <c r="B163" s="5"/>
      <c r="C163" s="69"/>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32"/>
      <c r="AN163" s="403"/>
      <c r="AO163" s="24"/>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row>
    <row r="164" spans="1:116" ht="19.5" thickBot="1">
      <c r="A164" s="371"/>
      <c r="B164" s="5"/>
      <c r="C164" s="10"/>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403"/>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row>
    <row r="165" spans="1:116" ht="18.75">
      <c r="A165" s="371"/>
      <c r="B165" s="14"/>
      <c r="C165" s="63"/>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2"/>
      <c r="AN165" s="403"/>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row>
    <row r="166" spans="1:116" ht="18.75">
      <c r="A166" s="371"/>
      <c r="B166" s="5" t="s">
        <v>147</v>
      </c>
      <c r="C166" s="10"/>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403"/>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row>
    <row r="167" spans="1:116" ht="18.75">
      <c r="A167" s="371"/>
      <c r="B167" s="10" t="s">
        <v>141</v>
      </c>
      <c r="C167" s="10"/>
      <c r="D167" s="352">
        <f>'ERR &amp; Sensitivity Analysis'!G10</f>
        <v>1</v>
      </c>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403"/>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row>
    <row r="168" spans="1:116" ht="21.75">
      <c r="A168" s="371"/>
      <c r="B168" s="133"/>
      <c r="C168" s="10"/>
      <c r="D168" s="9"/>
      <c r="E168" s="44"/>
      <c r="F168" s="44"/>
      <c r="G168" s="44"/>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403"/>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row>
    <row r="169" spans="1:116" ht="18.75">
      <c r="A169" s="371"/>
      <c r="B169" s="5" t="s">
        <v>148</v>
      </c>
      <c r="C169" s="10"/>
      <c r="D169" s="51"/>
      <c r="E169" s="119"/>
      <c r="F169" s="119"/>
      <c r="G169" s="119"/>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403"/>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row>
    <row r="170" spans="1:116" ht="18.75">
      <c r="A170" s="371"/>
      <c r="B170" s="10" t="s">
        <v>143</v>
      </c>
      <c r="C170" s="10"/>
      <c r="D170" s="351">
        <f>'ERR &amp; Sensitivity Analysis'!G11</f>
        <v>1</v>
      </c>
      <c r="E170" s="52"/>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403"/>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row>
    <row r="171" spans="1:116" ht="19.5" thickBot="1">
      <c r="A171" s="376"/>
      <c r="B171" s="408"/>
      <c r="C171" s="409"/>
      <c r="D171" s="379"/>
      <c r="E171" s="379"/>
      <c r="F171" s="379"/>
      <c r="G171" s="379"/>
      <c r="H171" s="379"/>
      <c r="I171" s="379"/>
      <c r="J171" s="379"/>
      <c r="K171" s="379"/>
      <c r="L171" s="379"/>
      <c r="M171" s="379"/>
      <c r="N171" s="379"/>
      <c r="O171" s="379"/>
      <c r="P171" s="379"/>
      <c r="Q171" s="379"/>
      <c r="R171" s="379"/>
      <c r="S171" s="379"/>
      <c r="T171" s="379"/>
      <c r="U171" s="379"/>
      <c r="V171" s="379"/>
      <c r="W171" s="379"/>
      <c r="X171" s="379"/>
      <c r="Y171" s="379"/>
      <c r="Z171" s="379"/>
      <c r="AA171" s="379"/>
      <c r="AB171" s="379"/>
      <c r="AC171" s="379"/>
      <c r="AD171" s="379"/>
      <c r="AE171" s="379"/>
      <c r="AF171" s="379"/>
      <c r="AG171" s="379"/>
      <c r="AH171" s="379"/>
      <c r="AI171" s="379"/>
      <c r="AJ171" s="379"/>
      <c r="AK171" s="379"/>
      <c r="AL171" s="379"/>
      <c r="AM171" s="379"/>
      <c r="AN171" s="410"/>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row>
    <row r="172" spans="4:116" ht="18.75">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row>
    <row r="173" spans="4:116" ht="18.75">
      <c r="D173" s="11"/>
      <c r="E173" s="11"/>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row>
    <row r="174" spans="2:116" ht="18.75">
      <c r="B174" s="5"/>
      <c r="C174" s="5"/>
      <c r="D174" s="9"/>
      <c r="E174" s="9"/>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row>
    <row r="175" spans="2:116" ht="18.75">
      <c r="B175" s="5"/>
      <c r="C175" s="10"/>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row>
    <row r="176" spans="2:116" ht="18.75">
      <c r="B176" s="62"/>
      <c r="C176" s="17"/>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row>
    <row r="177" spans="2:116" ht="18.75">
      <c r="B177" s="62"/>
      <c r="C177" s="106"/>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row>
    <row r="178" spans="2:116" ht="18.75">
      <c r="B178" s="62"/>
      <c r="C178" s="106"/>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row>
    <row r="179" spans="2:116" ht="18.75">
      <c r="B179" s="5"/>
      <c r="C179" s="105"/>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24"/>
      <c r="AO179" s="24"/>
      <c r="AP179" s="24"/>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c r="BO179" s="53"/>
      <c r="BP179" s="53"/>
      <c r="BQ179" s="53"/>
      <c r="BR179" s="53"/>
      <c r="BS179" s="53"/>
      <c r="BT179" s="53"/>
      <c r="BU179" s="53"/>
      <c r="BV179" s="53"/>
      <c r="BW179" s="53"/>
      <c r="BX179" s="53"/>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row>
    <row r="180" spans="2:116" ht="18.75">
      <c r="B180" s="5"/>
      <c r="C180" s="105"/>
      <c r="D180" s="50"/>
      <c r="E180" s="65"/>
      <c r="F180" s="66"/>
      <c r="G180" s="66"/>
      <c r="H180" s="66"/>
      <c r="I180" s="66"/>
      <c r="J180" s="66"/>
      <c r="K180" s="66"/>
      <c r="L180" s="66"/>
      <c r="M180" s="66"/>
      <c r="N180" s="66"/>
      <c r="O180" s="66"/>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66"/>
      <c r="AN180" s="24"/>
      <c r="AO180" s="24"/>
      <c r="AP180" s="24"/>
      <c r="AQ180" s="50"/>
      <c r="AR180" s="50"/>
      <c r="AS180" s="50"/>
      <c r="AT180" s="50"/>
      <c r="AU180" s="50"/>
      <c r="AV180" s="50"/>
      <c r="AW180" s="50"/>
      <c r="AX180" s="50"/>
      <c r="AY180" s="50"/>
      <c r="AZ180" s="50"/>
      <c r="BA180" s="50"/>
      <c r="BB180" s="50"/>
      <c r="BC180" s="50"/>
      <c r="BD180" s="50"/>
      <c r="BE180" s="50"/>
      <c r="BF180" s="50"/>
      <c r="BG180" s="50"/>
      <c r="BH180" s="50"/>
      <c r="BI180" s="50"/>
      <c r="BJ180" s="50"/>
      <c r="BK180" s="50"/>
      <c r="BL180" s="50"/>
      <c r="BM180" s="50"/>
      <c r="BN180" s="50"/>
      <c r="BO180" s="50"/>
      <c r="BP180" s="50"/>
      <c r="BQ180" s="50"/>
      <c r="BR180" s="50"/>
      <c r="BS180" s="50"/>
      <c r="BT180" s="50"/>
      <c r="BU180" s="50"/>
      <c r="BV180" s="50"/>
      <c r="BW180" s="50"/>
      <c r="BX180" s="50"/>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row>
    <row r="181" spans="2:116" ht="18.75">
      <c r="B181" s="5"/>
      <c r="C181" s="106"/>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24"/>
      <c r="AO181" s="24"/>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row>
    <row r="182" spans="2:116" s="54" customFormat="1" ht="18.75">
      <c r="B182" s="5"/>
      <c r="C182" s="10"/>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9"/>
      <c r="AO182" s="19"/>
      <c r="AP182" s="55"/>
      <c r="AQ182" s="53"/>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row>
    <row r="183" spans="2:116" ht="18.75">
      <c r="B183" s="5"/>
      <c r="C183" s="1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row>
    <row r="184" spans="2:116" ht="18.75">
      <c r="B184" s="5"/>
      <c r="C184" s="5"/>
      <c r="D184" s="50"/>
      <c r="E184" s="50"/>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row>
    <row r="185" spans="2:116" ht="18.75">
      <c r="B185" s="5"/>
      <c r="C185" s="1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row>
    <row r="186" spans="3:116" ht="18.75">
      <c r="C186" s="106"/>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24"/>
      <c r="AO186" s="24"/>
      <c r="AP186" s="8"/>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row>
    <row r="187" spans="3:116" ht="18.75">
      <c r="C187" s="106"/>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row>
    <row r="188" spans="3:116" ht="18.75">
      <c r="C188" s="105"/>
      <c r="D188" s="50"/>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row>
    <row r="189" spans="3:116" ht="18.75">
      <c r="C189" s="105"/>
      <c r="D189" s="50"/>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118"/>
      <c r="AO189" s="24"/>
      <c r="AP189" s="24"/>
      <c r="AQ189" s="24"/>
      <c r="AR189" s="24"/>
      <c r="AS189" s="24"/>
      <c r="AT189" s="24"/>
      <c r="AU189" s="24"/>
      <c r="AV189" s="24"/>
      <c r="AW189" s="24"/>
      <c r="AX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row>
    <row r="190" spans="3:116" ht="18.75">
      <c r="C190" s="106"/>
      <c r="D190" s="50"/>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9"/>
      <c r="AO190" s="9"/>
      <c r="AP190" s="24"/>
      <c r="AQ190" s="24"/>
      <c r="AR190" s="9"/>
      <c r="AS190" s="9"/>
      <c r="AT190" s="9"/>
      <c r="AU190" s="9"/>
      <c r="AV190" s="9"/>
      <c r="AW190" s="9"/>
      <c r="AX190" s="9"/>
      <c r="AZ190" s="9"/>
      <c r="BA190" s="9"/>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row>
    <row r="191" spans="3:116" ht="18.75">
      <c r="C191" s="64"/>
      <c r="D191" s="50"/>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9"/>
      <c r="AO191" s="9"/>
      <c r="AP191" s="24"/>
      <c r="AQ191" s="24"/>
      <c r="AR191" s="9"/>
      <c r="AS191" s="9"/>
      <c r="AT191" s="9"/>
      <c r="AU191" s="9"/>
      <c r="AV191" s="9"/>
      <c r="AW191" s="9"/>
      <c r="AX191" s="9"/>
      <c r="AZ191" s="9"/>
      <c r="BA191" s="9"/>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24"/>
      <c r="DJ191" s="24"/>
      <c r="DK191" s="24"/>
      <c r="DL191" s="24"/>
    </row>
    <row r="192" spans="3:116" ht="18.75">
      <c r="C192" s="64"/>
      <c r="D192" s="50"/>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9"/>
      <c r="AO192" s="9"/>
      <c r="AP192" s="24"/>
      <c r="AQ192" s="24"/>
      <c r="AR192" s="9"/>
      <c r="AS192" s="9"/>
      <c r="AT192" s="9"/>
      <c r="AU192" s="9"/>
      <c r="AV192" s="9"/>
      <c r="AW192" s="9"/>
      <c r="AX192" s="9"/>
      <c r="AZ192" s="9"/>
      <c r="BA192" s="9"/>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row>
    <row r="193" spans="2:116" ht="18.75">
      <c r="B193" s="67"/>
      <c r="C193" s="64"/>
      <c r="D193" s="50"/>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9"/>
      <c r="AO193" s="9"/>
      <c r="AP193" s="24"/>
      <c r="AQ193" s="24"/>
      <c r="AR193" s="9"/>
      <c r="AS193" s="9"/>
      <c r="AT193" s="9"/>
      <c r="AU193" s="9"/>
      <c r="AV193" s="9"/>
      <c r="AW193" s="9"/>
      <c r="AX193" s="9"/>
      <c r="AZ193" s="9"/>
      <c r="BA193" s="9"/>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4"/>
      <c r="DB193" s="24"/>
      <c r="DC193" s="24"/>
      <c r="DD193" s="24"/>
      <c r="DE193" s="24"/>
      <c r="DF193" s="24"/>
      <c r="DG193" s="24"/>
      <c r="DH193" s="24"/>
      <c r="DI193" s="24"/>
      <c r="DJ193" s="24"/>
      <c r="DK193" s="24"/>
      <c r="DL193" s="24"/>
    </row>
    <row r="194" spans="3:116" ht="18.75">
      <c r="C194" s="5"/>
      <c r="D194" s="50"/>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9"/>
      <c r="AO194" s="9"/>
      <c r="AP194" s="24"/>
      <c r="AQ194" s="24"/>
      <c r="AR194" s="9"/>
      <c r="AS194" s="9"/>
      <c r="AT194" s="9"/>
      <c r="AU194" s="9"/>
      <c r="AV194" s="9"/>
      <c r="AW194" s="9"/>
      <c r="AX194" s="9"/>
      <c r="AZ194" s="9"/>
      <c r="BA194" s="9"/>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row>
    <row r="195" spans="3:116" ht="18.75">
      <c r="C195" s="10"/>
      <c r="D195" s="50"/>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24"/>
      <c r="AQ195" s="24"/>
      <c r="AR195" s="9"/>
      <c r="AS195" s="9"/>
      <c r="AT195" s="9"/>
      <c r="AU195" s="9"/>
      <c r="AV195" s="9"/>
      <c r="AW195" s="9"/>
      <c r="AX195" s="9"/>
      <c r="AZ195" s="9"/>
      <c r="BA195" s="9"/>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4"/>
      <c r="DB195" s="24"/>
      <c r="DC195" s="24"/>
      <c r="DD195" s="24"/>
      <c r="DE195" s="24"/>
      <c r="DF195" s="24"/>
      <c r="DG195" s="24"/>
      <c r="DH195" s="24"/>
      <c r="DI195" s="24"/>
      <c r="DJ195" s="24"/>
      <c r="DK195" s="24"/>
      <c r="DL195" s="24"/>
    </row>
    <row r="196" spans="3:116" ht="18.75">
      <c r="C196" s="106"/>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24"/>
      <c r="AO196" s="24"/>
      <c r="AP196" s="8"/>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row>
    <row r="197" spans="3:116" ht="18.75">
      <c r="C197" s="106"/>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row>
    <row r="198" spans="3:116" ht="18.75">
      <c r="C198" s="105"/>
      <c r="D198" s="50"/>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row>
    <row r="199" spans="3:83" ht="18.75">
      <c r="C199" s="105"/>
      <c r="D199" s="50"/>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118"/>
      <c r="AO199" s="24"/>
      <c r="AP199" s="24"/>
      <c r="AQ199" s="24"/>
      <c r="AR199" s="24"/>
      <c r="AS199" s="24"/>
      <c r="AT199" s="24"/>
      <c r="AU199" s="24"/>
      <c r="AV199" s="24"/>
      <c r="AW199" s="24"/>
      <c r="AX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row>
    <row r="200" spans="3:83" ht="18.75">
      <c r="C200" s="106"/>
      <c r="D200" s="50"/>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9"/>
      <c r="AO200" s="9"/>
      <c r="AP200" s="24"/>
      <c r="AQ200" s="24"/>
      <c r="AR200" s="9"/>
      <c r="AS200" s="9"/>
      <c r="AT200" s="9"/>
      <c r="AU200" s="9"/>
      <c r="AV200" s="9"/>
      <c r="AW200" s="9"/>
      <c r="AX200" s="9"/>
      <c r="AZ200" s="9"/>
      <c r="BA200" s="9"/>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row>
  </sheetData>
  <mergeCells count="1">
    <mergeCell ref="A1:G1"/>
  </mergeCells>
  <conditionalFormatting sqref="A1">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DL56"/>
  <sheetViews>
    <sheetView zoomScale="50" zoomScaleNormal="50" workbookViewId="0" topLeftCell="A1">
      <selection activeCell="A2" sqref="A2"/>
    </sheetView>
  </sheetViews>
  <sheetFormatPr defaultColWidth="9.00390625" defaultRowHeight="15.75"/>
  <cols>
    <col min="1" max="1" width="9.00390625" style="4" customWidth="1"/>
    <col min="2" max="2" width="7.375" style="16" customWidth="1"/>
    <col min="3" max="3" width="65.00390625" style="18" customWidth="1"/>
    <col min="4" max="39" width="17.00390625" style="4" customWidth="1"/>
    <col min="40" max="41" width="9.00390625" style="4" customWidth="1"/>
    <col min="42" max="42" width="15.75390625" style="25" customWidth="1"/>
    <col min="43" max="43" width="11.00390625" style="25" customWidth="1"/>
    <col min="44" max="78" width="11.00390625" style="4" customWidth="1"/>
    <col min="79" max="16384" width="9.00390625" style="4" customWidth="1"/>
  </cols>
  <sheetData>
    <row r="1" spans="1:43" ht="23.25">
      <c r="A1" s="432">
        <f>IF('ERR &amp; Sensitivity Analysis'!$I$10="N","Note: Current calculations are based on user input and are not the original MCC estimates.",IF('ERR &amp; Sensitivity Analysis'!$I$11="N","Note: Current calculations are based on user input and are not the original MCC estimates.",0))</f>
        <v>0</v>
      </c>
      <c r="B1" s="433"/>
      <c r="C1" s="433"/>
      <c r="D1" s="433"/>
      <c r="E1" s="433"/>
      <c r="F1" s="433"/>
      <c r="G1" s="433"/>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90"/>
      <c r="AP1" s="20"/>
      <c r="AQ1" s="20"/>
    </row>
    <row r="2" spans="1:43" s="28" customFormat="1" ht="30.75" customHeight="1">
      <c r="A2" s="391"/>
      <c r="B2" s="26" t="s">
        <v>84</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392"/>
      <c r="AP2" s="29"/>
      <c r="AQ2" s="29"/>
    </row>
    <row r="3" spans="1:43" s="31" customFormat="1" ht="30.75">
      <c r="A3" s="393"/>
      <c r="B3" s="26" t="str">
        <f>+Projects!B4</f>
        <v>Education Projects</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94"/>
      <c r="AP3" s="32"/>
      <c r="AQ3" s="32"/>
    </row>
    <row r="4" spans="1:43" s="28" customFormat="1" ht="30">
      <c r="A4" s="391"/>
      <c r="B4" s="26" t="s">
        <v>2</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392"/>
      <c r="AP4" s="29"/>
      <c r="AQ4" s="29"/>
    </row>
    <row r="5" spans="1:43" s="35" customFormat="1" ht="20.25">
      <c r="A5" s="395"/>
      <c r="B5" s="33" t="s">
        <v>1</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96"/>
      <c r="AP5" s="36"/>
      <c r="AQ5" s="36"/>
    </row>
    <row r="6" spans="1:40" ht="18.75">
      <c r="A6" s="371"/>
      <c r="B6" s="37"/>
      <c r="C6" s="38"/>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72"/>
    </row>
    <row r="7" spans="1:43" s="41" customFormat="1" ht="18.75">
      <c r="A7" s="397"/>
      <c r="B7" s="39"/>
      <c r="C7" s="39"/>
      <c r="D7" s="40"/>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398"/>
      <c r="AP7" s="42"/>
      <c r="AQ7" s="42"/>
    </row>
    <row r="8" spans="1:94" s="41" customFormat="1" ht="18.75">
      <c r="A8" s="397"/>
      <c r="B8" s="39"/>
      <c r="C8" s="39" t="s">
        <v>19</v>
      </c>
      <c r="D8" s="40">
        <v>11</v>
      </c>
      <c r="E8" s="40">
        <f>+D8+1</f>
        <v>12</v>
      </c>
      <c r="F8" s="40">
        <f aca="true" t="shared" si="0" ref="F8:AL8">+E8+1</f>
        <v>13</v>
      </c>
      <c r="G8" s="40">
        <f t="shared" si="0"/>
        <v>14</v>
      </c>
      <c r="H8" s="40">
        <f t="shared" si="0"/>
        <v>15</v>
      </c>
      <c r="I8" s="40">
        <f t="shared" si="0"/>
        <v>16</v>
      </c>
      <c r="J8" s="40">
        <f t="shared" si="0"/>
        <v>17</v>
      </c>
      <c r="K8" s="40">
        <f t="shared" si="0"/>
        <v>18</v>
      </c>
      <c r="L8" s="40">
        <f t="shared" si="0"/>
        <v>19</v>
      </c>
      <c r="M8" s="40">
        <f t="shared" si="0"/>
        <v>20</v>
      </c>
      <c r="N8" s="40">
        <f t="shared" si="0"/>
        <v>21</v>
      </c>
      <c r="O8" s="40">
        <f t="shared" si="0"/>
        <v>22</v>
      </c>
      <c r="P8" s="40">
        <f t="shared" si="0"/>
        <v>23</v>
      </c>
      <c r="Q8" s="40">
        <f t="shared" si="0"/>
        <v>24</v>
      </c>
      <c r="R8" s="40">
        <f t="shared" si="0"/>
        <v>25</v>
      </c>
      <c r="S8" s="40">
        <f t="shared" si="0"/>
        <v>26</v>
      </c>
      <c r="T8" s="40">
        <f t="shared" si="0"/>
        <v>27</v>
      </c>
      <c r="U8" s="40">
        <f t="shared" si="0"/>
        <v>28</v>
      </c>
      <c r="V8" s="40">
        <f t="shared" si="0"/>
        <v>29</v>
      </c>
      <c r="W8" s="40">
        <f t="shared" si="0"/>
        <v>30</v>
      </c>
      <c r="X8" s="40">
        <f t="shared" si="0"/>
        <v>31</v>
      </c>
      <c r="Y8" s="40">
        <f t="shared" si="0"/>
        <v>32</v>
      </c>
      <c r="Z8" s="40">
        <f t="shared" si="0"/>
        <v>33</v>
      </c>
      <c r="AA8" s="40">
        <f t="shared" si="0"/>
        <v>34</v>
      </c>
      <c r="AB8" s="40">
        <f t="shared" si="0"/>
        <v>35</v>
      </c>
      <c r="AC8" s="40">
        <f t="shared" si="0"/>
        <v>36</v>
      </c>
      <c r="AD8" s="40">
        <f t="shared" si="0"/>
        <v>37</v>
      </c>
      <c r="AE8" s="40">
        <f t="shared" si="0"/>
        <v>38</v>
      </c>
      <c r="AF8" s="40">
        <f t="shared" si="0"/>
        <v>39</v>
      </c>
      <c r="AG8" s="40">
        <f t="shared" si="0"/>
        <v>40</v>
      </c>
      <c r="AH8" s="40">
        <f t="shared" si="0"/>
        <v>41</v>
      </c>
      <c r="AI8" s="40">
        <f t="shared" si="0"/>
        <v>42</v>
      </c>
      <c r="AJ8" s="40">
        <f t="shared" si="0"/>
        <v>43</v>
      </c>
      <c r="AK8" s="40">
        <f t="shared" si="0"/>
        <v>44</v>
      </c>
      <c r="AL8" s="40">
        <f t="shared" si="0"/>
        <v>45</v>
      </c>
      <c r="AM8" s="40"/>
      <c r="AN8" s="398"/>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row>
    <row r="9" spans="1:43" s="41" customFormat="1" ht="18.75">
      <c r="A9" s="397"/>
      <c r="B9" s="39"/>
      <c r="C9" s="3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398"/>
      <c r="AP9" s="42"/>
      <c r="AQ9" s="42"/>
    </row>
    <row r="10" spans="1:43" s="46" customFormat="1" ht="22.5">
      <c r="A10" s="399"/>
      <c r="B10" s="57" t="s">
        <v>16</v>
      </c>
      <c r="C10" s="58"/>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00"/>
      <c r="AP10" s="47"/>
      <c r="AQ10" s="47"/>
    </row>
    <row r="11" spans="1:43" s="49" customFormat="1" ht="22.5">
      <c r="A11" s="401"/>
      <c r="B11" s="59"/>
      <c r="C11" s="60"/>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02"/>
      <c r="AP11" s="42"/>
      <c r="AQ11" s="42"/>
    </row>
    <row r="12" spans="1:116" ht="18.75">
      <c r="A12" s="371"/>
      <c r="B12" s="61" t="s">
        <v>17</v>
      </c>
      <c r="C12" s="69"/>
      <c r="D12" s="71"/>
      <c r="E12" s="71"/>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403"/>
      <c r="AO12" s="24"/>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row>
    <row r="13" spans="1:116" s="150" customFormat="1" ht="18.75">
      <c r="A13" s="404"/>
      <c r="B13" s="147"/>
      <c r="C13" s="148" t="s">
        <v>27</v>
      </c>
      <c r="D13" s="149">
        <f>+('Education Model'!E65*'Age Earning Profiles'!$D10+'Education Model'!E66*'Age Earning Profiles'!$E10+'Education Model'!E67*'Age Earning Profiles'!$F10+'Education Model'!E68*'Age Earning Profiles'!$G10+'Education Model'!E69*'Age Earning Profiles'!$H10)*260/1000000</f>
        <v>262.79017945439995</v>
      </c>
      <c r="E13" s="149">
        <f>+('Education Model'!F65*'Age Earning Profiles'!$D10+'Education Model'!F66*'Age Earning Profiles'!$E10+'Education Model'!F67*'Age Earning Profiles'!$F10+'Education Model'!F68*'Age Earning Profiles'!$G10+'Education Model'!F69*'Age Earning Profiles'!$H10)*260/1000000</f>
        <v>270.9641764128</v>
      </c>
      <c r="F13" s="149">
        <f>+('Education Model'!G65*'Age Earning Profiles'!$D10+'Education Model'!G66*'Age Earning Profiles'!$E10+'Education Model'!G67*'Age Earning Profiles'!$F10+'Education Model'!G68*'Age Earning Profiles'!$G10+'Education Model'!G69*'Age Earning Profiles'!$H10)*260/1000000</f>
        <v>572.6664041473441</v>
      </c>
      <c r="G13" s="149">
        <f>+('Education Model'!H65*'Age Earning Profiles'!$D10+'Education Model'!H66*'Age Earning Profiles'!$E10+'Education Model'!H67*'Age Earning Profiles'!$F10+'Education Model'!H68*'Age Earning Profiles'!$G10+'Education Model'!H69*'Age Earning Profiles'!$H10)*260/1000000</f>
        <v>580.1366199676257</v>
      </c>
      <c r="H13" s="149">
        <f>+('Education Model'!I65*'Age Earning Profiles'!$D11+'Education Model'!I66*'Age Earning Profiles'!$E11+'Education Model'!I67*'Age Earning Profiles'!$F11+'Education Model'!I68*'Age Earning Profiles'!$G11+'Education Model'!I69*'Age Earning Profiles'!$H11)*260/1000000</f>
        <v>1877.50010418043</v>
      </c>
      <c r="I13" s="149">
        <f>+('Education Model'!J65*'Age Earning Profiles'!$D11+'Education Model'!J66*'Age Earning Profiles'!$E11+'Education Model'!J67*'Age Earning Profiles'!$F11+'Education Model'!J68*'Age Earning Profiles'!$G11+'Education Model'!J69*'Age Earning Profiles'!$H11)*260/1000000</f>
        <v>1907.380967461557</v>
      </c>
      <c r="J13" s="149">
        <f>+('Education Model'!K65*'Age Earning Profiles'!$D11+'Education Model'!K66*'Age Earning Profiles'!$E11+'Education Model'!K67*'Age Earning Profiles'!$F11+'Education Model'!K68*'Age Earning Profiles'!$G11+'Education Model'!K69*'Age Earning Profiles'!$H11)*260/1000000</f>
        <v>1907.380967461557</v>
      </c>
      <c r="K13" s="149">
        <f>+('Education Model'!L65*'Age Earning Profiles'!$D11+'Education Model'!L66*'Age Earning Profiles'!$E11+'Education Model'!L67*'Age Earning Profiles'!$F11+'Education Model'!L68*'Age Earning Profiles'!$G11+'Education Model'!L69*'Age Earning Profiles'!$H11)*260/1000000</f>
        <v>1907.380967461557</v>
      </c>
      <c r="L13" s="149">
        <f>+('Education Model'!M65*'Age Earning Profiles'!$D11+'Education Model'!M66*'Age Earning Profiles'!$E11+'Education Model'!M67*'Age Earning Profiles'!$F11+'Education Model'!M68*'Age Earning Profiles'!$G11+'Education Model'!M69*'Age Earning Profiles'!$H11)*260/1000000</f>
        <v>1907.380967461557</v>
      </c>
      <c r="M13" s="149">
        <f>+('Education Model'!$N65*'Age Earning Profiles'!$D12+'Education Model'!$N66*'Age Earning Profiles'!$E12+'Education Model'!$N67*'Age Earning Profiles'!$F12+'Education Model'!$N68*'Age Earning Profiles'!$G12+'Education Model'!$N69*'Age Earning Profiles'!$H12)*260/1000000</f>
        <v>6672.810152789533</v>
      </c>
      <c r="N13" s="149">
        <f>+('Education Model'!$N65*'Age Earning Profiles'!$D12+'Education Model'!$N66*'Age Earning Profiles'!$E12+'Education Model'!$N67*'Age Earning Profiles'!$F12+'Education Model'!$N68*'Age Earning Profiles'!$G12+'Education Model'!$N69*'Age Earning Profiles'!$H12)*260/1000000</f>
        <v>6672.810152789533</v>
      </c>
      <c r="O13" s="149">
        <f>+('Education Model'!$N65*'Age Earning Profiles'!$D12+'Education Model'!$N66*'Age Earning Profiles'!$E12+'Education Model'!$N67*'Age Earning Profiles'!$F12+'Education Model'!$N68*'Age Earning Profiles'!$G12+'Education Model'!$N69*'Age Earning Profiles'!$H12)*260/1000000</f>
        <v>6672.810152789533</v>
      </c>
      <c r="P13" s="149">
        <f>+('Education Model'!$N65*'Age Earning Profiles'!$D12+'Education Model'!$N66*'Age Earning Profiles'!$E12+'Education Model'!$N67*'Age Earning Profiles'!$F12+'Education Model'!$N68*'Age Earning Profiles'!$G12+'Education Model'!$N69*'Age Earning Profiles'!$H12)*260/1000000</f>
        <v>6672.810152789533</v>
      </c>
      <c r="Q13" s="149">
        <f>+('Education Model'!$N65*'Age Earning Profiles'!$D12+'Education Model'!$N66*'Age Earning Profiles'!$E12+'Education Model'!$N67*'Age Earning Profiles'!$F12+'Education Model'!$N68*'Age Earning Profiles'!$G12+'Education Model'!$N69*'Age Earning Profiles'!$H12)*260/1000000</f>
        <v>6672.810152789533</v>
      </c>
      <c r="R13" s="149">
        <f>+('Education Model'!$N65*'Age Earning Profiles'!$D13+'Education Model'!$N66*'Age Earning Profiles'!$E13+'Education Model'!$N67*'Age Earning Profiles'!$F13+'Education Model'!$N68*'Age Earning Profiles'!$G13+'Education Model'!$N69*'Age Earning Profiles'!$H13)*260/1000000</f>
        <v>7726.089325948422</v>
      </c>
      <c r="S13" s="149">
        <f>+('Education Model'!$N65*'Age Earning Profiles'!$D13+'Education Model'!$N66*'Age Earning Profiles'!$E13+'Education Model'!$N67*'Age Earning Profiles'!$F13+'Education Model'!$N68*'Age Earning Profiles'!$G13+'Education Model'!$N69*'Age Earning Profiles'!$H13)*260/1000000</f>
        <v>7726.089325948422</v>
      </c>
      <c r="T13" s="149">
        <f>+('Education Model'!$N65*'Age Earning Profiles'!$D13+'Education Model'!$N66*'Age Earning Profiles'!$E13+'Education Model'!$N67*'Age Earning Profiles'!$F13+'Education Model'!$N68*'Age Earning Profiles'!$G13+'Education Model'!$N69*'Age Earning Profiles'!$H13)*260/1000000</f>
        <v>7726.089325948422</v>
      </c>
      <c r="U13" s="149">
        <f>+('Education Model'!$N65*'Age Earning Profiles'!$D13+'Education Model'!$N66*'Age Earning Profiles'!$E13+'Education Model'!$N67*'Age Earning Profiles'!$F13+'Education Model'!$N68*'Age Earning Profiles'!$G13+'Education Model'!$N69*'Age Earning Profiles'!$H13)*260/1000000</f>
        <v>7726.089325948422</v>
      </c>
      <c r="V13" s="149">
        <f>+('Education Model'!$N65*'Age Earning Profiles'!$D13+'Education Model'!$N66*'Age Earning Profiles'!$E13+'Education Model'!$N67*'Age Earning Profiles'!$F13+'Education Model'!$N68*'Age Earning Profiles'!$G13+'Education Model'!$N69*'Age Earning Profiles'!$H13)*260/1000000</f>
        <v>7726.089325948422</v>
      </c>
      <c r="W13" s="149">
        <f>+('Education Model'!$N65*'Age Earning Profiles'!$D14+'Education Model'!$N66*'Age Earning Profiles'!$E14+'Education Model'!$N67*'Age Earning Profiles'!$F14+'Education Model'!$N68*'Age Earning Profiles'!$G14+'Education Model'!$N69*'Age Earning Profiles'!$H14)*260/1000000</f>
        <v>10318.384813888246</v>
      </c>
      <c r="X13" s="149">
        <f>+('Education Model'!$N65*'Age Earning Profiles'!$D14+'Education Model'!$N66*'Age Earning Profiles'!$E14+'Education Model'!$N67*'Age Earning Profiles'!$F14+'Education Model'!$N68*'Age Earning Profiles'!$G14+'Education Model'!$N69*'Age Earning Profiles'!$H14)*260/1000000</f>
        <v>10318.384813888246</v>
      </c>
      <c r="Y13" s="149">
        <f>+('Education Model'!$N65*'Age Earning Profiles'!$D14+'Education Model'!$N66*'Age Earning Profiles'!$E14+'Education Model'!$N67*'Age Earning Profiles'!$F14+'Education Model'!$N68*'Age Earning Profiles'!$G14+'Education Model'!$N69*'Age Earning Profiles'!$H14)*260/1000000</f>
        <v>10318.384813888246</v>
      </c>
      <c r="Z13" s="149">
        <f>+('Education Model'!$N65*'Age Earning Profiles'!$D14+'Education Model'!$N66*'Age Earning Profiles'!$E14+'Education Model'!$N67*'Age Earning Profiles'!$F14+'Education Model'!$N68*'Age Earning Profiles'!$G14+'Education Model'!$N69*'Age Earning Profiles'!$H14)*260/1000000</f>
        <v>10318.384813888246</v>
      </c>
      <c r="AA13" s="149">
        <f>+('Education Model'!$N65*'Age Earning Profiles'!$D14+'Education Model'!$N66*'Age Earning Profiles'!$E14+'Education Model'!$N67*'Age Earning Profiles'!$F14+'Education Model'!$N68*'Age Earning Profiles'!$G14+'Education Model'!$N69*'Age Earning Profiles'!$H14)*260/1000000</f>
        <v>10318.384813888246</v>
      </c>
      <c r="AB13" s="149">
        <f>+('Education Model'!$N65*'Age Earning Profiles'!$D15+'Education Model'!$N66*'Age Earning Profiles'!$E15+'Education Model'!$N67*'Age Earning Profiles'!$F15+'Education Model'!$N68*'Age Earning Profiles'!$G15+'Education Model'!$N69*'Age Earning Profiles'!$H15)*260/1000000</f>
        <v>12337.413507706404</v>
      </c>
      <c r="AC13" s="149">
        <f>+('Education Model'!$N65*'Age Earning Profiles'!$D15+'Education Model'!$N66*'Age Earning Profiles'!$E15+'Education Model'!$N67*'Age Earning Profiles'!$F15+'Education Model'!$N68*'Age Earning Profiles'!$G15+'Education Model'!$N69*'Age Earning Profiles'!$H15)*260/1000000</f>
        <v>12337.413507706404</v>
      </c>
      <c r="AD13" s="149">
        <f>+('Education Model'!$N65*'Age Earning Profiles'!$D15+'Education Model'!$N66*'Age Earning Profiles'!$E15+'Education Model'!$N67*'Age Earning Profiles'!$F15+'Education Model'!$N68*'Age Earning Profiles'!$G15+'Education Model'!$N69*'Age Earning Profiles'!$H15)*260/1000000</f>
        <v>12337.413507706404</v>
      </c>
      <c r="AE13" s="149">
        <f>+('Education Model'!$N65*'Age Earning Profiles'!$D15+'Education Model'!$N66*'Age Earning Profiles'!$E15+'Education Model'!$N67*'Age Earning Profiles'!$F15+'Education Model'!$N68*'Age Earning Profiles'!$G15+'Education Model'!$N69*'Age Earning Profiles'!$H15)*260/1000000</f>
        <v>12337.413507706404</v>
      </c>
      <c r="AF13" s="149">
        <f>+('Education Model'!$N65*'Age Earning Profiles'!$D15+'Education Model'!$N66*'Age Earning Profiles'!$E15+'Education Model'!$N67*'Age Earning Profiles'!$F15+'Education Model'!$N68*'Age Earning Profiles'!$G15+'Education Model'!$N69*'Age Earning Profiles'!$H15)*260/1000000</f>
        <v>12337.413507706404</v>
      </c>
      <c r="AG13" s="149">
        <f>+('Education Model'!$N65*'Age Earning Profiles'!$D16+'Education Model'!$N66*'Age Earning Profiles'!$E16+'Education Model'!$N67*'Age Earning Profiles'!$F16+'Education Model'!$N68*'Age Earning Profiles'!$G16+'Education Model'!$N69*'Age Earning Profiles'!$H16)*260/1000000</f>
        <v>17235.620722993848</v>
      </c>
      <c r="AH13" s="149">
        <f>+('Education Model'!$N65*'Age Earning Profiles'!$D16+'Education Model'!$N66*'Age Earning Profiles'!$E16+'Education Model'!$N67*'Age Earning Profiles'!$F16+'Education Model'!$N68*'Age Earning Profiles'!$G16+'Education Model'!$N69*'Age Earning Profiles'!$H16)*260/1000000</f>
        <v>17235.620722993848</v>
      </c>
      <c r="AI13" s="149">
        <f>+('Education Model'!$N65*'Age Earning Profiles'!$D16+'Education Model'!$N66*'Age Earning Profiles'!$E16+'Education Model'!$N67*'Age Earning Profiles'!$F16+'Education Model'!$N68*'Age Earning Profiles'!$G16+'Education Model'!$N69*'Age Earning Profiles'!$H16)*260/1000000</f>
        <v>17235.620722993848</v>
      </c>
      <c r="AJ13" s="149">
        <f>+('Education Model'!$N65*'Age Earning Profiles'!$D16+'Education Model'!$N66*'Age Earning Profiles'!$E16+'Education Model'!$N67*'Age Earning Profiles'!$F16+'Education Model'!$N68*'Age Earning Profiles'!$G16+'Education Model'!$N69*'Age Earning Profiles'!$H16)*260/1000000</f>
        <v>17235.620722993848</v>
      </c>
      <c r="AK13" s="149">
        <f>+('Education Model'!$N65*'Age Earning Profiles'!$D16+'Education Model'!$N66*'Age Earning Profiles'!$E16+'Education Model'!$N67*'Age Earning Profiles'!$F16+'Education Model'!$N68*'Age Earning Profiles'!$G16+'Education Model'!$N69*'Age Earning Profiles'!$H16)*260/1000000</f>
        <v>17235.620722993848</v>
      </c>
      <c r="AL13" s="149">
        <f>+('Education Model'!$N65*'Age Earning Profiles'!$D16+'Education Model'!$N66*'Age Earning Profiles'!$E16+'Education Model'!$N67*'Age Earning Profiles'!$F16+'Education Model'!$N68*'Age Earning Profiles'!$G16+'Education Model'!$N69*'Age Earning Profiles'!$H16)*260/1000000</f>
        <v>17235.620722993848</v>
      </c>
      <c r="AM13" s="149"/>
      <c r="AN13" s="405"/>
      <c r="AO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row>
    <row r="14" spans="1:116" ht="18.75">
      <c r="A14" s="371"/>
      <c r="B14" s="61"/>
      <c r="C14" s="126"/>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403"/>
      <c r="AO14" s="24"/>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row>
    <row r="15" spans="1:116" s="75" customFormat="1" ht="18.75">
      <c r="A15" s="406"/>
      <c r="B15" s="61" t="s">
        <v>18</v>
      </c>
      <c r="C15" s="73"/>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407"/>
      <c r="AO15" s="72"/>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row>
    <row r="16" spans="1:116" s="75" customFormat="1" ht="18.75">
      <c r="A16" s="406"/>
      <c r="B16" s="61"/>
      <c r="C16" s="70" t="s">
        <v>72</v>
      </c>
      <c r="D16" s="127">
        <f>('Education Model'!E63*'Age Earning Profiles'!$E10)*260/1000000</f>
        <v>482.2658205456001</v>
      </c>
      <c r="E16" s="127">
        <f>('Education Model'!F63*'Age Earning Profiles'!$E10)*260/1000000</f>
        <v>474.0918235872001</v>
      </c>
      <c r="F16" s="127">
        <f>('Education Model'!G63*'Age Earning Profiles'!$E10)*260/1000000</f>
        <v>172.38959585265607</v>
      </c>
      <c r="G16" s="127">
        <f>('Education Model'!H63*'Age Earning Profiles'!$E10)*260/1000000</f>
        <v>164.9193800323743</v>
      </c>
      <c r="H16" s="127">
        <f>('Education Model'!I63*'Age Earning Profiles'!$F11)*260/1000000</f>
        <v>629.79665684837</v>
      </c>
      <c r="I16" s="127">
        <f>('Education Model'!J63*'Age Earning Profiles'!$F11)*260/1000000</f>
        <v>539.9242142105187</v>
      </c>
      <c r="J16" s="127">
        <f>('Education Model'!K63*'Age Earning Profiles'!$F11)*260/1000000</f>
        <v>533.1751615328873</v>
      </c>
      <c r="K16" s="127">
        <f>('Education Model'!L63*'Age Earning Profiles'!$F11)*260/1000000</f>
        <v>526.4261088552557</v>
      </c>
      <c r="L16" s="127">
        <f>('Education Model'!M63*'Age Earning Profiles'!$F11)*260/1000000</f>
        <v>519.6770561776243</v>
      </c>
      <c r="M16" s="127">
        <f>+L16</f>
        <v>519.6770561776243</v>
      </c>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407"/>
      <c r="AO16" s="72"/>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row>
    <row r="17" spans="1:116" ht="18.75">
      <c r="A17" s="371"/>
      <c r="B17" s="61"/>
      <c r="C17" s="70" t="s">
        <v>38</v>
      </c>
      <c r="D17" s="130">
        <f>+'Education Model'!E63/22*1100000*12/1000000</f>
        <v>278.2302810840001</v>
      </c>
      <c r="E17" s="130">
        <f>+D17</f>
        <v>278.2302810840001</v>
      </c>
      <c r="F17" s="130">
        <f aca="true" t="shared" si="1" ref="F17:M17">+E17</f>
        <v>278.2302810840001</v>
      </c>
      <c r="G17" s="130">
        <f t="shared" si="1"/>
        <v>278.2302810840001</v>
      </c>
      <c r="H17" s="130">
        <f t="shared" si="1"/>
        <v>278.2302810840001</v>
      </c>
      <c r="I17" s="130">
        <f t="shared" si="1"/>
        <v>278.2302810840001</v>
      </c>
      <c r="J17" s="130">
        <f t="shared" si="1"/>
        <v>278.2302810840001</v>
      </c>
      <c r="K17" s="130">
        <f t="shared" si="1"/>
        <v>278.2302810840001</v>
      </c>
      <c r="L17" s="130">
        <f t="shared" si="1"/>
        <v>278.2302810840001</v>
      </c>
      <c r="M17" s="130">
        <f t="shared" si="1"/>
        <v>278.2302810840001</v>
      </c>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403"/>
      <c r="AO17" s="24"/>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row>
    <row r="18" spans="1:116" s="75" customFormat="1" ht="18.75">
      <c r="A18" s="406"/>
      <c r="B18" s="61"/>
      <c r="C18" s="126"/>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407"/>
      <c r="AO18" s="72"/>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row>
    <row r="19" spans="1:116" s="75" customFormat="1" ht="18.75">
      <c r="A19" s="406"/>
      <c r="B19" s="61" t="s">
        <v>31</v>
      </c>
      <c r="C19" s="126"/>
      <c r="D19" s="131">
        <f>+D13-D16-D17</f>
        <v>-497.70592217520027</v>
      </c>
      <c r="E19" s="131">
        <f aca="true" t="shared" si="2" ref="E19:AL19">+E13-E16-E17</f>
        <v>-481.35792825840025</v>
      </c>
      <c r="F19" s="131">
        <f t="shared" si="2"/>
        <v>122.04652721068794</v>
      </c>
      <c r="G19" s="131">
        <f t="shared" si="2"/>
        <v>136.9869588512513</v>
      </c>
      <c r="H19" s="131">
        <f t="shared" si="2"/>
        <v>969.4731662480599</v>
      </c>
      <c r="I19" s="131">
        <f t="shared" si="2"/>
        <v>1089.226472167038</v>
      </c>
      <c r="J19" s="131">
        <f t="shared" si="2"/>
        <v>1095.9755248446695</v>
      </c>
      <c r="K19" s="131">
        <f t="shared" si="2"/>
        <v>1102.7245775223012</v>
      </c>
      <c r="L19" s="131">
        <f t="shared" si="2"/>
        <v>1109.4736301999326</v>
      </c>
      <c r="M19" s="131">
        <f t="shared" si="2"/>
        <v>5874.902815527909</v>
      </c>
      <c r="N19" s="131">
        <f t="shared" si="2"/>
        <v>6672.810152789533</v>
      </c>
      <c r="O19" s="131">
        <f t="shared" si="2"/>
        <v>6672.810152789533</v>
      </c>
      <c r="P19" s="131">
        <f t="shared" si="2"/>
        <v>6672.810152789533</v>
      </c>
      <c r="Q19" s="131">
        <f t="shared" si="2"/>
        <v>6672.810152789533</v>
      </c>
      <c r="R19" s="131">
        <f t="shared" si="2"/>
        <v>7726.089325948422</v>
      </c>
      <c r="S19" s="131">
        <f t="shared" si="2"/>
        <v>7726.089325948422</v>
      </c>
      <c r="T19" s="131">
        <f t="shared" si="2"/>
        <v>7726.089325948422</v>
      </c>
      <c r="U19" s="131">
        <f t="shared" si="2"/>
        <v>7726.089325948422</v>
      </c>
      <c r="V19" s="131">
        <f t="shared" si="2"/>
        <v>7726.089325948422</v>
      </c>
      <c r="W19" s="131">
        <f t="shared" si="2"/>
        <v>10318.384813888246</v>
      </c>
      <c r="X19" s="131">
        <f t="shared" si="2"/>
        <v>10318.384813888246</v>
      </c>
      <c r="Y19" s="131">
        <f t="shared" si="2"/>
        <v>10318.384813888246</v>
      </c>
      <c r="Z19" s="131">
        <f t="shared" si="2"/>
        <v>10318.384813888246</v>
      </c>
      <c r="AA19" s="131">
        <f t="shared" si="2"/>
        <v>10318.384813888246</v>
      </c>
      <c r="AB19" s="131">
        <f t="shared" si="2"/>
        <v>12337.413507706404</v>
      </c>
      <c r="AC19" s="131">
        <f t="shared" si="2"/>
        <v>12337.413507706404</v>
      </c>
      <c r="AD19" s="131">
        <f t="shared" si="2"/>
        <v>12337.413507706404</v>
      </c>
      <c r="AE19" s="131">
        <f t="shared" si="2"/>
        <v>12337.413507706404</v>
      </c>
      <c r="AF19" s="131">
        <f t="shared" si="2"/>
        <v>12337.413507706404</v>
      </c>
      <c r="AG19" s="131">
        <f t="shared" si="2"/>
        <v>17235.620722993848</v>
      </c>
      <c r="AH19" s="131">
        <f t="shared" si="2"/>
        <v>17235.620722993848</v>
      </c>
      <c r="AI19" s="131">
        <f t="shared" si="2"/>
        <v>17235.620722993848</v>
      </c>
      <c r="AJ19" s="131">
        <f t="shared" si="2"/>
        <v>17235.620722993848</v>
      </c>
      <c r="AK19" s="131">
        <f t="shared" si="2"/>
        <v>17235.620722993848</v>
      </c>
      <c r="AL19" s="131">
        <f t="shared" si="2"/>
        <v>17235.620722993848</v>
      </c>
      <c r="AM19" s="131"/>
      <c r="AN19" s="407"/>
      <c r="AO19" s="72"/>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row>
    <row r="20" spans="1:116" s="75" customFormat="1" ht="18.75">
      <c r="A20" s="406"/>
      <c r="B20" s="61"/>
      <c r="C20" s="126"/>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407"/>
      <c r="AO20" s="72"/>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row>
    <row r="21" spans="1:116" ht="18.75">
      <c r="A21" s="371"/>
      <c r="B21" s="61"/>
      <c r="C21" s="70" t="s">
        <v>0</v>
      </c>
      <c r="D21" s="127"/>
      <c r="E21" s="127"/>
      <c r="F21" s="127"/>
      <c r="G21" s="127"/>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403"/>
      <c r="AO21" s="24"/>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row>
    <row r="22" spans="1:116" ht="22.5">
      <c r="A22" s="371"/>
      <c r="B22" s="57" t="s">
        <v>28</v>
      </c>
      <c r="C22" s="68"/>
      <c r="D22" s="127"/>
      <c r="E22" s="127"/>
      <c r="F22" s="127"/>
      <c r="G22" s="127"/>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403"/>
      <c r="AO22" s="24"/>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row>
    <row r="23" spans="1:116" ht="18.75">
      <c r="A23" s="371"/>
      <c r="B23" s="61"/>
      <c r="C23" s="68"/>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403"/>
      <c r="AO23" s="24"/>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row>
    <row r="24" spans="1:116" ht="18.75">
      <c r="A24" s="371"/>
      <c r="B24" s="61" t="s">
        <v>17</v>
      </c>
      <c r="C24" s="69"/>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403"/>
      <c r="AO24" s="24"/>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row>
    <row r="25" spans="1:116" ht="18.75">
      <c r="A25" s="371"/>
      <c r="B25" s="147"/>
      <c r="C25" s="148" t="s">
        <v>32</v>
      </c>
      <c r="D25" s="149">
        <f>+('Education Model'!E77*'Age Earning Profiles'!$D10+'Education Model'!E78*'Age Earning Profiles'!$E10+'Education Model'!E79*'Age Earning Profiles'!$F10+'Education Model'!E80*'Age Earning Profiles'!$G10+'Education Model'!E81*'Age Earning Profiles'!$H10)*260/1000000</f>
        <v>251.132766432288</v>
      </c>
      <c r="E25" s="149">
        <f>+('Education Model'!F77*'Age Earning Profiles'!$D10+'Education Model'!F78*'Age Earning Profiles'!$E10+'Education Model'!F79*'Age Earning Profiles'!$F10+'Education Model'!F80*'Age Earning Profiles'!$G10+'Education Model'!F81*'Age Earning Profiles'!$H10)*260/1000000</f>
        <v>259.22718898377605</v>
      </c>
      <c r="F25" s="149">
        <f>+('Education Model'!G77*'Age Earning Profiles'!$D10+'Education Model'!G78*'Age Earning Profiles'!$E10+'Education Model'!G79*'Age Earning Profiles'!$F10+'Education Model'!G80*'Age Earning Profiles'!$G10+'Education Model'!G81*'Age Earning Profiles'!$H10)*260/1000000</f>
        <v>567.1082214344477</v>
      </c>
      <c r="G25" s="149">
        <f>+('Education Model'!H77*'Age Earning Profiles'!$D10+'Education Model'!H78*'Age Earning Profiles'!$E10+'Education Model'!H79*'Age Earning Profiles'!$F10+'Education Model'!H80*'Age Earning Profiles'!$G10+'Education Model'!H81*'Age Earning Profiles'!$H10)*260/1000000</f>
        <v>573.9721448463151</v>
      </c>
      <c r="H25" s="149">
        <f>+('Education Model'!I77*'Age Earning Profiles'!$D11+'Education Model'!I78*'Age Earning Profiles'!$E11+'Education Model'!I79*'Age Earning Profiles'!$F11+'Education Model'!I80*'Age Earning Profiles'!$G11+'Education Model'!I81*'Age Earning Profiles'!$H11)*260/1000000</f>
        <v>1869.5531252574651</v>
      </c>
      <c r="I25" s="149">
        <f>+('Education Model'!J77*'Age Earning Profiles'!$D11+'Education Model'!J78*'Age Earning Profiles'!$E11+'Education Model'!J79*'Age Earning Profiles'!$F11+'Education Model'!J80*'Age Earning Profiles'!$G11+'Education Model'!J81*'Age Earning Profiles'!$H11)*260/1000000</f>
        <v>1897.0088189049347</v>
      </c>
      <c r="J25" s="149">
        <f>+('Education Model'!K77*'Age Earning Profiles'!$D11+'Education Model'!K78*'Age Earning Profiles'!$E11+'Education Model'!K79*'Age Earning Profiles'!$F11+'Education Model'!K80*'Age Earning Profiles'!$G11+'Education Model'!K81*'Age Earning Profiles'!$H11)*260/1000000</f>
        <v>1897.0088189049347</v>
      </c>
      <c r="K25" s="149">
        <f>+('Education Model'!L77*'Age Earning Profiles'!$D11+'Education Model'!L78*'Age Earning Profiles'!$E11+'Education Model'!L79*'Age Earning Profiles'!$F11+'Education Model'!L80*'Age Earning Profiles'!$G11+'Education Model'!L81*'Age Earning Profiles'!$H11)*260/1000000</f>
        <v>1897.0088189049347</v>
      </c>
      <c r="L25" s="149">
        <f>+('Education Model'!M77*'Age Earning Profiles'!$D11+'Education Model'!M78*'Age Earning Profiles'!$E11+'Education Model'!M79*'Age Earning Profiles'!$F11+'Education Model'!M80*'Age Earning Profiles'!$G11+'Education Model'!M81*'Age Earning Profiles'!$H11)*260/1000000</f>
        <v>1897.0088189049347</v>
      </c>
      <c r="M25" s="149">
        <f>+('Education Model'!$N77*'Age Earning Profiles'!$D12+'Education Model'!$N78*'Age Earning Profiles'!$E12+'Education Model'!$N79*'Age Earning Profiles'!$F12+'Education Model'!$N80*'Age Earning Profiles'!$G12+'Education Model'!$N81*'Age Earning Profiles'!$H12)*260/1000000</f>
        <v>7117.853152199672</v>
      </c>
      <c r="N25" s="149">
        <f>+('Education Model'!$N77*'Age Earning Profiles'!$D12+'Education Model'!$N78*'Age Earning Profiles'!$E12+'Education Model'!$N79*'Age Earning Profiles'!$F12+'Education Model'!$N80*'Age Earning Profiles'!$G12+'Education Model'!$N81*'Age Earning Profiles'!$H12)*260/1000000</f>
        <v>7117.853152199672</v>
      </c>
      <c r="O25" s="149">
        <f>+('Education Model'!$N77*'Age Earning Profiles'!$D12+'Education Model'!$N78*'Age Earning Profiles'!$E12+'Education Model'!$N79*'Age Earning Profiles'!$F12+'Education Model'!$N80*'Age Earning Profiles'!$G12+'Education Model'!$N81*'Age Earning Profiles'!$H12)*260/1000000</f>
        <v>7117.853152199672</v>
      </c>
      <c r="P25" s="149">
        <f>+('Education Model'!$N77*'Age Earning Profiles'!$D12+'Education Model'!$N78*'Age Earning Profiles'!$E12+'Education Model'!$N79*'Age Earning Profiles'!$F12+'Education Model'!$N80*'Age Earning Profiles'!$G12+'Education Model'!$N81*'Age Earning Profiles'!$H12)*260/1000000</f>
        <v>7117.853152199672</v>
      </c>
      <c r="Q25" s="149">
        <f>+('Education Model'!$N77*'Age Earning Profiles'!$D12+'Education Model'!$N78*'Age Earning Profiles'!$E12+'Education Model'!$N79*'Age Earning Profiles'!$F12+'Education Model'!$N80*'Age Earning Profiles'!$G12+'Education Model'!$N81*'Age Earning Profiles'!$H12)*260/1000000</f>
        <v>7117.853152199672</v>
      </c>
      <c r="R25" s="149">
        <f>+('Education Model'!$N77*'Age Earning Profiles'!$D13+'Education Model'!$N78*'Age Earning Profiles'!$E13+'Education Model'!$N79*'Age Earning Profiles'!$F13+'Education Model'!$N80*'Age Earning Profiles'!$G13+'Education Model'!$N81*'Age Earning Profiles'!$H13)*260/1000000</f>
        <v>8268.878757316692</v>
      </c>
      <c r="S25" s="149">
        <f>+('Education Model'!$N77*'Age Earning Profiles'!$D13+'Education Model'!$N78*'Age Earning Profiles'!$E13+'Education Model'!$N79*'Age Earning Profiles'!$F13+'Education Model'!$N80*'Age Earning Profiles'!$G13+'Education Model'!$N81*'Age Earning Profiles'!$H13)*260/1000000</f>
        <v>8268.878757316692</v>
      </c>
      <c r="T25" s="149">
        <f>+('Education Model'!$N77*'Age Earning Profiles'!$D13+'Education Model'!$N78*'Age Earning Profiles'!$E13+'Education Model'!$N79*'Age Earning Profiles'!$F13+'Education Model'!$N80*'Age Earning Profiles'!$G13+'Education Model'!$N81*'Age Earning Profiles'!$H13)*260/1000000</f>
        <v>8268.878757316692</v>
      </c>
      <c r="U25" s="149">
        <f>+('Education Model'!$N77*'Age Earning Profiles'!$D13+'Education Model'!$N78*'Age Earning Profiles'!$E13+'Education Model'!$N79*'Age Earning Profiles'!$F13+'Education Model'!$N80*'Age Earning Profiles'!$G13+'Education Model'!$N81*'Age Earning Profiles'!$H13)*260/1000000</f>
        <v>8268.878757316692</v>
      </c>
      <c r="V25" s="149">
        <f>+('Education Model'!$N77*'Age Earning Profiles'!$D13+'Education Model'!$N78*'Age Earning Profiles'!$E13+'Education Model'!$N79*'Age Earning Profiles'!$F13+'Education Model'!$N80*'Age Earning Profiles'!$G13+'Education Model'!$N81*'Age Earning Profiles'!$H13)*260/1000000</f>
        <v>8268.878757316692</v>
      </c>
      <c r="W25" s="149">
        <f>+('Education Model'!$N77*'Age Earning Profiles'!$D14+'Education Model'!$N78*'Age Earning Profiles'!$E14+'Education Model'!$N79*'Age Earning Profiles'!$F14+'Education Model'!$N80*'Age Earning Profiles'!$G14+'Education Model'!$N81*'Age Earning Profiles'!$H14)*260/1000000</f>
        <v>10916.350495073688</v>
      </c>
      <c r="X25" s="149">
        <f>+('Education Model'!$N77*'Age Earning Profiles'!$D14+'Education Model'!$N78*'Age Earning Profiles'!$E14+'Education Model'!$N79*'Age Earning Profiles'!$F14+'Education Model'!$N80*'Age Earning Profiles'!$G14+'Education Model'!$N81*'Age Earning Profiles'!$H14)*260/1000000</f>
        <v>10916.350495073688</v>
      </c>
      <c r="Y25" s="149">
        <f>+('Education Model'!$N77*'Age Earning Profiles'!$D14+'Education Model'!$N78*'Age Earning Profiles'!$E14+'Education Model'!$N79*'Age Earning Profiles'!$F14+'Education Model'!$N80*'Age Earning Profiles'!$G14+'Education Model'!$N81*'Age Earning Profiles'!$H14)*260/1000000</f>
        <v>10916.350495073688</v>
      </c>
      <c r="Z25" s="149">
        <f>+('Education Model'!$N77*'Age Earning Profiles'!$D14+'Education Model'!$N78*'Age Earning Profiles'!$E14+'Education Model'!$N79*'Age Earning Profiles'!$F14+'Education Model'!$N80*'Age Earning Profiles'!$G14+'Education Model'!$N81*'Age Earning Profiles'!$H14)*260/1000000</f>
        <v>10916.350495073688</v>
      </c>
      <c r="AA25" s="149">
        <f>+('Education Model'!$N77*'Age Earning Profiles'!$D14+'Education Model'!$N78*'Age Earning Profiles'!$E14+'Education Model'!$N79*'Age Earning Profiles'!$F14+'Education Model'!$N80*'Age Earning Profiles'!$G14+'Education Model'!$N81*'Age Earning Profiles'!$H14)*260/1000000</f>
        <v>10916.350495073688</v>
      </c>
      <c r="AB25" s="149">
        <f>+('Education Model'!$N77*'Age Earning Profiles'!$D15+'Education Model'!$N78*'Age Earning Profiles'!$E15+'Education Model'!$N79*'Age Earning Profiles'!$F15+'Education Model'!$N80*'Age Earning Profiles'!$G15+'Education Model'!$N81*'Age Earning Profiles'!$H15)*260/1000000</f>
        <v>13044.606566914483</v>
      </c>
      <c r="AC25" s="149">
        <f>+('Education Model'!$N77*'Age Earning Profiles'!$D15+'Education Model'!$N78*'Age Earning Profiles'!$E15+'Education Model'!$N79*'Age Earning Profiles'!$F15+'Education Model'!$N80*'Age Earning Profiles'!$G15+'Education Model'!$N81*'Age Earning Profiles'!$H15)*260/1000000</f>
        <v>13044.606566914483</v>
      </c>
      <c r="AD25" s="149">
        <f>+('Education Model'!$N77*'Age Earning Profiles'!$D15+'Education Model'!$N78*'Age Earning Profiles'!$E15+'Education Model'!$N79*'Age Earning Profiles'!$F15+'Education Model'!$N80*'Age Earning Profiles'!$G15+'Education Model'!$N81*'Age Earning Profiles'!$H15)*260/1000000</f>
        <v>13044.606566914483</v>
      </c>
      <c r="AE25" s="149">
        <f>+('Education Model'!$N77*'Age Earning Profiles'!$D15+'Education Model'!$N78*'Age Earning Profiles'!$E15+'Education Model'!$N79*'Age Earning Profiles'!$F15+'Education Model'!$N80*'Age Earning Profiles'!$G15+'Education Model'!$N81*'Age Earning Profiles'!$H15)*260/1000000</f>
        <v>13044.606566914483</v>
      </c>
      <c r="AF25" s="149">
        <f>+('Education Model'!$N77*'Age Earning Profiles'!$D15+'Education Model'!$N78*'Age Earning Profiles'!$E15+'Education Model'!$N79*'Age Earning Profiles'!$F15+'Education Model'!$N80*'Age Earning Profiles'!$G15+'Education Model'!$N81*'Age Earning Profiles'!$H15)*260/1000000</f>
        <v>13044.606566914483</v>
      </c>
      <c r="AG25" s="149">
        <f>+('Education Model'!$N77*'Age Earning Profiles'!$D16+'Education Model'!$N78*'Age Earning Profiles'!$E16+'Education Model'!$N79*'Age Earning Profiles'!$F16+'Education Model'!$N80*'Age Earning Profiles'!$G16+'Education Model'!$N81*'Age Earning Profiles'!$H16)*260/1000000</f>
        <v>18180.168914837705</v>
      </c>
      <c r="AH25" s="149">
        <f>+('Education Model'!$N77*'Age Earning Profiles'!$D16+'Education Model'!$N78*'Age Earning Profiles'!$E16+'Education Model'!$N79*'Age Earning Profiles'!$F16+'Education Model'!$N80*'Age Earning Profiles'!$G16+'Education Model'!$N81*'Age Earning Profiles'!$H16)*260/1000000</f>
        <v>18180.168914837705</v>
      </c>
      <c r="AI25" s="149">
        <f>+('Education Model'!$N77*'Age Earning Profiles'!$D16+'Education Model'!$N78*'Age Earning Profiles'!$E16+'Education Model'!$N79*'Age Earning Profiles'!$F16+'Education Model'!$N80*'Age Earning Profiles'!$G16+'Education Model'!$N81*'Age Earning Profiles'!$H16)*260/1000000</f>
        <v>18180.168914837705</v>
      </c>
      <c r="AJ25" s="149">
        <f>+('Education Model'!$N77*'Age Earning Profiles'!$D16+'Education Model'!$N78*'Age Earning Profiles'!$E16+'Education Model'!$N79*'Age Earning Profiles'!$F16+'Education Model'!$N80*'Age Earning Profiles'!$G16+'Education Model'!$N81*'Age Earning Profiles'!$H16)*260/1000000</f>
        <v>18180.168914837705</v>
      </c>
      <c r="AK25" s="149">
        <f>+('Education Model'!$N77*'Age Earning Profiles'!$D16+'Education Model'!$N78*'Age Earning Profiles'!$E16+'Education Model'!$N79*'Age Earning Profiles'!$F16+'Education Model'!$N80*'Age Earning Profiles'!$G16+'Education Model'!$N81*'Age Earning Profiles'!$H16)*260/1000000</f>
        <v>18180.168914837705</v>
      </c>
      <c r="AL25" s="149">
        <f>+('Education Model'!$N77*'Age Earning Profiles'!$D16+'Education Model'!$N78*'Age Earning Profiles'!$E16+'Education Model'!$N79*'Age Earning Profiles'!$F16+'Education Model'!$N80*'Age Earning Profiles'!$G16+'Education Model'!$N81*'Age Earning Profiles'!$H16)*260/1000000</f>
        <v>18180.168914837705</v>
      </c>
      <c r="AM25" s="127"/>
      <c r="AN25" s="403"/>
      <c r="AO25" s="24"/>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row>
    <row r="26" spans="1:116" ht="18.75">
      <c r="A26" s="371"/>
      <c r="B26" s="61"/>
      <c r="C26" s="126"/>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403"/>
      <c r="AO26" s="24"/>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row>
    <row r="27" spans="1:116" ht="18.75">
      <c r="A27" s="371"/>
      <c r="B27" s="61" t="s">
        <v>18</v>
      </c>
      <c r="C27" s="73"/>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403"/>
      <c r="AO27" s="24"/>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row>
    <row r="28" spans="1:116" ht="18.75">
      <c r="A28" s="371"/>
      <c r="B28" s="61"/>
      <c r="C28" s="70" t="s">
        <v>72</v>
      </c>
      <c r="D28" s="130">
        <f>+('Education Model'!E75*260*'Age Earning Profiles'!$D10)/1000000</f>
        <v>503.18963356771195</v>
      </c>
      <c r="E28" s="130">
        <f>+('Education Model'!F75*260*'Age Earning Profiles'!$D10)/1000000</f>
        <v>495.0952110162239</v>
      </c>
      <c r="F28" s="130">
        <f>+('Education Model'!G75*260*'Age Earning Profiles'!$D10)/1000000</f>
        <v>187.21417856555212</v>
      </c>
      <c r="G28" s="130">
        <f>+('Education Model'!H75*260*'Age Earning Profiles'!$D10)/1000000</f>
        <v>180.35025515368488</v>
      </c>
      <c r="H28" s="130">
        <f>+('Education Model'!I75*260*'Age Earning Profiles'!$D11)/1000000</f>
        <v>346.97266348363524</v>
      </c>
      <c r="I28" s="130">
        <f>+('Education Model'!J75*260*'Age Earning Profiles'!$D11)/1000000</f>
        <v>299.9203349939106</v>
      </c>
      <c r="J28" s="130">
        <f>+('Education Model'!K75*260*'Age Earning Profiles'!$D11)/1000000</f>
        <v>296.1713308064867</v>
      </c>
      <c r="K28" s="130">
        <f>+('Education Model'!L75*260*'Age Earning Profiles'!$D11)/1000000</f>
        <v>292.4223266190628</v>
      </c>
      <c r="L28" s="130">
        <f>+('Education Model'!M75*260*'Age Earning Profiles'!$D11)/1000000</f>
        <v>288.6733224316389</v>
      </c>
      <c r="M28" s="130">
        <f>+L28</f>
        <v>288.6733224316389</v>
      </c>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27"/>
      <c r="AN28" s="403"/>
      <c r="AO28" s="24"/>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row>
    <row r="29" spans="1:116" ht="18.75">
      <c r="A29" s="371"/>
      <c r="B29" s="61"/>
      <c r="C29" s="68" t="s">
        <v>38</v>
      </c>
      <c r="D29" s="130">
        <f>+'Education Model'!E75/22*1100000*12/1000000</f>
        <v>290.30171167367996</v>
      </c>
      <c r="E29" s="130">
        <f>+D29</f>
        <v>290.30171167367996</v>
      </c>
      <c r="F29" s="130">
        <f aca="true" t="shared" si="3" ref="F29:M29">+E29</f>
        <v>290.30171167367996</v>
      </c>
      <c r="G29" s="130">
        <f t="shared" si="3"/>
        <v>290.30171167367996</v>
      </c>
      <c r="H29" s="130">
        <f t="shared" si="3"/>
        <v>290.30171167367996</v>
      </c>
      <c r="I29" s="130">
        <f t="shared" si="3"/>
        <v>290.30171167367996</v>
      </c>
      <c r="J29" s="130">
        <f t="shared" si="3"/>
        <v>290.30171167367996</v>
      </c>
      <c r="K29" s="130">
        <f t="shared" si="3"/>
        <v>290.30171167367996</v>
      </c>
      <c r="L29" s="130">
        <f t="shared" si="3"/>
        <v>290.30171167367996</v>
      </c>
      <c r="M29" s="130">
        <f t="shared" si="3"/>
        <v>290.30171167367996</v>
      </c>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27"/>
      <c r="AN29" s="403"/>
      <c r="AO29" s="24"/>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row>
    <row r="30" spans="1:116" ht="18.75">
      <c r="A30" s="371"/>
      <c r="B30" s="61"/>
      <c r="C30" s="70" t="s">
        <v>20</v>
      </c>
      <c r="D30" s="130">
        <f>+(Projects!D11*'Project Cost'!D13+Projects!E11*'Project Cost'!E13+Projects!F11*'Project Cost'!F13)*9100/1000000</f>
        <v>14749.3164</v>
      </c>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403"/>
      <c r="AO30" s="24"/>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row>
    <row r="31" spans="1:116" ht="18.75">
      <c r="A31" s="371"/>
      <c r="B31" s="61"/>
      <c r="C31" s="151" t="s">
        <v>21</v>
      </c>
      <c r="D31" s="130">
        <f>SUM(D28:D30)</f>
        <v>15542.80774524139</v>
      </c>
      <c r="E31" s="130">
        <f>SUM(E28:E30)</f>
        <v>785.3969226899039</v>
      </c>
      <c r="F31" s="130">
        <f aca="true" t="shared" si="4" ref="F31:AL31">SUM(F28:F30)</f>
        <v>477.5158902392321</v>
      </c>
      <c r="G31" s="130">
        <f t="shared" si="4"/>
        <v>470.65196682736484</v>
      </c>
      <c r="H31" s="130">
        <f t="shared" si="4"/>
        <v>637.2743751573153</v>
      </c>
      <c r="I31" s="130">
        <f t="shared" si="4"/>
        <v>590.2220466675906</v>
      </c>
      <c r="J31" s="130">
        <f t="shared" si="4"/>
        <v>586.4730424801667</v>
      </c>
      <c r="K31" s="130">
        <f t="shared" si="4"/>
        <v>582.7240382927428</v>
      </c>
      <c r="L31" s="130">
        <f t="shared" si="4"/>
        <v>578.9750341053189</v>
      </c>
      <c r="M31" s="130">
        <f t="shared" si="4"/>
        <v>578.9750341053189</v>
      </c>
      <c r="N31" s="130">
        <f t="shared" si="4"/>
        <v>0</v>
      </c>
      <c r="O31" s="130">
        <f t="shared" si="4"/>
        <v>0</v>
      </c>
      <c r="P31" s="130">
        <f t="shared" si="4"/>
        <v>0</v>
      </c>
      <c r="Q31" s="130">
        <f t="shared" si="4"/>
        <v>0</v>
      </c>
      <c r="R31" s="130">
        <f t="shared" si="4"/>
        <v>0</v>
      </c>
      <c r="S31" s="130">
        <f t="shared" si="4"/>
        <v>0</v>
      </c>
      <c r="T31" s="130">
        <f t="shared" si="4"/>
        <v>0</v>
      </c>
      <c r="U31" s="130">
        <f t="shared" si="4"/>
        <v>0</v>
      </c>
      <c r="V31" s="130">
        <f t="shared" si="4"/>
        <v>0</v>
      </c>
      <c r="W31" s="130">
        <f t="shared" si="4"/>
        <v>0</v>
      </c>
      <c r="X31" s="130">
        <f t="shared" si="4"/>
        <v>0</v>
      </c>
      <c r="Y31" s="130">
        <f t="shared" si="4"/>
        <v>0</v>
      </c>
      <c r="Z31" s="130">
        <f t="shared" si="4"/>
        <v>0</v>
      </c>
      <c r="AA31" s="130">
        <f t="shared" si="4"/>
        <v>0</v>
      </c>
      <c r="AB31" s="130">
        <f t="shared" si="4"/>
        <v>0</v>
      </c>
      <c r="AC31" s="130">
        <f t="shared" si="4"/>
        <v>0</v>
      </c>
      <c r="AD31" s="130">
        <f t="shared" si="4"/>
        <v>0</v>
      </c>
      <c r="AE31" s="130">
        <f t="shared" si="4"/>
        <v>0</v>
      </c>
      <c r="AF31" s="130">
        <f t="shared" si="4"/>
        <v>0</v>
      </c>
      <c r="AG31" s="130">
        <f t="shared" si="4"/>
        <v>0</v>
      </c>
      <c r="AH31" s="130">
        <f t="shared" si="4"/>
        <v>0</v>
      </c>
      <c r="AI31" s="130">
        <f t="shared" si="4"/>
        <v>0</v>
      </c>
      <c r="AJ31" s="130">
        <f t="shared" si="4"/>
        <v>0</v>
      </c>
      <c r="AK31" s="130">
        <f t="shared" si="4"/>
        <v>0</v>
      </c>
      <c r="AL31" s="130">
        <f t="shared" si="4"/>
        <v>0</v>
      </c>
      <c r="AM31" s="127"/>
      <c r="AN31" s="403"/>
      <c r="AO31" s="24"/>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row>
    <row r="32" spans="1:116" ht="18.75">
      <c r="A32" s="371"/>
      <c r="B32" s="61"/>
      <c r="C32" s="70"/>
      <c r="D32" s="130"/>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403"/>
      <c r="AO32" s="24"/>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row>
    <row r="33" spans="1:116" ht="18.75">
      <c r="A33" s="371"/>
      <c r="B33" s="61" t="s">
        <v>31</v>
      </c>
      <c r="C33" s="126"/>
      <c r="D33" s="131">
        <f>+D25-D31</f>
        <v>-15291.674978809104</v>
      </c>
      <c r="E33" s="131">
        <f>+E25-E31</f>
        <v>-526.1697337061279</v>
      </c>
      <c r="F33" s="131">
        <f aca="true" t="shared" si="5" ref="F33:AL33">+F25-F31</f>
        <v>89.59233119521565</v>
      </c>
      <c r="G33" s="131">
        <f t="shared" si="5"/>
        <v>103.32017801895029</v>
      </c>
      <c r="H33" s="131">
        <f t="shared" si="5"/>
        <v>1232.2787501001499</v>
      </c>
      <c r="I33" s="131">
        <f t="shared" si="5"/>
        <v>1306.7867722373442</v>
      </c>
      <c r="J33" s="131">
        <f t="shared" si="5"/>
        <v>1310.535776424768</v>
      </c>
      <c r="K33" s="131">
        <f t="shared" si="5"/>
        <v>1314.284780612192</v>
      </c>
      <c r="L33" s="131">
        <f t="shared" si="5"/>
        <v>1318.033784799616</v>
      </c>
      <c r="M33" s="131">
        <f t="shared" si="5"/>
        <v>6538.878118094353</v>
      </c>
      <c r="N33" s="131">
        <f t="shared" si="5"/>
        <v>7117.853152199672</v>
      </c>
      <c r="O33" s="131">
        <f t="shared" si="5"/>
        <v>7117.853152199672</v>
      </c>
      <c r="P33" s="131">
        <f t="shared" si="5"/>
        <v>7117.853152199672</v>
      </c>
      <c r="Q33" s="131">
        <f t="shared" si="5"/>
        <v>7117.853152199672</v>
      </c>
      <c r="R33" s="131">
        <f t="shared" si="5"/>
        <v>8268.878757316692</v>
      </c>
      <c r="S33" s="131">
        <f t="shared" si="5"/>
        <v>8268.878757316692</v>
      </c>
      <c r="T33" s="131">
        <f t="shared" si="5"/>
        <v>8268.878757316692</v>
      </c>
      <c r="U33" s="131">
        <f t="shared" si="5"/>
        <v>8268.878757316692</v>
      </c>
      <c r="V33" s="131">
        <f t="shared" si="5"/>
        <v>8268.878757316692</v>
      </c>
      <c r="W33" s="131">
        <f t="shared" si="5"/>
        <v>10916.350495073688</v>
      </c>
      <c r="X33" s="131">
        <f t="shared" si="5"/>
        <v>10916.350495073688</v>
      </c>
      <c r="Y33" s="131">
        <f t="shared" si="5"/>
        <v>10916.350495073688</v>
      </c>
      <c r="Z33" s="131">
        <f t="shared" si="5"/>
        <v>10916.350495073688</v>
      </c>
      <c r="AA33" s="131">
        <f t="shared" si="5"/>
        <v>10916.350495073688</v>
      </c>
      <c r="AB33" s="131">
        <f t="shared" si="5"/>
        <v>13044.606566914483</v>
      </c>
      <c r="AC33" s="131">
        <f t="shared" si="5"/>
        <v>13044.606566914483</v>
      </c>
      <c r="AD33" s="131">
        <f t="shared" si="5"/>
        <v>13044.606566914483</v>
      </c>
      <c r="AE33" s="131">
        <f t="shared" si="5"/>
        <v>13044.606566914483</v>
      </c>
      <c r="AF33" s="131">
        <f t="shared" si="5"/>
        <v>13044.606566914483</v>
      </c>
      <c r="AG33" s="131">
        <f t="shared" si="5"/>
        <v>18180.168914837705</v>
      </c>
      <c r="AH33" s="131">
        <f t="shared" si="5"/>
        <v>18180.168914837705</v>
      </c>
      <c r="AI33" s="131">
        <f t="shared" si="5"/>
        <v>18180.168914837705</v>
      </c>
      <c r="AJ33" s="131">
        <f t="shared" si="5"/>
        <v>18180.168914837705</v>
      </c>
      <c r="AK33" s="131">
        <f t="shared" si="5"/>
        <v>18180.168914837705</v>
      </c>
      <c r="AL33" s="131">
        <f t="shared" si="5"/>
        <v>18180.168914837705</v>
      </c>
      <c r="AM33" s="131"/>
      <c r="AN33" s="403"/>
      <c r="AO33" s="24"/>
      <c r="AP33" s="50"/>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row>
    <row r="34" spans="1:116" s="75" customFormat="1" ht="18.75">
      <c r="A34" s="406"/>
      <c r="B34" s="61"/>
      <c r="C34" s="70" t="s">
        <v>0</v>
      </c>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407"/>
      <c r="AO34" s="72"/>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row>
    <row r="35" spans="1:116" ht="18.75">
      <c r="A35" s="371"/>
      <c r="B35" s="5" t="s">
        <v>33</v>
      </c>
      <c r="C35" s="69"/>
      <c r="D35" s="127">
        <f aca="true" t="shared" si="6" ref="D35:AL35">IF(AND(D19&gt;0,D33&gt;0),D33-D19,IF(AND(D19&gt;0,D33&lt;0),D33-D19,IF(AND(D19&lt;D233,D33&lt;0),D33-D19,D33-D19)))</f>
        <v>-14793.969056633903</v>
      </c>
      <c r="E35" s="127">
        <f t="shared" si="6"/>
        <v>-44.811805447727636</v>
      </c>
      <c r="F35" s="127">
        <f t="shared" si="6"/>
        <v>-32.45419601547229</v>
      </c>
      <c r="G35" s="127">
        <f t="shared" si="6"/>
        <v>-33.666780832301015</v>
      </c>
      <c r="H35" s="127">
        <f t="shared" si="6"/>
        <v>262.80558385208997</v>
      </c>
      <c r="I35" s="127">
        <f t="shared" si="6"/>
        <v>217.56030007030608</v>
      </c>
      <c r="J35" s="127">
        <f t="shared" si="6"/>
        <v>214.56025158009857</v>
      </c>
      <c r="K35" s="127">
        <f t="shared" si="6"/>
        <v>211.56020308989082</v>
      </c>
      <c r="L35" s="127">
        <f t="shared" si="6"/>
        <v>208.5601545996833</v>
      </c>
      <c r="M35" s="127">
        <f t="shared" si="6"/>
        <v>663.975302566444</v>
      </c>
      <c r="N35" s="127">
        <f t="shared" si="6"/>
        <v>445.0429994101387</v>
      </c>
      <c r="O35" s="127">
        <f t="shared" si="6"/>
        <v>445.0429994101387</v>
      </c>
      <c r="P35" s="127">
        <f t="shared" si="6"/>
        <v>445.0429994101387</v>
      </c>
      <c r="Q35" s="127">
        <f t="shared" si="6"/>
        <v>445.0429994101387</v>
      </c>
      <c r="R35" s="127">
        <f t="shared" si="6"/>
        <v>542.78943136827</v>
      </c>
      <c r="S35" s="127">
        <f t="shared" si="6"/>
        <v>542.78943136827</v>
      </c>
      <c r="T35" s="127">
        <f t="shared" si="6"/>
        <v>542.78943136827</v>
      </c>
      <c r="U35" s="127">
        <f t="shared" si="6"/>
        <v>542.78943136827</v>
      </c>
      <c r="V35" s="127">
        <f t="shared" si="6"/>
        <v>542.78943136827</v>
      </c>
      <c r="W35" s="127">
        <f t="shared" si="6"/>
        <v>597.965681185442</v>
      </c>
      <c r="X35" s="127">
        <f t="shared" si="6"/>
        <v>597.965681185442</v>
      </c>
      <c r="Y35" s="127">
        <f t="shared" si="6"/>
        <v>597.965681185442</v>
      </c>
      <c r="Z35" s="127">
        <f t="shared" si="6"/>
        <v>597.965681185442</v>
      </c>
      <c r="AA35" s="127">
        <f t="shared" si="6"/>
        <v>597.965681185442</v>
      </c>
      <c r="AB35" s="127">
        <f t="shared" si="6"/>
        <v>707.1930592080789</v>
      </c>
      <c r="AC35" s="127">
        <f t="shared" si="6"/>
        <v>707.1930592080789</v>
      </c>
      <c r="AD35" s="127">
        <f t="shared" si="6"/>
        <v>707.1930592080789</v>
      </c>
      <c r="AE35" s="127">
        <f t="shared" si="6"/>
        <v>707.1930592080789</v>
      </c>
      <c r="AF35" s="127">
        <f t="shared" si="6"/>
        <v>707.1930592080789</v>
      </c>
      <c r="AG35" s="127">
        <f t="shared" si="6"/>
        <v>944.5481918438563</v>
      </c>
      <c r="AH35" s="127">
        <f t="shared" si="6"/>
        <v>944.5481918438563</v>
      </c>
      <c r="AI35" s="127">
        <f t="shared" si="6"/>
        <v>944.5481918438563</v>
      </c>
      <c r="AJ35" s="127">
        <f t="shared" si="6"/>
        <v>944.5481918438563</v>
      </c>
      <c r="AK35" s="127">
        <f t="shared" si="6"/>
        <v>944.5481918438563</v>
      </c>
      <c r="AL35" s="127">
        <f t="shared" si="6"/>
        <v>944.5481918438563</v>
      </c>
      <c r="AM35" s="132"/>
      <c r="AN35" s="403"/>
      <c r="AO35" s="24"/>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row>
    <row r="36" spans="1:116" ht="18.75">
      <c r="A36" s="371"/>
      <c r="B36" s="5"/>
      <c r="C36" s="69"/>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32"/>
      <c r="AN36" s="403"/>
      <c r="AO36" s="24"/>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row>
    <row r="37" spans="1:116" ht="18.75">
      <c r="A37" s="371"/>
      <c r="B37" s="5" t="s">
        <v>34</v>
      </c>
      <c r="C37" s="69"/>
      <c r="D37" s="120">
        <f>+'Cohorts Analysis'!D162</f>
        <v>0.12078378027168984</v>
      </c>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32"/>
      <c r="AN37" s="403"/>
      <c r="AO37" s="24"/>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row>
    <row r="38" spans="1:116" ht="18.75">
      <c r="A38" s="371"/>
      <c r="B38" s="5"/>
      <c r="C38" s="69"/>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32"/>
      <c r="AN38" s="403"/>
      <c r="AO38" s="24"/>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row>
    <row r="39" spans="1:116" ht="19.5" thickBot="1">
      <c r="A39" s="371"/>
      <c r="B39" s="5"/>
      <c r="C39" s="10"/>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403"/>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row>
    <row r="40" spans="1:116" ht="18.75">
      <c r="A40" s="371"/>
      <c r="B40" s="14"/>
      <c r="C40" s="63"/>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2"/>
      <c r="AN40" s="403"/>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row>
    <row r="41" spans="1:116" ht="21.75">
      <c r="A41" s="371"/>
      <c r="B41" s="133"/>
      <c r="C41" s="10"/>
      <c r="D41" s="9"/>
      <c r="E41" s="44"/>
      <c r="F41" s="44"/>
      <c r="G41" s="44"/>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403"/>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row>
    <row r="42" spans="1:116" ht="21.75">
      <c r="A42" s="371"/>
      <c r="B42" s="133"/>
      <c r="C42" s="10"/>
      <c r="D42" s="51"/>
      <c r="E42" s="119"/>
      <c r="F42" s="119"/>
      <c r="G42" s="119"/>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403"/>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row>
    <row r="43" spans="1:116" ht="21.75">
      <c r="A43" s="371"/>
      <c r="B43" s="133"/>
      <c r="C43" s="10"/>
      <c r="D43" s="52"/>
      <c r="E43" s="52"/>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403"/>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row>
    <row r="44" spans="1:116" ht="19.5" thickBot="1">
      <c r="A44" s="376"/>
      <c r="B44" s="408"/>
      <c r="C44" s="40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79"/>
      <c r="AL44" s="379"/>
      <c r="AM44" s="379"/>
      <c r="AN44" s="410"/>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row>
    <row r="45" spans="4:116" ht="18.75">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row>
    <row r="46" spans="4:116" ht="18.75">
      <c r="D46" s="11"/>
      <c r="E46" s="11"/>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row>
    <row r="47" spans="2:116" ht="18.75">
      <c r="B47" s="5"/>
      <c r="C47" s="5" t="s">
        <v>30</v>
      </c>
      <c r="D47" s="9"/>
      <c r="E47" s="9"/>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row>
    <row r="48" spans="2:116" ht="18.75">
      <c r="B48" s="5"/>
      <c r="C48" s="10"/>
      <c r="D48" s="2">
        <f>+D8</f>
        <v>11</v>
      </c>
      <c r="E48" s="2">
        <f aca="true" t="shared" si="7" ref="E48:AL48">+E8</f>
        <v>12</v>
      </c>
      <c r="F48" s="2">
        <f t="shared" si="7"/>
        <v>13</v>
      </c>
      <c r="G48" s="2">
        <f t="shared" si="7"/>
        <v>14</v>
      </c>
      <c r="H48" s="2">
        <f t="shared" si="7"/>
        <v>15</v>
      </c>
      <c r="I48" s="2">
        <f t="shared" si="7"/>
        <v>16</v>
      </c>
      <c r="J48" s="2">
        <f t="shared" si="7"/>
        <v>17</v>
      </c>
      <c r="K48" s="2">
        <f t="shared" si="7"/>
        <v>18</v>
      </c>
      <c r="L48" s="2">
        <f t="shared" si="7"/>
        <v>19</v>
      </c>
      <c r="M48" s="2">
        <f t="shared" si="7"/>
        <v>20</v>
      </c>
      <c r="N48" s="2">
        <f t="shared" si="7"/>
        <v>21</v>
      </c>
      <c r="O48" s="2">
        <f t="shared" si="7"/>
        <v>22</v>
      </c>
      <c r="P48" s="2">
        <f t="shared" si="7"/>
        <v>23</v>
      </c>
      <c r="Q48" s="2">
        <f t="shared" si="7"/>
        <v>24</v>
      </c>
      <c r="R48" s="2">
        <f t="shared" si="7"/>
        <v>25</v>
      </c>
      <c r="S48" s="2">
        <f t="shared" si="7"/>
        <v>26</v>
      </c>
      <c r="T48" s="2">
        <f t="shared" si="7"/>
        <v>27</v>
      </c>
      <c r="U48" s="2">
        <f t="shared" si="7"/>
        <v>28</v>
      </c>
      <c r="V48" s="2">
        <f t="shared" si="7"/>
        <v>29</v>
      </c>
      <c r="W48" s="2">
        <f t="shared" si="7"/>
        <v>30</v>
      </c>
      <c r="X48" s="2">
        <f t="shared" si="7"/>
        <v>31</v>
      </c>
      <c r="Y48" s="2">
        <f t="shared" si="7"/>
        <v>32</v>
      </c>
      <c r="Z48" s="2">
        <f t="shared" si="7"/>
        <v>33</v>
      </c>
      <c r="AA48" s="2">
        <f t="shared" si="7"/>
        <v>34</v>
      </c>
      <c r="AB48" s="2">
        <f t="shared" si="7"/>
        <v>35</v>
      </c>
      <c r="AC48" s="2">
        <f t="shared" si="7"/>
        <v>36</v>
      </c>
      <c r="AD48" s="2">
        <f t="shared" si="7"/>
        <v>37</v>
      </c>
      <c r="AE48" s="2">
        <f t="shared" si="7"/>
        <v>38</v>
      </c>
      <c r="AF48" s="2">
        <f t="shared" si="7"/>
        <v>39</v>
      </c>
      <c r="AG48" s="2">
        <f t="shared" si="7"/>
        <v>40</v>
      </c>
      <c r="AH48" s="2">
        <f t="shared" si="7"/>
        <v>41</v>
      </c>
      <c r="AI48" s="2">
        <f t="shared" si="7"/>
        <v>42</v>
      </c>
      <c r="AJ48" s="2">
        <f t="shared" si="7"/>
        <v>43</v>
      </c>
      <c r="AK48" s="2">
        <f t="shared" si="7"/>
        <v>44</v>
      </c>
      <c r="AL48" s="2">
        <f t="shared" si="7"/>
        <v>45</v>
      </c>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row>
    <row r="49" spans="2:116" ht="18.75">
      <c r="B49" s="62"/>
      <c r="C49" s="17"/>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row>
    <row r="50" spans="2:116" ht="18.75">
      <c r="B50" s="62"/>
      <c r="C50" s="106" t="s">
        <v>8</v>
      </c>
      <c r="D50" s="50"/>
      <c r="E50" s="50"/>
      <c r="F50" s="50"/>
      <c r="G50" s="50"/>
      <c r="H50" s="50"/>
      <c r="I50" s="50">
        <f>+'Age Earning Profiles'!D10</f>
        <v>4000</v>
      </c>
      <c r="J50" s="50">
        <f>+('Age Earning Profiles'!$D11/'Age Earning Profiles'!$D10)^0.2*I50</f>
        <v>4594.79341998814</v>
      </c>
      <c r="K50" s="50">
        <f>+('Age Earning Profiles'!$D11/'Age Earning Profiles'!$D10)^0.2*J50</f>
        <v>5278.031643091577</v>
      </c>
      <c r="L50" s="50">
        <f>+('Age Earning Profiles'!$D11/'Age Earning Profiles'!$D10)^0.2*K50</f>
        <v>6062.866266041593</v>
      </c>
      <c r="M50" s="50">
        <f>+('Age Earning Profiles'!$D11/'Age Earning Profiles'!$D10)^0.2*L50</f>
        <v>6964.404506368995</v>
      </c>
      <c r="N50" s="50">
        <f>+'Age Earning Profiles'!D11</f>
        <v>8000</v>
      </c>
      <c r="O50" s="50">
        <f>+('Age Earning Profiles'!$D12/'Age Earning Profiles'!$D11)^0.2*N50</f>
        <v>8675.774169581588</v>
      </c>
      <c r="P50" s="50">
        <f>+('Age Earning Profiles'!$D12/'Age Earning Profiles'!$D11)^0.2*O50</f>
        <v>9408.632180197386</v>
      </c>
      <c r="Q50" s="50">
        <f>+('Age Earning Profiles'!$D12/'Age Earning Profiles'!$D11)^0.2*P50</f>
        <v>10203.396005006323</v>
      </c>
      <c r="R50" s="50">
        <f>+('Age Earning Profiles'!$D12/'Age Earning Profiles'!$D11)^0.2*Q50</f>
        <v>11065.294937780729</v>
      </c>
      <c r="S50" s="50">
        <f>+'Age Earning Profiles'!D12</f>
        <v>12000</v>
      </c>
      <c r="T50" s="50">
        <f>+S50</f>
        <v>12000</v>
      </c>
      <c r="U50" s="50">
        <f aca="true" t="shared" si="8" ref="U50:AL50">+T50</f>
        <v>12000</v>
      </c>
      <c r="V50" s="50">
        <f t="shared" si="8"/>
        <v>12000</v>
      </c>
      <c r="W50" s="50">
        <f t="shared" si="8"/>
        <v>12000</v>
      </c>
      <c r="X50" s="50">
        <f t="shared" si="8"/>
        <v>12000</v>
      </c>
      <c r="Y50" s="50">
        <f t="shared" si="8"/>
        <v>12000</v>
      </c>
      <c r="Z50" s="50">
        <f t="shared" si="8"/>
        <v>12000</v>
      </c>
      <c r="AA50" s="50">
        <f t="shared" si="8"/>
        <v>12000</v>
      </c>
      <c r="AB50" s="50">
        <f t="shared" si="8"/>
        <v>12000</v>
      </c>
      <c r="AC50" s="50">
        <f t="shared" si="8"/>
        <v>12000</v>
      </c>
      <c r="AD50" s="50">
        <f t="shared" si="8"/>
        <v>12000</v>
      </c>
      <c r="AE50" s="50">
        <f t="shared" si="8"/>
        <v>12000</v>
      </c>
      <c r="AF50" s="50">
        <f t="shared" si="8"/>
        <v>12000</v>
      </c>
      <c r="AG50" s="50">
        <f t="shared" si="8"/>
        <v>12000</v>
      </c>
      <c r="AH50" s="50">
        <f t="shared" si="8"/>
        <v>12000</v>
      </c>
      <c r="AI50" s="50">
        <f t="shared" si="8"/>
        <v>12000</v>
      </c>
      <c r="AJ50" s="50">
        <f t="shared" si="8"/>
        <v>12000</v>
      </c>
      <c r="AK50" s="50">
        <f t="shared" si="8"/>
        <v>12000</v>
      </c>
      <c r="AL50" s="50">
        <f t="shared" si="8"/>
        <v>12000</v>
      </c>
      <c r="AM50" s="50"/>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row>
    <row r="51" spans="2:116" ht="18.75">
      <c r="B51" s="62"/>
      <c r="C51" s="106" t="s">
        <v>9</v>
      </c>
      <c r="D51" s="117"/>
      <c r="E51" s="117"/>
      <c r="F51" s="117"/>
      <c r="G51" s="117"/>
      <c r="H51" s="117"/>
      <c r="I51" s="117"/>
      <c r="J51" s="117">
        <f>+'Age Earning Profiles'!F10</f>
        <v>4000</v>
      </c>
      <c r="K51" s="117">
        <f>+('Age Earning Profiles'!$E11/'Age Earning Profiles'!$E10)^0.2*J51</f>
        <v>4982.92375846207</v>
      </c>
      <c r="L51" s="117">
        <f>+('Age Earning Profiles'!$E11/'Age Earning Profiles'!$E10)^0.2*K51</f>
        <v>6207.3822956614395</v>
      </c>
      <c r="M51" s="117">
        <f>+('Age Earning Profiles'!$E11/'Age Earning Profiles'!$E10)^0.2*L51</f>
        <v>7732.7281797270525</v>
      </c>
      <c r="N51" s="117">
        <f>+('Age Earning Profiles'!$E11/'Age Earning Profiles'!$E10)^0.2*M51</f>
        <v>9632.89874112277</v>
      </c>
      <c r="O51" s="117">
        <f>+'Age Earning Profiles'!F11</f>
        <v>16000</v>
      </c>
      <c r="P51" s="117">
        <f>+('Age Earning Profiles'!$E12/'Age Earning Profiles'!$E11)^0.2*O51</f>
        <v>16947.581456780994</v>
      </c>
      <c r="Q51" s="117">
        <f>+('Age Earning Profiles'!$E12/'Age Earning Profiles'!$E11)^0.2*P51</f>
        <v>17951.28232713919</v>
      </c>
      <c r="R51" s="117">
        <f>+('Age Earning Profiles'!$E12/'Age Earning Profiles'!$E11)^0.2*Q51</f>
        <v>19014.426218304034</v>
      </c>
      <c r="S51" s="117">
        <f>+('Age Earning Profiles'!$E12/'Age Earning Profiles'!$E11)^0.2*R51</f>
        <v>20140.53357429124</v>
      </c>
      <c r="T51" s="117">
        <f>+'Age Earning Profiles'!F12</f>
        <v>20000</v>
      </c>
      <c r="U51" s="117">
        <f>+('Age Earning Profiles'!$E13/'Age Earning Profiles'!$E12)^0.2*T51</f>
        <v>20000</v>
      </c>
      <c r="V51" s="117">
        <f>+('Age Earning Profiles'!$E13/'Age Earning Profiles'!$E12)^0.2*U51</f>
        <v>20000</v>
      </c>
      <c r="W51" s="117">
        <f>+('Age Earning Profiles'!$E13/'Age Earning Profiles'!$E12)^0.2*V51</f>
        <v>20000</v>
      </c>
      <c r="X51" s="117">
        <f>+('Age Earning Profiles'!$E13/'Age Earning Profiles'!$E12)^0.2*W51</f>
        <v>20000</v>
      </c>
      <c r="Y51" s="117">
        <f>+('Age Earning Profiles'!$E13/'Age Earning Profiles'!$E12)^0.2*X51</f>
        <v>20000</v>
      </c>
      <c r="Z51" s="117">
        <f>+('Age Earning Profiles'!$E13/'Age Earning Profiles'!$E12)^0.2*Y51</f>
        <v>20000</v>
      </c>
      <c r="AA51" s="117">
        <f>+('Age Earning Profiles'!$E13/'Age Earning Profiles'!$E12)^0.2*Z51</f>
        <v>20000</v>
      </c>
      <c r="AB51" s="117">
        <f>+('Age Earning Profiles'!$E13/'Age Earning Profiles'!$E12)^0.2*AA51</f>
        <v>20000</v>
      </c>
      <c r="AC51" s="117">
        <f>+('Age Earning Profiles'!$E13/'Age Earning Profiles'!$E12)^0.2*AB51</f>
        <v>20000</v>
      </c>
      <c r="AD51" s="117">
        <f>+('Age Earning Profiles'!$E13/'Age Earning Profiles'!$E12)^0.2*AC51</f>
        <v>20000</v>
      </c>
      <c r="AE51" s="117">
        <f>+('Age Earning Profiles'!$E13/'Age Earning Profiles'!$E12)^0.2*AD51</f>
        <v>20000</v>
      </c>
      <c r="AF51" s="117">
        <f>+('Age Earning Profiles'!$E13/'Age Earning Profiles'!$E12)^0.2*AE51</f>
        <v>20000</v>
      </c>
      <c r="AG51" s="117">
        <f>+('Age Earning Profiles'!$E13/'Age Earning Profiles'!$E12)^0.2*AF51</f>
        <v>20000</v>
      </c>
      <c r="AH51" s="117">
        <f>+('Age Earning Profiles'!$E13/'Age Earning Profiles'!$E12)^0.2*AG51</f>
        <v>20000</v>
      </c>
      <c r="AI51" s="117">
        <f>+('Age Earning Profiles'!$E13/'Age Earning Profiles'!$E12)^0.2*AH51</f>
        <v>20000</v>
      </c>
      <c r="AJ51" s="117">
        <f>+('Age Earning Profiles'!$E13/'Age Earning Profiles'!$E12)^0.2*AI51</f>
        <v>20000</v>
      </c>
      <c r="AK51" s="117">
        <f>+('Age Earning Profiles'!$E13/'Age Earning Profiles'!$E12)^0.2*AJ51</f>
        <v>20000</v>
      </c>
      <c r="AL51" s="117">
        <f>+('Age Earning Profiles'!$E13/'Age Earning Profiles'!$E12)^0.2*AK51</f>
        <v>20000</v>
      </c>
      <c r="AM51" s="117" t="e">
        <f>+('Age Earning Profiles'!$E13/'Age Earning Profiles'!$E12)^0.2*#REF!</f>
        <v>#REF!</v>
      </c>
      <c r="AN51" s="117"/>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row>
    <row r="52" spans="2:116" ht="18.75">
      <c r="B52" s="5"/>
      <c r="C52" s="105" t="s">
        <v>10</v>
      </c>
      <c r="D52" s="53"/>
      <c r="E52" s="53"/>
      <c r="F52" s="53"/>
      <c r="G52" s="53"/>
      <c r="H52" s="53"/>
      <c r="I52" s="53"/>
      <c r="J52" s="53"/>
      <c r="K52" s="53"/>
      <c r="L52" s="53"/>
      <c r="M52" s="53">
        <f>+'Age Earning Profiles'!F11</f>
        <v>16000</v>
      </c>
      <c r="N52" s="53">
        <f>+M52</f>
        <v>16000</v>
      </c>
      <c r="O52" s="53">
        <f>+('Age Earning Profiles'!$F12/'Age Earning Profiles'!$F11)^0.2*N52</f>
        <v>16730.23284146037</v>
      </c>
      <c r="P52" s="53">
        <f>+('Age Earning Profiles'!$F12/'Age Earning Profiles'!$F11)^0.2*O52</f>
        <v>17493.793183092446</v>
      </c>
      <c r="Q52" s="53">
        <f>+('Age Earning Profiles'!$F12/'Age Earning Profiles'!$F11)^0.2*P52</f>
        <v>18292.20207709305</v>
      </c>
      <c r="R52" s="53">
        <f>+('Age Earning Profiles'!$F12/'Age Earning Profiles'!$F11)^0.2*Q52</f>
        <v>19127.049995800735</v>
      </c>
      <c r="S52" s="53">
        <f>+'Age Earning Profiles'!F12</f>
        <v>20000</v>
      </c>
      <c r="T52" s="53">
        <f>+S52</f>
        <v>20000</v>
      </c>
      <c r="U52" s="53">
        <f aca="true" t="shared" si="9" ref="U52:AL52">+T52</f>
        <v>20000</v>
      </c>
      <c r="V52" s="53">
        <f t="shared" si="9"/>
        <v>20000</v>
      </c>
      <c r="W52" s="53">
        <f t="shared" si="9"/>
        <v>20000</v>
      </c>
      <c r="X52" s="53">
        <f t="shared" si="9"/>
        <v>20000</v>
      </c>
      <c r="Y52" s="53">
        <f t="shared" si="9"/>
        <v>20000</v>
      </c>
      <c r="Z52" s="53">
        <f t="shared" si="9"/>
        <v>20000</v>
      </c>
      <c r="AA52" s="53">
        <f t="shared" si="9"/>
        <v>20000</v>
      </c>
      <c r="AB52" s="53">
        <f t="shared" si="9"/>
        <v>20000</v>
      </c>
      <c r="AC52" s="53">
        <f t="shared" si="9"/>
        <v>20000</v>
      </c>
      <c r="AD52" s="53">
        <f t="shared" si="9"/>
        <v>20000</v>
      </c>
      <c r="AE52" s="53">
        <f t="shared" si="9"/>
        <v>20000</v>
      </c>
      <c r="AF52" s="53">
        <f t="shared" si="9"/>
        <v>20000</v>
      </c>
      <c r="AG52" s="53">
        <f t="shared" si="9"/>
        <v>20000</v>
      </c>
      <c r="AH52" s="53">
        <f t="shared" si="9"/>
        <v>20000</v>
      </c>
      <c r="AI52" s="53">
        <f t="shared" si="9"/>
        <v>20000</v>
      </c>
      <c r="AJ52" s="53">
        <f t="shared" si="9"/>
        <v>20000</v>
      </c>
      <c r="AK52" s="53">
        <f t="shared" si="9"/>
        <v>20000</v>
      </c>
      <c r="AL52" s="53">
        <f t="shared" si="9"/>
        <v>20000</v>
      </c>
      <c r="AM52" s="53"/>
      <c r="AN52" s="24"/>
      <c r="AO52" s="24"/>
      <c r="AP52" s="24"/>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row>
    <row r="53" spans="2:116" ht="18.75">
      <c r="B53" s="5"/>
      <c r="C53" s="105" t="s">
        <v>11</v>
      </c>
      <c r="D53" s="50"/>
      <c r="E53" s="65"/>
      <c r="F53" s="66"/>
      <c r="G53" s="66"/>
      <c r="H53" s="66"/>
      <c r="I53" s="66"/>
      <c r="J53" s="66"/>
      <c r="K53" s="66"/>
      <c r="L53" s="66"/>
      <c r="M53" s="66"/>
      <c r="N53" s="66"/>
      <c r="O53" s="66"/>
      <c r="P53" s="50">
        <f>+Q53</f>
        <v>30000</v>
      </c>
      <c r="Q53" s="50">
        <f>+'Age Earning Profiles'!G12</f>
        <v>30000</v>
      </c>
      <c r="R53" s="50">
        <f>+Q53</f>
        <v>30000</v>
      </c>
      <c r="S53" s="50">
        <f>+R53</f>
        <v>30000</v>
      </c>
      <c r="T53" s="50">
        <f>+('Age Earning Profiles'!$G13/'Age Earning Profiles'!$G12)^0.2*S53</f>
        <v>31776.715231464364</v>
      </c>
      <c r="U53" s="50">
        <f>+('Age Earning Profiles'!$G13/'Age Earning Profiles'!$G12)^0.2*T53</f>
        <v>33658.65436338598</v>
      </c>
      <c r="V53" s="50">
        <f>+('Age Earning Profiles'!$G13/'Age Earning Profiles'!$G12)^0.2*U53</f>
        <v>35652.04915932006</v>
      </c>
      <c r="W53" s="50">
        <f>+('Age Earning Profiles'!$G13/'Age Earning Profiles'!$G12)^0.2*V53</f>
        <v>37763.50045179606</v>
      </c>
      <c r="X53" s="50">
        <f>+'Age Earning Profiles'!G13</f>
        <v>40000</v>
      </c>
      <c r="Y53" s="50">
        <f>+('Age Earning Profiles'!$G14/'Age Earning Profiles'!$G13)^0.2*X53</f>
        <v>43378.87084790794</v>
      </c>
      <c r="Z53" s="50">
        <f>+('Age Earning Profiles'!$G14/'Age Earning Profiles'!$G13)^0.2*Y53</f>
        <v>47043.160900986935</v>
      </c>
      <c r="AA53" s="50">
        <f>+('Age Earning Profiles'!$G14/'Age Earning Profiles'!$G13)^0.2*Z53</f>
        <v>51016.980025031626</v>
      </c>
      <c r="AB53" s="50">
        <f>+('Age Earning Profiles'!$G14/'Age Earning Profiles'!$G13)^0.2*AA53</f>
        <v>55326.474688903654</v>
      </c>
      <c r="AC53" s="50">
        <f>+'Age Earning Profiles'!G14</f>
        <v>60000</v>
      </c>
      <c r="AD53" s="50">
        <f>+('Age Earning Profiles'!$G15/'Age Earning Profiles'!$G14)^0.2*AC53</f>
        <v>69486.91053715767</v>
      </c>
      <c r="AE53" s="50">
        <f>+('Age Earning Profiles'!$G15/'Age Earning Profiles'!$G14)^0.2*AD53</f>
        <v>80473.84559998257</v>
      </c>
      <c r="AF53" s="50">
        <f>+('Age Earning Profiles'!$G15/'Age Earning Profiles'!$G14)^0.2*AE53</f>
        <v>93197.98182978379</v>
      </c>
      <c r="AG53" s="50">
        <f>+('Age Earning Profiles'!$G15/'Age Earning Profiles'!$G14)^0.2*AF53</f>
        <v>107933.99709416387</v>
      </c>
      <c r="AH53" s="50">
        <f>+'Age Earning Profiles'!G15</f>
        <v>125000</v>
      </c>
      <c r="AI53" s="50">
        <f>+('Age Earning Profiles'!$G16/'Age Earning Profiles'!$G15)^0.2*AH53</f>
        <v>129642.16116708102</v>
      </c>
      <c r="AJ53" s="50">
        <f>+('Age Earning Profiles'!$G16/'Age Earning Profiles'!$G15)^0.2*AI53</f>
        <v>134456.7196165713</v>
      </c>
      <c r="AK53" s="50">
        <f>+('Age Earning Profiles'!$G16/'Age Earning Profiles'!$G15)^0.2*AJ53</f>
        <v>139450.0777162285</v>
      </c>
      <c r="AL53" s="50">
        <f>+('Age Earning Profiles'!$G16/'Age Earning Profiles'!$G15)^0.2*AK53</f>
        <v>144628.87560039415</v>
      </c>
      <c r="AM53" s="66"/>
      <c r="AN53" s="24"/>
      <c r="AO53" s="24"/>
      <c r="AP53" s="24"/>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row>
    <row r="54" spans="2:116" ht="18.75">
      <c r="B54" s="5"/>
      <c r="C54" s="106" t="s">
        <v>15</v>
      </c>
      <c r="D54" s="50"/>
      <c r="E54" s="50"/>
      <c r="F54" s="50"/>
      <c r="G54" s="50"/>
      <c r="H54" s="50"/>
      <c r="I54" s="50"/>
      <c r="J54" s="50"/>
      <c r="K54" s="50"/>
      <c r="L54" s="50"/>
      <c r="M54" s="50"/>
      <c r="N54" s="50"/>
      <c r="O54" s="50"/>
      <c r="P54" s="50"/>
      <c r="Q54" s="50"/>
      <c r="R54" s="50"/>
      <c r="S54" s="50"/>
      <c r="T54" s="50"/>
      <c r="U54" s="50">
        <f>+'Age Earning Profiles'!H12</f>
        <v>125000</v>
      </c>
      <c r="V54" s="50">
        <f>+('Age Earning Profiles'!$H13/'Age Earning Profiles'!$H12)^0.3*U54</f>
        <v>132027.49605490727</v>
      </c>
      <c r="W54" s="50">
        <f>+('Age Earning Profiles'!$H13/'Age Earning Profiles'!$H12)^0.3*V54</f>
        <v>139450.07771622844</v>
      </c>
      <c r="X54" s="50">
        <f>+'Age Earning Profiles'!H13</f>
        <v>150000</v>
      </c>
      <c r="Y54" s="50">
        <f>+('Age Earning Profiles'!$H14/'Age Earning Profiles'!$H13)^0.2*X54</f>
        <v>151948.70523363547</v>
      </c>
      <c r="Z54" s="50">
        <f>+('Age Earning Profiles'!$H14/'Age Earning Profiles'!$H13)^0.2*Y54</f>
        <v>153922.7268145216</v>
      </c>
      <c r="AA54" s="50">
        <f>+('Age Earning Profiles'!$H14/'Age Earning Profiles'!$H13)^0.2*Z54</f>
        <v>155922.39363664758</v>
      </c>
      <c r="AB54" s="50">
        <f>+('Age Earning Profiles'!$H14/'Age Earning Profiles'!$H13)^0.2*AA54</f>
        <v>157948.03886678562</v>
      </c>
      <c r="AC54" s="50">
        <f>+'Age Earning Profiles'!H14</f>
        <v>160000</v>
      </c>
      <c r="AD54" s="50">
        <f>+('Age Earning Profiles'!$H15/'Age Earning Profiles'!$H14)^0.2*AC54</f>
        <v>162893.44037123182</v>
      </c>
      <c r="AE54" s="50">
        <f>+('Age Earning Profiles'!$H15/'Age Earning Profiles'!$H14)^0.2*AD54</f>
        <v>165839.20572485036</v>
      </c>
      <c r="AF54" s="50">
        <f>+('Age Earning Profiles'!$H15/'Age Earning Profiles'!$H14)^0.2*AE54</f>
        <v>168838.2423059585</v>
      </c>
      <c r="AG54" s="50">
        <f>+('Age Earning Profiles'!$H15/'Age Earning Profiles'!$H14)^0.2*AF54</f>
        <v>171891.51347155776</v>
      </c>
      <c r="AH54" s="50">
        <f>+'Age Earning Profiles'!H15</f>
        <v>175000</v>
      </c>
      <c r="AI54" s="50">
        <f>+('Age Earning Profiles'!$H16/'Age Earning Profiles'!$H15)^0.2*AH54</f>
        <v>184020.81193952408</v>
      </c>
      <c r="AJ54" s="50">
        <f>+('Age Earning Profiles'!$H16/'Age Earning Profiles'!$H15)^0.2*AI54</f>
        <v>193506.62415360965</v>
      </c>
      <c r="AK54" s="50">
        <f>+('Age Earning Profiles'!$H16/'Age Earning Profiles'!$H15)^0.2*AJ54</f>
        <v>203481.4062424204</v>
      </c>
      <c r="AL54" s="50">
        <f>+'Age Earning Profiles'!H16</f>
        <v>225000</v>
      </c>
      <c r="AM54" s="50"/>
      <c r="AN54" s="24"/>
      <c r="AO54" s="24"/>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row>
    <row r="55" spans="2:116" s="54" customFormat="1" ht="18.75">
      <c r="B55" s="5"/>
      <c r="C55" s="10"/>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9"/>
      <c r="AO55" s="19"/>
      <c r="AP55" s="55"/>
      <c r="AQ55" s="53"/>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row>
    <row r="56" spans="2:116" ht="18.75">
      <c r="B56" s="5"/>
      <c r="C56" s="1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row>
  </sheetData>
  <mergeCells count="1">
    <mergeCell ref="A1:G1"/>
  </mergeCells>
  <conditionalFormatting sqref="A1">
    <cfRule type="cellIs" priority="1" dxfId="0" operator="equal" stopIfTrue="1">
      <formula>0</formula>
    </cfRule>
    <cfRule type="cellIs" priority="2" dxfId="1" operator="notEqual" stopIfTrue="1">
      <formula>0</formula>
    </cfRule>
  </conditionalFormatting>
  <printOptions horizontalCentered="1" verticalCentered="1"/>
  <pageMargins left="0.75" right="0.75" top="1" bottom="1" header="0.5" footer="0.5"/>
  <pageSetup fitToHeight="1" fitToWidth="1" horizontalDpi="300" verticalDpi="300" orientation="portrait" paperSize="9" scale="47" r:id="rId1"/>
</worksheet>
</file>

<file path=xl/worksheets/sheet8.xml><?xml version="1.0" encoding="utf-8"?>
<worksheet xmlns="http://schemas.openxmlformats.org/spreadsheetml/2006/main" xmlns:r="http://schemas.openxmlformats.org/officeDocument/2006/relationships">
  <sheetPr codeName="Sheet7"/>
  <dimension ref="A1:CG46"/>
  <sheetViews>
    <sheetView zoomScale="75" zoomScaleNormal="75" workbookViewId="0" topLeftCell="A1">
      <selection activeCell="D37" sqref="D37"/>
    </sheetView>
  </sheetViews>
  <sheetFormatPr defaultColWidth="9.00390625" defaultRowHeight="15.75"/>
  <cols>
    <col min="1" max="1" width="9.00390625" style="4" customWidth="1"/>
    <col min="2" max="2" width="7.375" style="16" customWidth="1"/>
    <col min="3" max="3" width="65.00390625" style="18" customWidth="1"/>
    <col min="4" max="8" width="17.00390625" style="4" customWidth="1"/>
    <col min="9" max="10" width="9.00390625" style="4" customWidth="1"/>
    <col min="11" max="11" width="15.75390625" style="25" customWidth="1"/>
    <col min="12" max="12" width="11.00390625" style="25" customWidth="1"/>
    <col min="13" max="47" width="11.00390625" style="4" customWidth="1"/>
    <col min="48" max="16384" width="9.00390625" style="4" customWidth="1"/>
  </cols>
  <sheetData>
    <row r="1" spans="1:12" ht="15.75">
      <c r="A1" s="434">
        <f>IF('ERR &amp; Sensitivity Analysis'!$I$10="N","Note: Current calculations are based on user input and are not the original MCC estimates.",IF('ERR &amp; Sensitivity Analysis'!$I$11="N","Note: Current calculations are based on user input and are not the original MCC estimates.",0))</f>
        <v>0</v>
      </c>
      <c r="B1" s="435"/>
      <c r="C1" s="435"/>
      <c r="D1" s="435"/>
      <c r="E1" s="435"/>
      <c r="F1" s="435"/>
      <c r="G1" s="435"/>
      <c r="H1" s="389"/>
      <c r="I1" s="390"/>
      <c r="K1" s="20"/>
      <c r="L1" s="20"/>
    </row>
    <row r="2" spans="1:12" s="28" customFormat="1" ht="30.75" customHeight="1">
      <c r="A2" s="391"/>
      <c r="B2" s="26" t="s">
        <v>79</v>
      </c>
      <c r="C2" s="27"/>
      <c r="D2" s="27"/>
      <c r="E2" s="27"/>
      <c r="F2" s="27"/>
      <c r="G2" s="27"/>
      <c r="H2" s="27"/>
      <c r="I2" s="392"/>
      <c r="K2" s="29"/>
      <c r="L2" s="29"/>
    </row>
    <row r="3" spans="1:12" s="31" customFormat="1" ht="30.75">
      <c r="A3" s="393"/>
      <c r="B3" s="26" t="str">
        <f>+Projects!B4</f>
        <v>Education Projects</v>
      </c>
      <c r="C3" s="30"/>
      <c r="D3" s="30"/>
      <c r="E3" s="30"/>
      <c r="F3" s="30"/>
      <c r="G3" s="30"/>
      <c r="H3" s="30"/>
      <c r="I3" s="394"/>
      <c r="K3" s="32"/>
      <c r="L3" s="32"/>
    </row>
    <row r="4" spans="1:12" s="28" customFormat="1" ht="30">
      <c r="A4" s="391"/>
      <c r="B4" s="26" t="s">
        <v>2</v>
      </c>
      <c r="C4" s="27"/>
      <c r="D4" s="27"/>
      <c r="E4" s="27"/>
      <c r="F4" s="27"/>
      <c r="G4" s="27"/>
      <c r="H4" s="27"/>
      <c r="I4" s="392"/>
      <c r="K4" s="29"/>
      <c r="L4" s="29"/>
    </row>
    <row r="5" spans="1:12" s="35" customFormat="1" ht="20.25">
      <c r="A5" s="395"/>
      <c r="B5" s="33"/>
      <c r="C5" s="34"/>
      <c r="D5" s="34"/>
      <c r="E5" s="34"/>
      <c r="F5" s="34"/>
      <c r="G5" s="34"/>
      <c r="H5" s="34"/>
      <c r="I5" s="396"/>
      <c r="K5" s="36"/>
      <c r="L5" s="36"/>
    </row>
    <row r="6" spans="1:9" ht="18.75">
      <c r="A6" s="371"/>
      <c r="B6" s="37"/>
      <c r="C6" s="38"/>
      <c r="D6" s="3"/>
      <c r="E6" s="3"/>
      <c r="F6" s="3"/>
      <c r="G6" s="3"/>
      <c r="H6" s="3"/>
      <c r="I6" s="372"/>
    </row>
    <row r="7" spans="1:12" s="41" customFormat="1" ht="18.75">
      <c r="A7" s="397"/>
      <c r="B7" s="39"/>
      <c r="C7" s="39"/>
      <c r="D7" s="40"/>
      <c r="E7" s="2"/>
      <c r="F7" s="2"/>
      <c r="G7" s="2"/>
      <c r="H7" s="2"/>
      <c r="I7" s="398"/>
      <c r="K7" s="42"/>
      <c r="L7" s="42"/>
    </row>
    <row r="8" spans="1:63" s="41" customFormat="1" ht="18.75">
      <c r="A8" s="397"/>
      <c r="B8" s="39"/>
      <c r="C8" s="39" t="s">
        <v>19</v>
      </c>
      <c r="D8" s="40">
        <v>11</v>
      </c>
      <c r="E8" s="40">
        <f>+D8+1</f>
        <v>12</v>
      </c>
      <c r="F8" s="40">
        <f>+E8+1</f>
        <v>13</v>
      </c>
      <c r="G8" s="40">
        <f>+F8+1</f>
        <v>14</v>
      </c>
      <c r="H8" s="40">
        <f>+G8+1</f>
        <v>15</v>
      </c>
      <c r="I8" s="398"/>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row>
    <row r="9" spans="1:12" s="41" customFormat="1" ht="18.75">
      <c r="A9" s="397"/>
      <c r="B9" s="39"/>
      <c r="C9" s="39"/>
      <c r="D9" s="40"/>
      <c r="E9" s="40"/>
      <c r="F9" s="40"/>
      <c r="G9" s="40"/>
      <c r="H9" s="40"/>
      <c r="I9" s="398"/>
      <c r="K9" s="42"/>
      <c r="L9" s="42"/>
    </row>
    <row r="10" spans="1:12" s="46" customFormat="1" ht="22.5">
      <c r="A10" s="399"/>
      <c r="B10" s="57" t="s">
        <v>16</v>
      </c>
      <c r="C10" s="58"/>
      <c r="D10" s="45"/>
      <c r="E10" s="45"/>
      <c r="F10" s="45"/>
      <c r="G10" s="45"/>
      <c r="H10" s="45"/>
      <c r="I10" s="400"/>
      <c r="K10" s="47"/>
      <c r="L10" s="47"/>
    </row>
    <row r="11" spans="1:12" s="49" customFormat="1" ht="22.5">
      <c r="A11" s="401"/>
      <c r="B11" s="59"/>
      <c r="C11" s="60"/>
      <c r="D11" s="48"/>
      <c r="E11" s="48"/>
      <c r="F11" s="48"/>
      <c r="G11" s="48"/>
      <c r="H11" s="48"/>
      <c r="I11" s="402"/>
      <c r="K11" s="42"/>
      <c r="L11" s="42"/>
    </row>
    <row r="12" spans="1:85" ht="18.75">
      <c r="A12" s="371"/>
      <c r="B12" s="61" t="s">
        <v>17</v>
      </c>
      <c r="C12" s="69"/>
      <c r="D12" s="71"/>
      <c r="E12" s="71"/>
      <c r="F12" s="120"/>
      <c r="G12" s="120"/>
      <c r="H12" s="120"/>
      <c r="I12" s="403"/>
      <c r="J12" s="24"/>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row>
    <row r="13" spans="1:85" s="150" customFormat="1" ht="18.75">
      <c r="A13" s="404"/>
      <c r="B13" s="147"/>
      <c r="C13" s="148" t="s">
        <v>27</v>
      </c>
      <c r="D13" s="149">
        <f>+'Cohorts Analysis'!D33</f>
        <v>262.79017945439995</v>
      </c>
      <c r="E13" s="149">
        <f>+'Cohorts Analysis'!E33</f>
        <v>533.7543558671999</v>
      </c>
      <c r="F13" s="149">
        <f>+'Cohorts Analysis'!F33</f>
        <v>1106.4207600145442</v>
      </c>
      <c r="G13" s="149">
        <f>+'Cohorts Analysis'!G33</f>
        <v>1686.55737998217</v>
      </c>
      <c r="H13" s="149">
        <f>SUM('Cohorts Analysis'!H33:BB33)</f>
        <v>3253234.096324799</v>
      </c>
      <c r="I13" s="405"/>
      <c r="J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row>
    <row r="14" spans="1:85" ht="18.75">
      <c r="A14" s="371"/>
      <c r="B14" s="61"/>
      <c r="C14" s="126"/>
      <c r="D14" s="131"/>
      <c r="E14" s="131"/>
      <c r="F14" s="131"/>
      <c r="G14" s="131"/>
      <c r="H14" s="131"/>
      <c r="I14" s="403"/>
      <c r="J14" s="24"/>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row>
    <row r="15" spans="1:85" s="75" customFormat="1" ht="18.75">
      <c r="A15" s="406"/>
      <c r="B15" s="61" t="s">
        <v>18</v>
      </c>
      <c r="C15" s="73"/>
      <c r="D15" s="131"/>
      <c r="E15" s="131"/>
      <c r="F15" s="131"/>
      <c r="G15" s="131"/>
      <c r="H15" s="131"/>
      <c r="I15" s="407"/>
      <c r="J15" s="72"/>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row>
    <row r="16" spans="1:85" s="75" customFormat="1" ht="18.75">
      <c r="A16" s="406"/>
      <c r="B16" s="61"/>
      <c r="C16" s="70" t="s">
        <v>72</v>
      </c>
      <c r="D16" s="127">
        <f>+'Cohorts Analysis'!D55</f>
        <v>482.2658205456001</v>
      </c>
      <c r="E16" s="127">
        <f>+'Cohorts Analysis'!E55</f>
        <v>956.3576441328003</v>
      </c>
      <c r="F16" s="127">
        <f>+'Cohorts Analysis'!F55</f>
        <v>1128.7472399854562</v>
      </c>
      <c r="G16" s="127">
        <f>+'Cohorts Analysis'!G55</f>
        <v>1293.6666200178306</v>
      </c>
      <c r="H16" s="149">
        <f>SUM('Cohorts Analysis'!H55:BB55)</f>
        <v>87385.82015172052</v>
      </c>
      <c r="I16" s="407"/>
      <c r="J16" s="72"/>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row>
    <row r="17" spans="1:85" ht="18.75">
      <c r="A17" s="371"/>
      <c r="B17" s="61"/>
      <c r="C17" s="70" t="s">
        <v>38</v>
      </c>
      <c r="D17" s="130">
        <f>+'Cohorts Analysis'!D78</f>
        <v>278.2302810840001</v>
      </c>
      <c r="E17" s="130">
        <f>+'Cohorts Analysis'!E78</f>
        <v>556.4605621680003</v>
      </c>
      <c r="F17" s="130">
        <f>+'Cohorts Analysis'!F78</f>
        <v>834.6908432520004</v>
      </c>
      <c r="G17" s="130">
        <f>+'Cohorts Analysis'!G78</f>
        <v>1112.9211243360005</v>
      </c>
      <c r="H17" s="149">
        <f>SUM('Cohorts Analysis'!H78:BB78)</f>
        <v>52863.75340596003</v>
      </c>
      <c r="I17" s="403"/>
      <c r="J17" s="24"/>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row>
    <row r="18" spans="1:85" s="75" customFormat="1" ht="18.75">
      <c r="A18" s="406"/>
      <c r="B18" s="61"/>
      <c r="C18" s="126"/>
      <c r="D18" s="131"/>
      <c r="E18" s="131"/>
      <c r="F18" s="131"/>
      <c r="G18" s="131"/>
      <c r="H18" s="131"/>
      <c r="I18" s="407"/>
      <c r="J18" s="72"/>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row>
    <row r="19" spans="1:85" s="75" customFormat="1" ht="18.75">
      <c r="A19" s="406"/>
      <c r="B19" s="61" t="s">
        <v>31</v>
      </c>
      <c r="C19" s="126"/>
      <c r="D19" s="131">
        <f>+D13-D16-D17</f>
        <v>-497.70592217520027</v>
      </c>
      <c r="E19" s="131">
        <f>+E13-E16-E17</f>
        <v>-979.0638504336006</v>
      </c>
      <c r="F19" s="131">
        <f>+F13-F16-F17</f>
        <v>-857.0173232229124</v>
      </c>
      <c r="G19" s="131">
        <f>+G13-G16-G17</f>
        <v>-720.0303643716611</v>
      </c>
      <c r="H19" s="131">
        <f>+H13-H16-H17</f>
        <v>3112984.5227671186</v>
      </c>
      <c r="I19" s="407"/>
      <c r="J19" s="72"/>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row>
    <row r="20" spans="1:85" s="75" customFormat="1" ht="18.75">
      <c r="A20" s="406"/>
      <c r="B20" s="61"/>
      <c r="C20" s="126"/>
      <c r="D20" s="131"/>
      <c r="E20" s="131"/>
      <c r="F20" s="131"/>
      <c r="G20" s="131"/>
      <c r="H20" s="131"/>
      <c r="I20" s="407"/>
      <c r="J20" s="72"/>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row>
    <row r="21" spans="1:85" ht="18.75">
      <c r="A21" s="371"/>
      <c r="B21" s="61"/>
      <c r="C21" s="70" t="s">
        <v>0</v>
      </c>
      <c r="D21" s="127"/>
      <c r="E21" s="127"/>
      <c r="F21" s="127"/>
      <c r="G21" s="127"/>
      <c r="H21" s="132"/>
      <c r="I21" s="403"/>
      <c r="J21" s="24"/>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row>
    <row r="22" spans="1:85" ht="22.5">
      <c r="A22" s="371"/>
      <c r="B22" s="57" t="s">
        <v>28</v>
      </c>
      <c r="C22" s="68"/>
      <c r="D22" s="127"/>
      <c r="E22" s="127"/>
      <c r="F22" s="127"/>
      <c r="G22" s="127"/>
      <c r="H22" s="132"/>
      <c r="I22" s="403"/>
      <c r="J22" s="24"/>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row>
    <row r="23" spans="1:85" ht="18.75">
      <c r="A23" s="371"/>
      <c r="B23" s="61"/>
      <c r="C23" s="68"/>
      <c r="D23" s="127"/>
      <c r="E23" s="127"/>
      <c r="F23" s="127"/>
      <c r="G23" s="127"/>
      <c r="H23" s="127"/>
      <c r="I23" s="403"/>
      <c r="J23" s="24"/>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row>
    <row r="24" spans="1:85" ht="18.75">
      <c r="A24" s="371"/>
      <c r="B24" s="61" t="s">
        <v>17</v>
      </c>
      <c r="C24" s="69"/>
      <c r="D24" s="127"/>
      <c r="E24" s="127"/>
      <c r="F24" s="127"/>
      <c r="G24" s="127"/>
      <c r="H24" s="127"/>
      <c r="I24" s="403"/>
      <c r="J24" s="24"/>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row>
    <row r="25" spans="1:85" ht="18.75">
      <c r="A25" s="371"/>
      <c r="B25" s="147"/>
      <c r="C25" s="148" t="s">
        <v>32</v>
      </c>
      <c r="D25" s="149">
        <f>+'Cohorts Analysis'!D106</f>
        <v>251.132766432288</v>
      </c>
      <c r="E25" s="149">
        <f>+'Cohorts Analysis'!E106</f>
        <v>510.35995541606405</v>
      </c>
      <c r="F25" s="149">
        <f>+'Cohorts Analysis'!F106</f>
        <v>1077.4681768505118</v>
      </c>
      <c r="G25" s="149">
        <f>+'Cohorts Analysis'!G106</f>
        <v>1651.4403216968271</v>
      </c>
      <c r="H25" s="149">
        <f>SUM('Cohorts Analysis'!H106:BB106)</f>
        <v>3377449.417018517</v>
      </c>
      <c r="I25" s="403"/>
      <c r="J25" s="24"/>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row>
    <row r="26" spans="1:85" ht="18.75">
      <c r="A26" s="371"/>
      <c r="B26" s="61"/>
      <c r="C26" s="126"/>
      <c r="D26" s="127"/>
      <c r="E26" s="127"/>
      <c r="F26" s="127"/>
      <c r="G26" s="127"/>
      <c r="H26" s="127"/>
      <c r="I26" s="403"/>
      <c r="J26" s="24"/>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row>
    <row r="27" spans="1:85" ht="18.75">
      <c r="A27" s="371"/>
      <c r="B27" s="61" t="s">
        <v>18</v>
      </c>
      <c r="C27" s="73"/>
      <c r="D27" s="127"/>
      <c r="E27" s="127"/>
      <c r="F27" s="127"/>
      <c r="G27" s="127"/>
      <c r="H27" s="127"/>
      <c r="I27" s="403"/>
      <c r="J27" s="24"/>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row>
    <row r="28" spans="1:85" ht="18.75">
      <c r="A28" s="371"/>
      <c r="B28" s="61"/>
      <c r="C28" s="70" t="s">
        <v>72</v>
      </c>
      <c r="D28" s="130">
        <f>+'Cohorts Analysis'!D130</f>
        <v>503.18963356771195</v>
      </c>
      <c r="E28" s="130">
        <f>+'Cohorts Analysis'!E130</f>
        <v>998.2848445839359</v>
      </c>
      <c r="F28" s="130">
        <f>+'Cohorts Analysis'!F130</f>
        <v>1185.499023149488</v>
      </c>
      <c r="G28" s="130">
        <f>+'Cohorts Analysis'!G130</f>
        <v>1365.849278303173</v>
      </c>
      <c r="H28" s="149">
        <f>SUM('Cohorts Analysis'!H130:BB130)</f>
        <v>59520.828801786614</v>
      </c>
      <c r="I28" s="403"/>
      <c r="J28" s="24"/>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row>
    <row r="29" spans="1:85" ht="18.75">
      <c r="A29" s="371"/>
      <c r="B29" s="61"/>
      <c r="C29" s="68" t="s">
        <v>38</v>
      </c>
      <c r="D29" s="130">
        <f>+'Cohorts Analysis'!D153</f>
        <v>290.30171167367996</v>
      </c>
      <c r="E29" s="130">
        <f>+'Cohorts Analysis'!E153</f>
        <v>580.6034233473599</v>
      </c>
      <c r="F29" s="130">
        <f>+'Cohorts Analysis'!F153</f>
        <v>870.9051350210399</v>
      </c>
      <c r="G29" s="130">
        <f>+'Cohorts Analysis'!G153</f>
        <v>1161.2068466947198</v>
      </c>
      <c r="H29" s="149">
        <f>SUM('Cohorts Analysis'!H153:BB153)</f>
        <v>55157.325217999205</v>
      </c>
      <c r="I29" s="403"/>
      <c r="J29" s="24"/>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row>
    <row r="30" spans="1:85" ht="18.75">
      <c r="A30" s="371"/>
      <c r="B30" s="61"/>
      <c r="C30" s="70" t="s">
        <v>20</v>
      </c>
      <c r="D30" s="130">
        <f>+(Projects!D11*'Project Cost'!D13+Projects!E11*'Project Cost'!E13+Projects!F11*'Project Cost'!F13)*9100/1000000</f>
        <v>14749.3164</v>
      </c>
      <c r="E30" s="127"/>
      <c r="F30" s="127"/>
      <c r="G30" s="127"/>
      <c r="H30" s="127"/>
      <c r="I30" s="403"/>
      <c r="J30" s="24"/>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row>
    <row r="31" spans="1:85" ht="18.75">
      <c r="A31" s="371"/>
      <c r="B31" s="61"/>
      <c r="C31" s="151" t="s">
        <v>21</v>
      </c>
      <c r="D31" s="130">
        <f>SUM(D28:D30)</f>
        <v>15542.80774524139</v>
      </c>
      <c r="E31" s="130">
        <f>SUM(E28:E30)</f>
        <v>1578.8882679312958</v>
      </c>
      <c r="F31" s="130">
        <f>SUM(F28:F30)</f>
        <v>2056.404158170528</v>
      </c>
      <c r="G31" s="130">
        <f>SUM(G28:G30)</f>
        <v>2527.0561249978928</v>
      </c>
      <c r="H31" s="130">
        <f>SUM(H28:H30)</f>
        <v>114678.15401978581</v>
      </c>
      <c r="I31" s="403"/>
      <c r="J31" s="24"/>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row>
    <row r="32" spans="1:85" ht="18.75">
      <c r="A32" s="371"/>
      <c r="B32" s="61"/>
      <c r="C32" s="70"/>
      <c r="D32" s="130"/>
      <c r="E32" s="127"/>
      <c r="F32" s="127"/>
      <c r="G32" s="127"/>
      <c r="H32" s="127"/>
      <c r="I32" s="403"/>
      <c r="J32" s="24"/>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row>
    <row r="33" spans="1:85" ht="18.75">
      <c r="A33" s="371"/>
      <c r="B33" s="61" t="s">
        <v>31</v>
      </c>
      <c r="C33" s="126"/>
      <c r="D33" s="131">
        <f>+D25-D31</f>
        <v>-15291.674978809104</v>
      </c>
      <c r="E33" s="131">
        <f>+E25-E31</f>
        <v>-1068.5283125152318</v>
      </c>
      <c r="F33" s="131">
        <f>+F25-F31</f>
        <v>-978.935981320016</v>
      </c>
      <c r="G33" s="131">
        <f>+G25-G31</f>
        <v>-875.6158033010656</v>
      </c>
      <c r="H33" s="131">
        <f>+H25-H31</f>
        <v>3262771.262998731</v>
      </c>
      <c r="I33" s="403"/>
      <c r="J33" s="24"/>
      <c r="K33" s="50"/>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row>
    <row r="34" spans="1:85" s="75" customFormat="1" ht="18.75">
      <c r="A34" s="406"/>
      <c r="B34" s="61"/>
      <c r="C34" s="70" t="s">
        <v>0</v>
      </c>
      <c r="D34" s="131"/>
      <c r="E34" s="131"/>
      <c r="F34" s="131"/>
      <c r="G34" s="131"/>
      <c r="H34" s="131"/>
      <c r="I34" s="407"/>
      <c r="J34" s="72"/>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row>
    <row r="35" spans="1:85" ht="18.75">
      <c r="A35" s="371"/>
      <c r="B35" s="5" t="s">
        <v>33</v>
      </c>
      <c r="C35" s="69"/>
      <c r="D35" s="127">
        <f>+D19-D33</f>
        <v>14793.969056633903</v>
      </c>
      <c r="E35" s="127">
        <f>IF(AND(E19&gt;0,E33&gt;0),E33-E19,IF(AND(E19&gt;0,E33&lt;0),E33-E19,IF(AND(E19&lt;E221,E33&lt;0),E33-E19,E33-E19)))</f>
        <v>-89.46446208163127</v>
      </c>
      <c r="F35" s="127">
        <f>IF(AND(F19&gt;0,F33&gt;0),F33-F19,IF(AND(F19&gt;0,F33&lt;0),F33-F19,IF(AND(F19&lt;F221,F33&lt;0),F33-F19,F33-F19)))</f>
        <v>-121.91865809710362</v>
      </c>
      <c r="G35" s="127">
        <f>IF(AND(G19&gt;0,G33&gt;0),G33-G19,IF(AND(G19&gt;0,G33&lt;0),G33-G19,IF(AND(G19&lt;G221,G33&lt;0),G33-G19,G33-G19)))</f>
        <v>-155.58543892940452</v>
      </c>
      <c r="H35" s="149">
        <f>SUM('Cost Benefit Analysis'!H35:AL35)</f>
        <v>18466.22380327116</v>
      </c>
      <c r="I35" s="403"/>
      <c r="J35" s="24"/>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row>
    <row r="36" spans="1:85" ht="18.75">
      <c r="A36" s="371"/>
      <c r="B36" s="5"/>
      <c r="C36" s="69"/>
      <c r="D36" s="127"/>
      <c r="E36" s="127"/>
      <c r="F36" s="127"/>
      <c r="G36" s="127"/>
      <c r="H36" s="127"/>
      <c r="I36" s="403"/>
      <c r="J36" s="24"/>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row>
    <row r="37" spans="1:85" ht="18.75">
      <c r="A37" s="371"/>
      <c r="B37" s="5" t="s">
        <v>34</v>
      </c>
      <c r="C37" s="69"/>
      <c r="D37" s="120">
        <f>+'Cohorts Analysis'!D162</f>
        <v>0.12078378027168984</v>
      </c>
      <c r="E37" s="127"/>
      <c r="F37" s="127"/>
      <c r="G37" s="127"/>
      <c r="H37" s="127"/>
      <c r="I37" s="403"/>
      <c r="J37" s="24"/>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row>
    <row r="38" spans="1:85" ht="18.75">
      <c r="A38" s="371"/>
      <c r="B38" s="5"/>
      <c r="C38" s="69"/>
      <c r="D38" s="127"/>
      <c r="E38" s="127"/>
      <c r="F38" s="127"/>
      <c r="G38" s="127"/>
      <c r="H38" s="127"/>
      <c r="I38" s="403"/>
      <c r="J38" s="24"/>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row>
    <row r="39" spans="1:85" ht="19.5" thickBot="1">
      <c r="A39" s="371"/>
      <c r="B39" s="5"/>
      <c r="C39" s="10"/>
      <c r="D39" s="2"/>
      <c r="E39" s="2"/>
      <c r="F39" s="2"/>
      <c r="G39" s="2"/>
      <c r="H39" s="2"/>
      <c r="I39" s="403"/>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row>
    <row r="40" spans="1:85" ht="18.75">
      <c r="A40" s="371"/>
      <c r="B40" s="14"/>
      <c r="C40" s="63"/>
      <c r="D40" s="15"/>
      <c r="E40" s="15"/>
      <c r="F40" s="15"/>
      <c r="G40" s="15"/>
      <c r="H40" s="15"/>
      <c r="I40" s="403"/>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row>
    <row r="41" spans="1:85" ht="21.75">
      <c r="A41" s="371"/>
      <c r="B41" s="133"/>
      <c r="C41" s="10"/>
      <c r="D41" s="9"/>
      <c r="E41" s="44"/>
      <c r="F41" s="44"/>
      <c r="G41" s="44"/>
      <c r="H41" s="9"/>
      <c r="I41" s="403"/>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row>
    <row r="42" spans="1:85" ht="21.75">
      <c r="A42" s="371"/>
      <c r="B42" s="133"/>
      <c r="C42" s="10"/>
      <c r="D42" s="51"/>
      <c r="E42" s="119"/>
      <c r="F42" s="119"/>
      <c r="G42" s="119"/>
      <c r="H42" s="51"/>
      <c r="I42" s="403"/>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row>
    <row r="43" spans="1:85" ht="21.75">
      <c r="A43" s="371"/>
      <c r="B43" s="133"/>
      <c r="C43" s="10"/>
      <c r="D43" s="52"/>
      <c r="E43" s="52"/>
      <c r="F43" s="24"/>
      <c r="G43" s="24"/>
      <c r="H43" s="24"/>
      <c r="I43" s="403"/>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row>
    <row r="44" spans="1:85" ht="19.5" thickBot="1">
      <c r="A44" s="376"/>
      <c r="B44" s="408"/>
      <c r="C44" s="409"/>
      <c r="D44" s="379"/>
      <c r="E44" s="379"/>
      <c r="F44" s="379"/>
      <c r="G44" s="379"/>
      <c r="H44" s="379"/>
      <c r="I44" s="410"/>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row>
    <row r="45" spans="4:85" ht="18.75">
      <c r="D45" s="11"/>
      <c r="E45" s="11"/>
      <c r="F45" s="11"/>
      <c r="G45" s="11"/>
      <c r="H45" s="11"/>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row>
    <row r="46" spans="4:85" ht="18.75">
      <c r="D46" s="11"/>
      <c r="E46" s="11"/>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row>
  </sheetData>
  <mergeCells count="1">
    <mergeCell ref="A1:G1"/>
  </mergeCells>
  <conditionalFormatting sqref="A1">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
    <pageSetUpPr fitToPage="1"/>
  </sheetPr>
  <dimension ref="A1:G20"/>
  <sheetViews>
    <sheetView zoomScale="90" zoomScaleNormal="90" zoomScaleSheetLayoutView="70" workbookViewId="0" topLeftCell="A1">
      <selection activeCell="G11" sqref="G11"/>
    </sheetView>
  </sheetViews>
  <sheetFormatPr defaultColWidth="9.00390625" defaultRowHeight="15.75"/>
  <cols>
    <col min="1" max="1" width="9.00390625" style="79" customWidth="1"/>
    <col min="2" max="2" width="33.375" style="79" customWidth="1"/>
    <col min="3" max="3" width="7.75390625" style="79" customWidth="1"/>
    <col min="4" max="4" width="12.50390625" style="79" bestFit="1" customWidth="1"/>
    <col min="5" max="6" width="10.875" style="79" customWidth="1"/>
    <col min="7" max="16384" width="9.00390625" style="79" customWidth="1"/>
  </cols>
  <sheetData>
    <row r="1" spans="1:7" ht="12" customHeight="1">
      <c r="A1" s="436">
        <f>IF('ERR &amp; Sensitivity Analysis'!$I$10="N","Note: Current calculations are based on user input and are not the original MCC estimates.",IF('ERR &amp; Sensitivity Analysis'!$I$11="N","Note: Current calculations are based on user input and are not the original MCC estimates.",0))</f>
        <v>0</v>
      </c>
      <c r="B1" s="437"/>
      <c r="C1" s="437"/>
      <c r="D1" s="437"/>
      <c r="E1" s="437"/>
      <c r="F1" s="437"/>
      <c r="G1" s="438"/>
    </row>
    <row r="2" spans="1:7" s="82" customFormat="1" ht="21" customHeight="1">
      <c r="A2" s="381"/>
      <c r="B2" s="83"/>
      <c r="C2" s="84"/>
      <c r="D2" s="84"/>
      <c r="E2" s="84"/>
      <c r="F2" s="84"/>
      <c r="G2" s="382"/>
    </row>
    <row r="3" spans="1:7" s="82" customFormat="1" ht="21" customHeight="1">
      <c r="A3" s="381"/>
      <c r="B3" s="83" t="s">
        <v>3</v>
      </c>
      <c r="C3" s="84"/>
      <c r="D3" s="84"/>
      <c r="E3" s="84"/>
      <c r="F3" s="84"/>
      <c r="G3" s="382"/>
    </row>
    <row r="4" spans="1:7" s="82" customFormat="1" ht="21" customHeight="1">
      <c r="A4" s="381"/>
      <c r="B4" s="83" t="s">
        <v>4</v>
      </c>
      <c r="C4" s="84"/>
      <c r="D4" s="84"/>
      <c r="E4" s="84"/>
      <c r="F4" s="84"/>
      <c r="G4" s="382"/>
    </row>
    <row r="5" spans="1:7" ht="12.75" customHeight="1">
      <c r="A5" s="383"/>
      <c r="B5" s="78"/>
      <c r="G5" s="384"/>
    </row>
    <row r="6" spans="1:7" ht="12.75" customHeight="1">
      <c r="A6" s="383"/>
      <c r="B6" s="78"/>
      <c r="G6" s="384"/>
    </row>
    <row r="7" spans="1:7" ht="12.75" customHeight="1">
      <c r="A7" s="383"/>
      <c r="C7" s="23"/>
      <c r="D7" s="23"/>
      <c r="E7" s="23"/>
      <c r="F7" s="23"/>
      <c r="G7" s="384"/>
    </row>
    <row r="8" spans="1:7" ht="12.75">
      <c r="A8" s="383"/>
      <c r="C8" s="76"/>
      <c r="D8" s="136"/>
      <c r="E8" s="136" t="s">
        <v>44</v>
      </c>
      <c r="F8" s="136" t="s">
        <v>75</v>
      </c>
      <c r="G8" s="384"/>
    </row>
    <row r="9" spans="1:7" ht="12" customHeight="1">
      <c r="A9" s="383"/>
      <c r="B9" s="81"/>
      <c r="C9" s="85"/>
      <c r="D9" s="134" t="s">
        <v>9</v>
      </c>
      <c r="E9" s="134" t="s">
        <v>11</v>
      </c>
      <c r="F9" s="134" t="s">
        <v>11</v>
      </c>
      <c r="G9" s="384"/>
    </row>
    <row r="10" spans="1:7" ht="12" customHeight="1">
      <c r="A10" s="383"/>
      <c r="B10" s="81"/>
      <c r="C10" s="86"/>
      <c r="D10" s="87"/>
      <c r="E10" s="87"/>
      <c r="F10" s="87"/>
      <c r="G10" s="384"/>
    </row>
    <row r="11" spans="1:7" ht="12" customHeight="1">
      <c r="A11" s="383"/>
      <c r="B11" s="135" t="s">
        <v>168</v>
      </c>
      <c r="C11" s="87"/>
      <c r="D11" s="443">
        <v>1</v>
      </c>
      <c r="E11" s="443">
        <v>1</v>
      </c>
      <c r="F11" s="443">
        <v>1</v>
      </c>
      <c r="G11" s="384"/>
    </row>
    <row r="12" spans="1:7" ht="12" customHeight="1">
      <c r="A12" s="383"/>
      <c r="B12" s="77"/>
      <c r="C12" s="87"/>
      <c r="G12" s="384"/>
    </row>
    <row r="13" spans="1:7" ht="10.5">
      <c r="A13" s="383"/>
      <c r="B13" s="77"/>
      <c r="C13" s="78"/>
      <c r="D13" s="78"/>
      <c r="E13" s="78"/>
      <c r="F13" s="78"/>
      <c r="G13" s="384"/>
    </row>
    <row r="14" spans="1:7" ht="11.25" thickBot="1">
      <c r="A14" s="385"/>
      <c r="B14" s="386"/>
      <c r="C14" s="387"/>
      <c r="D14" s="387"/>
      <c r="E14" s="387"/>
      <c r="F14" s="387"/>
      <c r="G14" s="388"/>
    </row>
    <row r="20" ht="14.25">
      <c r="A20" s="238"/>
    </row>
  </sheetData>
  <mergeCells count="1">
    <mergeCell ref="A1:G1"/>
  </mergeCells>
  <conditionalFormatting sqref="A1">
    <cfRule type="cellIs" priority="1" dxfId="0" operator="equal" stopIfTrue="1">
      <formula>0</formula>
    </cfRule>
    <cfRule type="cellIs" priority="2" dxfId="1" operator="notEqual" stopIfTrue="1">
      <formula>0</formula>
    </cfRule>
  </conditionalFormatting>
  <printOptions horizontalCentered="1" verticalCentered="1"/>
  <pageMargins left="0.28" right="0.275590551181102" top="0.63" bottom="0.42" header="0.275590551181102" footer="0.21"/>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ENEL KESH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 Kurti</dc:creator>
  <cp:keywords/>
  <dc:description/>
  <cp:lastModifiedBy>defuser</cp:lastModifiedBy>
  <cp:lastPrinted>2004-07-01T09:03:56Z</cp:lastPrinted>
  <dcterms:created xsi:type="dcterms:W3CDTF">2002-02-09T09:56:47Z</dcterms:created>
  <dcterms:modified xsi:type="dcterms:W3CDTF">2008-03-26T15:55:25Z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