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01" yWindow="65446" windowWidth="12585" windowHeight="11460" tabRatio="772" activeTab="0"/>
  </bookViews>
  <sheets>
    <sheet name="Main Data" sheetId="1" r:id="rId1"/>
    <sheet name="Stats" sheetId="2" r:id="rId2"/>
    <sheet name="Downtime" sheetId="3" r:id="rId3"/>
    <sheet name="Faults Per Day" sheetId="4" r:id="rId4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Data'!$D$118</definedName>
    <definedName name="Mean_Time_Between_Faults">'Main Data'!$D$117</definedName>
    <definedName name="Number_of_Fills">'Main Data'!$D$110</definedName>
    <definedName name="Number_of_Intentional_Dumps">'Main Data'!$D$109</definedName>
    <definedName name="Number_of_Lost_Fills">'Main Data'!$D$108</definedName>
    <definedName name="_xlnm.Print_Area" localSheetId="3">'Faults Per Day'!$A$1:$W$67</definedName>
    <definedName name="_xlnm.Print_Area" localSheetId="0">'Main Data'!$A$1:$P$75</definedName>
    <definedName name="_xlnm.Print_Titles" localSheetId="0">'Main Data'!$5:$5</definedName>
    <definedName name="Refill_Time">'Main Data'!$D$1</definedName>
    <definedName name="Total_Schedule_Run_Length">'Main Data'!$D$114</definedName>
    <definedName name="Total_System_Downtime">'Main Data'!$K$110</definedName>
    <definedName name="Total_User_Beam">'Main Data'!$D$112</definedName>
    <definedName name="Total_User_Downtime">'Main Data'!$D$113</definedName>
    <definedName name="User_Beam_Days">'Main Data'!$E$112</definedName>
    <definedName name="X_ray_Availability">'Main Data'!$D$119</definedName>
  </definedNames>
  <calcPr fullCalcOnLoad="1"/>
  <pivotCaches>
    <pivotCache cacheId="3" r:id="rId5"/>
  </pivotCaches>
</workbook>
</file>

<file path=xl/sharedStrings.xml><?xml version="1.0" encoding="utf-8"?>
<sst xmlns="http://schemas.openxmlformats.org/spreadsheetml/2006/main" count="277" uniqueCount="108">
  <si>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</si>
  <si>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</si>
  <si>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</si>
  <si>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</si>
  <si>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</si>
  <si>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</si>
  <si>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</si>
  <si>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</si>
  <si>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</si>
  <si>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</si>
  <si>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</si>
  <si>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</si>
  <si>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</si>
  <si>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</si>
  <si>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</si>
  <si>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</si>
  <si>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</si>
  <si>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</si>
  <si>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</si>
  <si>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</si>
  <si>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</si>
  <si>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</si>
  <si>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</si>
  <si>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</si>
  <si>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</si>
  <si>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</si>
  <si>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</si>
  <si>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</si>
  <si>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</si>
  <si>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</si>
  <si>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</si>
  <si>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</si>
  <si>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</si>
  <si>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</si>
  <si>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</si>
  <si>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User Beam days</t>
  </si>
  <si>
    <t>PS</t>
  </si>
  <si>
    <t>Group</t>
  </si>
  <si>
    <t>RF</t>
  </si>
  <si>
    <t>Other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</si>
  <si>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</si>
  <si>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</si>
  <si>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</si>
  <si>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</si>
  <si>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</si>
  <si>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</si>
  <si>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Diag</t>
  </si>
  <si>
    <t>Controls</t>
  </si>
  <si>
    <t>Accelerator Intlks</t>
  </si>
  <si>
    <t>Beamline Intlks</t>
  </si>
  <si>
    <t>Radiation Intlks</t>
  </si>
  <si>
    <t>Water/ME</t>
  </si>
  <si>
    <t>Vacuum</t>
  </si>
  <si>
    <t>Operations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</si>
  <si>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</si>
  <si>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</si>
  <si>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</si>
  <si>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</si>
  <si>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</si>
  <si>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</si>
  <si>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</si>
  <si>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</si>
  <si>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</si>
  <si>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 xml:space="preserve">Faults </t>
  </si>
  <si>
    <t>Downtime for Run 2006-1</t>
  </si>
  <si>
    <t>CTL</t>
  </si>
  <si>
    <t>Int Dump: End of Period</t>
  </si>
  <si>
    <t>CPU PS &amp; IOC reboot[CTL]</t>
  </si>
  <si>
    <t>Steering Software [OAG]</t>
  </si>
  <si>
    <t>OAG</t>
  </si>
  <si>
    <t>RTFB problem</t>
  </si>
  <si>
    <t>RF llrf problem  [RF]</t>
  </si>
  <si>
    <t>S:BM:PS current loss[PS]</t>
  </si>
  <si>
    <t>Inhibits beam to user</t>
  </si>
  <si>
    <t>OPS</t>
  </si>
  <si>
    <t>SR Dipole glitch 0.92[PS],TM alarm limits 1.5[OPS]</t>
  </si>
  <si>
    <t>11-ID PSS trip     [EOS]</t>
  </si>
  <si>
    <t>RF4 Cathode V drop [RF]</t>
  </si>
  <si>
    <t>Recovery from trip to CA, refill</t>
  </si>
  <si>
    <t>RF4 0.7hr[RF], problems storing beam 2.4hr[Unknown]</t>
  </si>
  <si>
    <t>EOS</t>
  </si>
  <si>
    <t>UNK</t>
  </si>
  <si>
    <t>Booster ACIS problem[SI]</t>
  </si>
  <si>
    <t xml:space="preserve">Weather-Related [Other] </t>
  </si>
  <si>
    <t>Power disturbance[ComEd]</t>
  </si>
  <si>
    <t>Dropped below 60mA, replaced processor, filled [SI]</t>
  </si>
  <si>
    <t xml:space="preserve">Reset RF4 and B:IS:PS, refilled </t>
  </si>
  <si>
    <t>PS condition error, OC error; 1hr[Other], 2.5hr [OA ]</t>
  </si>
  <si>
    <t>SI</t>
  </si>
  <si>
    <t>COM-ED</t>
  </si>
  <si>
    <t>ACIS UPS failure [IT]</t>
  </si>
  <si>
    <t>IT</t>
  </si>
  <si>
    <t>DIA</t>
  </si>
  <si>
    <t>Timing Error</t>
  </si>
  <si>
    <t>SR Raw Supplies</t>
  </si>
  <si>
    <t>Tuning</t>
  </si>
  <si>
    <t>Booster tunnel dropped prior to Beam Permit</t>
  </si>
  <si>
    <t>Chain C would not reset for SR</t>
  </si>
  <si>
    <t>Search of Zones A-F</t>
  </si>
  <si>
    <t>RF-5 would not reset</t>
  </si>
  <si>
    <t>SR conditioning</t>
  </si>
  <si>
    <t>Troubleshooting</t>
  </si>
  <si>
    <t>PEM errors</t>
  </si>
  <si>
    <t>RTFB errors</t>
  </si>
  <si>
    <t>Start up</t>
  </si>
  <si>
    <t>4.52hr[IT]2.4hr[SI]2.07hr[RF]2.5hr[PS]3.3hr[OA]2.85hr[CTL]</t>
  </si>
  <si>
    <t>Run 2006-1</t>
  </si>
  <si>
    <t>Network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</si>
</sst>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  <numFmt numFmtId="200" formatCode="00000"/>
  </numFmts>
  <fonts count="2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36.75"/>
      <name val="Arial"/>
      <family val="0"/>
    </font>
    <font>
      <sz val="28.75"/>
      <name val="Arial"/>
      <family val="0"/>
    </font>
    <font>
      <b/>
      <sz val="17.75"/>
      <name val="Arial"/>
      <family val="2"/>
    </font>
    <font>
      <b/>
      <sz val="23.25"/>
      <name val="Arial"/>
      <family val="2"/>
    </font>
    <font>
      <sz val="26.75"/>
      <name val="Arial"/>
      <family val="2"/>
    </font>
    <font>
      <sz val="29.5"/>
      <name val="Arial"/>
      <family val="0"/>
    </font>
    <font>
      <sz val="33"/>
      <name val="Arial"/>
      <family val="0"/>
    </font>
    <font>
      <sz val="12"/>
      <name val="Arial"/>
      <family val="2"/>
    </font>
    <font>
      <sz val="18.5"/>
      <name val="Arial"/>
      <family val="2"/>
    </font>
    <font>
      <b/>
      <sz val="37"/>
      <name val="Arial"/>
      <family val="0"/>
    </font>
    <font>
      <b/>
      <sz val="33.25"/>
      <name val="Arial"/>
      <family val="0"/>
    </font>
    <font>
      <b/>
      <sz val="16.75"/>
      <name val="Arial"/>
      <family val="2"/>
    </font>
    <font>
      <sz val="17.25"/>
      <name val="Arial"/>
      <family val="0"/>
    </font>
    <font>
      <sz val="10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177" fontId="0" fillId="0" borderId="0" xfId="0" applyNumberFormat="1" applyFont="1" applyFill="1" applyBorder="1" applyAlignment="1">
      <alignment horizontal="left"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74" fontId="1" fillId="0" borderId="0" xfId="0" applyNumberFormat="1" applyFont="1" applyBorder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2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2" borderId="3" xfId="0" applyNumberFormat="1" applyFont="1" applyFill="1" applyBorder="1" applyAlignment="1" applyProtection="1">
      <alignment horizontal="left"/>
      <protection/>
    </xf>
    <xf numFmtId="0" fontId="0" fillId="0" borderId="3" xfId="0" applyFill="1" applyBorder="1" applyAlignment="1">
      <alignment/>
    </xf>
    <xf numFmtId="0" fontId="0" fillId="0" borderId="3" xfId="0" applyNumberFormat="1" applyFont="1" applyFill="1" applyBorder="1" applyAlignment="1">
      <alignment horizontal="right"/>
    </xf>
    <xf numFmtId="177" fontId="0" fillId="0" borderId="14" xfId="0" applyNumberFormat="1" applyFont="1" applyFill="1" applyBorder="1" applyAlignment="1">
      <alignment horizontal="left"/>
    </xf>
    <xf numFmtId="22" fontId="20" fillId="0" borderId="0" xfId="0" applyNumberFormat="1" applyFont="1" applyAlignment="1">
      <alignment/>
    </xf>
    <xf numFmtId="2" fontId="0" fillId="0" borderId="14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0" fillId="0" borderId="14" xfId="0" applyNumberFormat="1" applyFont="1" applyFill="1" applyBorder="1" applyAlignment="1">
      <alignment horizontal="center"/>
    </xf>
    <xf numFmtId="177" fontId="0" fillId="0" borderId="14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left"/>
      <protection/>
    </xf>
    <xf numFmtId="22" fontId="20" fillId="2" borderId="3" xfId="0" applyNumberFormat="1" applyFont="1" applyFill="1" applyBorder="1" applyAlignment="1">
      <alignment horizontal="left"/>
    </xf>
    <xf numFmtId="22" fontId="20" fillId="2" borderId="3" xfId="0" applyNumberFormat="1" applyFont="1" applyFill="1" applyBorder="1" applyAlignment="1">
      <alignment/>
    </xf>
    <xf numFmtId="0" fontId="20" fillId="2" borderId="0" xfId="0" applyFont="1" applyFill="1" applyAlignment="1">
      <alignment/>
    </xf>
    <xf numFmtId="0" fontId="0" fillId="3" borderId="3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 horizontal="left"/>
    </xf>
    <xf numFmtId="2" fontId="1" fillId="3" borderId="3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center"/>
    </xf>
    <xf numFmtId="177" fontId="0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3" borderId="3" xfId="0" applyNumberFormat="1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177" fontId="0" fillId="2" borderId="16" xfId="0" applyNumberFormat="1" applyFont="1" applyFill="1" applyBorder="1" applyAlignment="1">
      <alignment/>
    </xf>
    <xf numFmtId="0" fontId="20" fillId="0" borderId="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2" fontId="20" fillId="0" borderId="3" xfId="0" applyNumberFormat="1" applyFont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22" fontId="20" fillId="4" borderId="3" xfId="0" applyNumberFormat="1" applyFont="1" applyFill="1" applyBorder="1" applyAlignment="1">
      <alignment/>
    </xf>
    <xf numFmtId="2" fontId="0" fillId="4" borderId="3" xfId="0" applyNumberFormat="1" applyFont="1" applyFill="1" applyBorder="1" applyAlignment="1">
      <alignment horizontal="right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/>
      <protection locked="0"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20" fillId="4" borderId="3" xfId="0" applyFont="1" applyFill="1" applyBorder="1" applyAlignment="1">
      <alignment/>
    </xf>
    <xf numFmtId="22" fontId="20" fillId="5" borderId="0" xfId="0" applyNumberFormat="1" applyFont="1" applyFill="1" applyAlignment="1">
      <alignment/>
    </xf>
    <xf numFmtId="22" fontId="20" fillId="5" borderId="3" xfId="0" applyNumberFormat="1" applyFont="1" applyFill="1" applyBorder="1" applyAlignment="1">
      <alignment/>
    </xf>
    <xf numFmtId="2" fontId="0" fillId="5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 applyProtection="1">
      <alignment/>
      <protection/>
    </xf>
    <xf numFmtId="0" fontId="0" fillId="5" borderId="3" xfId="0" applyNumberFormat="1" applyFont="1" applyFill="1" applyBorder="1" applyAlignment="1" applyProtection="1">
      <alignment/>
      <protection locked="0"/>
    </xf>
    <xf numFmtId="0" fontId="0" fillId="5" borderId="3" xfId="0" applyNumberFormat="1" applyFont="1" applyFill="1" applyBorder="1" applyAlignment="1" applyProtection="1">
      <alignment horizontal="left"/>
      <protection/>
    </xf>
    <xf numFmtId="0" fontId="20" fillId="5" borderId="3" xfId="0" applyFont="1" applyFill="1" applyBorder="1" applyAlignment="1">
      <alignment/>
    </xf>
    <xf numFmtId="177" fontId="0" fillId="0" borderId="3" xfId="0" applyNumberFormat="1" applyFont="1" applyFill="1" applyBorder="1" applyAlignment="1">
      <alignment horizontal="left"/>
    </xf>
    <xf numFmtId="0" fontId="20" fillId="2" borderId="3" xfId="0" applyFont="1" applyFill="1" applyBorder="1" applyAlignment="1">
      <alignment/>
    </xf>
    <xf numFmtId="0" fontId="0" fillId="6" borderId="3" xfId="0" applyNumberFormat="1" applyFont="1" applyFill="1" applyBorder="1" applyAlignment="1">
      <alignment horizontal="right"/>
    </xf>
    <xf numFmtId="0" fontId="20" fillId="6" borderId="3" xfId="0" applyFont="1" applyFill="1" applyBorder="1" applyAlignment="1">
      <alignment/>
    </xf>
    <xf numFmtId="2" fontId="0" fillId="6" borderId="3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/>
      <protection locked="0"/>
    </xf>
    <xf numFmtId="0" fontId="0" fillId="6" borderId="3" xfId="0" applyNumberFormat="1" applyFont="1" applyFill="1" applyBorder="1" applyAlignment="1" applyProtection="1">
      <alignment horizontal="left"/>
      <protection/>
    </xf>
    <xf numFmtId="0" fontId="0" fillId="2" borderId="16" xfId="0" applyNumberFormat="1" applyFont="1" applyFill="1" applyBorder="1" applyAlignment="1">
      <alignment horizontal="right"/>
    </xf>
    <xf numFmtId="22" fontId="20" fillId="2" borderId="16" xfId="0" applyNumberFormat="1" applyFont="1" applyFill="1" applyBorder="1" applyAlignment="1">
      <alignment horizontal="left"/>
    </xf>
    <xf numFmtId="22" fontId="20" fillId="2" borderId="16" xfId="0" applyNumberFormat="1" applyFont="1" applyFill="1" applyBorder="1" applyAlignment="1">
      <alignment/>
    </xf>
    <xf numFmtId="2" fontId="0" fillId="2" borderId="16" xfId="0" applyNumberFormat="1" applyFont="1" applyFill="1" applyBorder="1" applyAlignment="1">
      <alignment horizontal="right"/>
    </xf>
    <xf numFmtId="0" fontId="0" fillId="2" borderId="16" xfId="0" applyNumberFormat="1" applyFont="1" applyFill="1" applyBorder="1" applyAlignment="1">
      <alignment horizontal="center"/>
    </xf>
    <xf numFmtId="177" fontId="0" fillId="2" borderId="16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 applyProtection="1">
      <alignment/>
      <protection/>
    </xf>
    <xf numFmtId="0" fontId="0" fillId="2" borderId="16" xfId="0" applyNumberFormat="1" applyFont="1" applyFill="1" applyBorder="1" applyAlignment="1" applyProtection="1">
      <alignment/>
      <protection locked="0"/>
    </xf>
    <xf numFmtId="177" fontId="0" fillId="6" borderId="3" xfId="0" applyNumberFormat="1" applyFont="1" applyFill="1" applyBorder="1" applyAlignment="1">
      <alignment horizontal="left"/>
    </xf>
    <xf numFmtId="22" fontId="2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horizontal="right"/>
    </xf>
    <xf numFmtId="2" fontId="0" fillId="0" borderId="0" xfId="0" applyNumberFormat="1" applyFont="1" applyFill="1" applyAlignment="1" applyProtection="1">
      <alignment/>
      <protection locked="0"/>
    </xf>
    <xf numFmtId="22" fontId="0" fillId="4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Run 2006-1 Downtime by System 
January 31 - April 24, 2006
 Scheduled User Time = 1655 hours                                  
User downtime= 27.38 hours</a:t>
            </a:r>
          </a:p>
        </c:rich>
      </c:tx>
      <c:layout>
        <c:manualLayout>
          <c:xMode val="factor"/>
          <c:yMode val="factor"/>
          <c:x val="0.01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85"/>
          <c:w val="0.9035"/>
          <c:h val="0.89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Stats!$A$14</c:f>
              <c:strCache>
                <c:ptCount val="1"/>
                <c:pt idx="0">
                  <c:v>Hours for 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Physics</c:v>
                </c:pt>
                <c:pt idx="11">
                  <c:v>Network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</c:numRef>
          </c:val>
        </c:ser>
        <c:ser>
          <c:idx val="0"/>
          <c:order val="1"/>
          <c:tx>
            <c:strRef>
              <c:f>Stats!$A$15</c:f>
              <c:strCache>
                <c:ptCount val="1"/>
                <c:pt idx="0">
                  <c:v>Run 2006-1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Physics</c:v>
                </c:pt>
                <c:pt idx="11">
                  <c:v>Network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0.0025277447682825567</c:v>
                </c:pt>
                <c:pt idx="1">
                  <c:v>0.00047332272549336344</c:v>
                </c:pt>
                <c:pt idx="2">
                  <c:v>0.002064492739109961</c:v>
                </c:pt>
                <c:pt idx="3">
                  <c:v>0.0023666136276778464</c:v>
                </c:pt>
                <c:pt idx="4">
                  <c:v>0.0018530081170069267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0.004018207818902507</c:v>
                </c:pt>
                <c:pt idx="10">
                  <c:v>0</c:v>
                </c:pt>
                <c:pt idx="11">
                  <c:v>0.0027291586939593086</c:v>
                </c:pt>
                <c:pt idx="12">
                  <c:v>0</c:v>
                </c:pt>
                <c:pt idx="13">
                  <c:v>0</c:v>
                </c:pt>
                <c:pt idx="14">
                  <c:v>0.0009164333621299384</c:v>
                </c:pt>
                <c:pt idx="15">
                  <c:v>0</c:v>
                </c:pt>
                <c:pt idx="16">
                  <c:v>0.0013494733025512602</c:v>
                </c:pt>
                <c:pt idx="17">
                  <c:v>0.0014501802654423935</c:v>
                </c:pt>
              </c:numCache>
            </c:numRef>
          </c:val>
        </c:ser>
        <c:ser>
          <c:idx val="1"/>
          <c:order val="2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Physics</c:v>
                </c:pt>
                <c:pt idx="11">
                  <c:v>Network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Stats!$B$16:$S$16</c:f>
              <c:numCache>
                <c:ptCount val="18"/>
                <c:pt idx="0">
                  <c:v>0.009</c:v>
                </c:pt>
                <c:pt idx="1">
                  <c:v>0.002</c:v>
                </c:pt>
                <c:pt idx="2">
                  <c:v>0.009</c:v>
                </c:pt>
                <c:pt idx="3">
                  <c:v>0.005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0.003</c:v>
                </c:pt>
                <c:pt idx="8">
                  <c:v>0.003</c:v>
                </c:pt>
                <c:pt idx="9">
                  <c:v>0.002</c:v>
                </c:pt>
                <c:pt idx="10">
                  <c:v>0</c:v>
                </c:pt>
                <c:pt idx="11">
                  <c:v>0.002</c:v>
                </c:pt>
                <c:pt idx="12">
                  <c:v>0.001</c:v>
                </c:pt>
                <c:pt idx="13">
                  <c:v>0.001</c:v>
                </c:pt>
                <c:pt idx="14">
                  <c:v>0.003</c:v>
                </c:pt>
                <c:pt idx="15">
                  <c:v>0.001</c:v>
                </c:pt>
                <c:pt idx="16">
                  <c:v>0.003</c:v>
                </c:pt>
                <c:pt idx="17">
                  <c:v>0.001</c:v>
                </c:pt>
              </c:numCache>
            </c:numRef>
          </c:val>
        </c:ser>
        <c:axId val="2015822"/>
        <c:axId val="18142399"/>
      </c:bar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18142399"/>
        <c:crosses val="autoZero"/>
        <c:auto val="1"/>
        <c:lblOffset val="80"/>
        <c:noMultiLvlLbl val="0"/>
      </c:catAx>
      <c:valAx>
        <c:axId val="18142399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75" b="0" i="0" u="none" baseline="0">
                <a:latin typeface="Arial"/>
                <a:ea typeface="Arial"/>
                <a:cs typeface="Arial"/>
              </a:defRPr>
            </a:pPr>
          </a:p>
        </c:txPr>
        <c:crossAx val="2015822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795"/>
          <c:w val="0.12125"/>
          <c:h val="0.0472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00" b="1" i="0" u="none" baseline="0">
                <a:latin typeface="Arial"/>
                <a:ea typeface="Arial"/>
                <a:cs typeface="Arial"/>
              </a:rPr>
              <a:t>Run 2006-1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625"/>
          <c:w val="0.841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Stats!$A$20</c:f>
              <c:strCache>
                <c:ptCount val="1"/>
                <c:pt idx="0">
                  <c:v>Run 2006-1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Stats!$B$19:$S$19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Physics</c:v>
                </c:pt>
                <c:pt idx="11">
                  <c:v>Network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Stats!$B$20:$S$20</c:f>
              <c:numCache>
                <c:ptCount val="18"/>
                <c:pt idx="0">
                  <c:v>0.058983154984388726</c:v>
                </c:pt>
                <c:pt idx="1">
                  <c:v>0</c:v>
                </c:pt>
                <c:pt idx="2">
                  <c:v>0.014745788746097182</c:v>
                </c:pt>
                <c:pt idx="3">
                  <c:v>0.029491577492194363</c:v>
                </c:pt>
                <c:pt idx="4">
                  <c:v>0.014745788746097182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0.014745788746097182</c:v>
                </c:pt>
                <c:pt idx="11">
                  <c:v>0.014745788746097182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Stats!$B$19:$S$19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Physics</c:v>
                </c:pt>
                <c:pt idx="11">
                  <c:v>Network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0.05</c:v>
                </c:pt>
                <c:pt idx="8">
                  <c:v>0.01</c:v>
                </c:pt>
                <c:pt idx="9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0.02</c:v>
                </c:pt>
              </c:numCache>
            </c:numRef>
          </c:val>
        </c:ser>
        <c:axId val="29063864"/>
        <c:axId val="60248185"/>
      </c:bar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0" i="0" u="none" baseline="0">
                <a:latin typeface="Arial"/>
                <a:ea typeface="Arial"/>
                <a:cs typeface="Arial"/>
              </a:defRPr>
            </a:pPr>
          </a:p>
        </c:txPr>
        <c:crossAx val="60248185"/>
        <c:crosses val="autoZero"/>
        <c:auto val="1"/>
        <c:lblOffset val="100"/>
        <c:noMultiLvlLbl val="0"/>
      </c:catAx>
      <c:valAx>
        <c:axId val="6024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325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9063864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2465"/>
          <c:w val="0.0945"/>
          <c:h val="0.04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106</xdr:row>
      <xdr:rowOff>123825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8648700" y="19392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775" cy="200025"/>
    <xdr:sp>
      <xdr:nvSpPr>
        <xdr:cNvPr id="2" name="TextBox 15"/>
        <xdr:cNvSpPr txBox="1">
          <a:spLocks noChangeArrowheads="1"/>
        </xdr:cNvSpPr>
      </xdr:nvSpPr>
      <xdr:spPr>
        <a:xfrm>
          <a:off x="8648700" y="2381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04775" cy="200025"/>
    <xdr:sp>
      <xdr:nvSpPr>
        <xdr:cNvPr id="3" name="TextBox 16"/>
        <xdr:cNvSpPr txBox="1">
          <a:spLocks noChangeArrowheads="1"/>
        </xdr:cNvSpPr>
      </xdr:nvSpPr>
      <xdr:spPr>
        <a:xfrm>
          <a:off x="8648700" y="2914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04775" cy="200025"/>
    <xdr:sp>
      <xdr:nvSpPr>
        <xdr:cNvPr id="4" name="TextBox 17"/>
        <xdr:cNvSpPr txBox="1">
          <a:spLocks noChangeArrowheads="1"/>
        </xdr:cNvSpPr>
      </xdr:nvSpPr>
      <xdr:spPr>
        <a:xfrm>
          <a:off x="8648700" y="2914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04775" cy="200025"/>
    <xdr:sp>
      <xdr:nvSpPr>
        <xdr:cNvPr id="5" name="TextBox 18"/>
        <xdr:cNvSpPr txBox="1">
          <a:spLocks noChangeArrowheads="1"/>
        </xdr:cNvSpPr>
      </xdr:nvSpPr>
      <xdr:spPr>
        <a:xfrm>
          <a:off x="8648700" y="3448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04775" cy="200025"/>
    <xdr:sp>
      <xdr:nvSpPr>
        <xdr:cNvPr id="6" name="TextBox 19"/>
        <xdr:cNvSpPr txBox="1">
          <a:spLocks noChangeArrowheads="1"/>
        </xdr:cNvSpPr>
      </xdr:nvSpPr>
      <xdr:spPr>
        <a:xfrm>
          <a:off x="8648700" y="3800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04775" cy="200025"/>
    <xdr:sp>
      <xdr:nvSpPr>
        <xdr:cNvPr id="7" name="TextBox 20"/>
        <xdr:cNvSpPr txBox="1">
          <a:spLocks noChangeArrowheads="1"/>
        </xdr:cNvSpPr>
      </xdr:nvSpPr>
      <xdr:spPr>
        <a:xfrm>
          <a:off x="8648700" y="3800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04775" cy="200025"/>
    <xdr:sp>
      <xdr:nvSpPr>
        <xdr:cNvPr id="8" name="TextBox 21"/>
        <xdr:cNvSpPr txBox="1">
          <a:spLocks noChangeArrowheads="1"/>
        </xdr:cNvSpPr>
      </xdr:nvSpPr>
      <xdr:spPr>
        <a:xfrm>
          <a:off x="8648700" y="3800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04775" cy="200025"/>
    <xdr:sp>
      <xdr:nvSpPr>
        <xdr:cNvPr id="9" name="TextBox 22"/>
        <xdr:cNvSpPr txBox="1">
          <a:spLocks noChangeArrowheads="1"/>
        </xdr:cNvSpPr>
      </xdr:nvSpPr>
      <xdr:spPr>
        <a:xfrm>
          <a:off x="8648700" y="4695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04775" cy="209550"/>
    <xdr:sp>
      <xdr:nvSpPr>
        <xdr:cNvPr id="10" name="TextBox 23"/>
        <xdr:cNvSpPr txBox="1">
          <a:spLocks noChangeArrowheads="1"/>
        </xdr:cNvSpPr>
      </xdr:nvSpPr>
      <xdr:spPr>
        <a:xfrm>
          <a:off x="8648700" y="3962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04775" cy="209550"/>
    <xdr:sp>
      <xdr:nvSpPr>
        <xdr:cNvPr id="11" name="TextBox 24"/>
        <xdr:cNvSpPr txBox="1">
          <a:spLocks noChangeArrowheads="1"/>
        </xdr:cNvSpPr>
      </xdr:nvSpPr>
      <xdr:spPr>
        <a:xfrm>
          <a:off x="8648700" y="3962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04775" cy="209550"/>
    <xdr:sp>
      <xdr:nvSpPr>
        <xdr:cNvPr id="12" name="TextBox 25"/>
        <xdr:cNvSpPr txBox="1">
          <a:spLocks noChangeArrowheads="1"/>
        </xdr:cNvSpPr>
      </xdr:nvSpPr>
      <xdr:spPr>
        <a:xfrm>
          <a:off x="8648700" y="3962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04775" cy="200025"/>
    <xdr:sp>
      <xdr:nvSpPr>
        <xdr:cNvPr id="13" name="TextBox 26"/>
        <xdr:cNvSpPr txBox="1">
          <a:spLocks noChangeArrowheads="1"/>
        </xdr:cNvSpPr>
      </xdr:nvSpPr>
      <xdr:spPr>
        <a:xfrm>
          <a:off x="8648700" y="4695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04775" cy="200025"/>
    <xdr:sp>
      <xdr:nvSpPr>
        <xdr:cNvPr id="14" name="TextBox 27"/>
        <xdr:cNvSpPr txBox="1">
          <a:spLocks noChangeArrowheads="1"/>
        </xdr:cNvSpPr>
      </xdr:nvSpPr>
      <xdr:spPr>
        <a:xfrm>
          <a:off x="8648700" y="4695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04775" cy="200025"/>
    <xdr:sp>
      <xdr:nvSpPr>
        <xdr:cNvPr id="15" name="TextBox 28"/>
        <xdr:cNvSpPr txBox="1">
          <a:spLocks noChangeArrowheads="1"/>
        </xdr:cNvSpPr>
      </xdr:nvSpPr>
      <xdr:spPr>
        <a:xfrm>
          <a:off x="8648700" y="4695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04775" cy="209550"/>
    <xdr:sp>
      <xdr:nvSpPr>
        <xdr:cNvPr id="16" name="TextBox 29"/>
        <xdr:cNvSpPr txBox="1">
          <a:spLocks noChangeArrowheads="1"/>
        </xdr:cNvSpPr>
      </xdr:nvSpPr>
      <xdr:spPr>
        <a:xfrm>
          <a:off x="8648700" y="5019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04775" cy="209550"/>
    <xdr:sp>
      <xdr:nvSpPr>
        <xdr:cNvPr id="17" name="TextBox 30"/>
        <xdr:cNvSpPr txBox="1">
          <a:spLocks noChangeArrowheads="1"/>
        </xdr:cNvSpPr>
      </xdr:nvSpPr>
      <xdr:spPr>
        <a:xfrm>
          <a:off x="8648700" y="5019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04775" cy="209550"/>
    <xdr:sp>
      <xdr:nvSpPr>
        <xdr:cNvPr id="18" name="TextBox 31"/>
        <xdr:cNvSpPr txBox="1">
          <a:spLocks noChangeArrowheads="1"/>
        </xdr:cNvSpPr>
      </xdr:nvSpPr>
      <xdr:spPr>
        <a:xfrm>
          <a:off x="8648700" y="5019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>
      <xdr:nvSpPr>
        <xdr:cNvPr id="19" name="TextBox 32"/>
        <xdr:cNvSpPr txBox="1">
          <a:spLocks noChangeArrowheads="1"/>
        </xdr:cNvSpPr>
      </xdr:nvSpPr>
      <xdr:spPr>
        <a:xfrm>
          <a:off x="8648700" y="611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>
      <xdr:nvSpPr>
        <xdr:cNvPr id="20" name="TextBox 33"/>
        <xdr:cNvSpPr txBox="1">
          <a:spLocks noChangeArrowheads="1"/>
        </xdr:cNvSpPr>
      </xdr:nvSpPr>
      <xdr:spPr>
        <a:xfrm>
          <a:off x="8648700" y="611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>
      <xdr:nvSpPr>
        <xdr:cNvPr id="21" name="TextBox 34"/>
        <xdr:cNvSpPr txBox="1">
          <a:spLocks noChangeArrowheads="1"/>
        </xdr:cNvSpPr>
      </xdr:nvSpPr>
      <xdr:spPr>
        <a:xfrm>
          <a:off x="8648700" y="611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>
      <xdr:nvSpPr>
        <xdr:cNvPr id="22" name="TextBox 35"/>
        <xdr:cNvSpPr txBox="1">
          <a:spLocks noChangeArrowheads="1"/>
        </xdr:cNvSpPr>
      </xdr:nvSpPr>
      <xdr:spPr>
        <a:xfrm>
          <a:off x="8648700" y="611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>
      <xdr:nvSpPr>
        <xdr:cNvPr id="23" name="TextBox 36"/>
        <xdr:cNvSpPr txBox="1">
          <a:spLocks noChangeArrowheads="1"/>
        </xdr:cNvSpPr>
      </xdr:nvSpPr>
      <xdr:spPr>
        <a:xfrm>
          <a:off x="8648700" y="611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4" name="TextBox 37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5" name="TextBox 38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6" name="TextBox 39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7" name="TextBox 40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8" name="TextBox 41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9" name="TextBox 42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30" name="TextBox 43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31" name="TextBox 44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2" name="TextBox 45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3" name="TextBox 46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4" name="TextBox 47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5" name="TextBox 48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6" name="TextBox 49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7" name="TextBox 50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8" name="TextBox 51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9" name="TextBox 52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40" name="TextBox 53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41" name="TextBox 54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42" name="TextBox 55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3" name="TextBox 56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4" name="TextBox 57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5" name="TextBox 58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6" name="TextBox 59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7" name="TextBox 60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8" name="TextBox 61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9" name="TextBox 62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0" name="TextBox 63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1" name="TextBox 64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2" name="TextBox 65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3" name="TextBox 66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4" name="TextBox 67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5" name="TextBox 68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6" name="TextBox 69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57" name="TextBox 70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58" name="TextBox 71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59" name="TextBox 72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60" name="TextBox 73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61" name="TextBox 74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62" name="TextBox 75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63" name="TextBox 76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04775" cy="209550"/>
    <xdr:sp>
      <xdr:nvSpPr>
        <xdr:cNvPr id="64" name="TextBox 77"/>
        <xdr:cNvSpPr txBox="1">
          <a:spLocks noChangeArrowheads="1"/>
        </xdr:cNvSpPr>
      </xdr:nvSpPr>
      <xdr:spPr>
        <a:xfrm>
          <a:off x="8648700" y="8029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04775" cy="209550"/>
    <xdr:sp>
      <xdr:nvSpPr>
        <xdr:cNvPr id="65" name="TextBox 78"/>
        <xdr:cNvSpPr txBox="1">
          <a:spLocks noChangeArrowheads="1"/>
        </xdr:cNvSpPr>
      </xdr:nvSpPr>
      <xdr:spPr>
        <a:xfrm>
          <a:off x="8648700" y="8029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04775" cy="209550"/>
    <xdr:sp>
      <xdr:nvSpPr>
        <xdr:cNvPr id="66" name="TextBox 79"/>
        <xdr:cNvSpPr txBox="1">
          <a:spLocks noChangeArrowheads="1"/>
        </xdr:cNvSpPr>
      </xdr:nvSpPr>
      <xdr:spPr>
        <a:xfrm>
          <a:off x="8648700" y="8029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67" name="TextBox 80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68" name="TextBox 81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69" name="TextBox 82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0" name="TextBox 83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1" name="TextBox 84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04775" cy="209550"/>
    <xdr:sp>
      <xdr:nvSpPr>
        <xdr:cNvPr id="72" name="TextBox 85"/>
        <xdr:cNvSpPr txBox="1">
          <a:spLocks noChangeArrowheads="1"/>
        </xdr:cNvSpPr>
      </xdr:nvSpPr>
      <xdr:spPr>
        <a:xfrm>
          <a:off x="8648700" y="83915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04775" cy="209550"/>
    <xdr:sp>
      <xdr:nvSpPr>
        <xdr:cNvPr id="73" name="TextBox 86"/>
        <xdr:cNvSpPr txBox="1">
          <a:spLocks noChangeArrowheads="1"/>
        </xdr:cNvSpPr>
      </xdr:nvSpPr>
      <xdr:spPr>
        <a:xfrm>
          <a:off x="8648700" y="83915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4" name="TextBox 88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5" name="TextBox 89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6" name="TextBox 90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7" name="TextBox 91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8" name="TextBox 92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9" name="TextBox 93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0" name="TextBox 94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1" name="TextBox 95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2" name="TextBox 96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3" name="TextBox 97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4" name="TextBox 98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5" name="TextBox 99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6" name="TextBox 100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7" name="TextBox 101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88" name="TextBox 102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89" name="TextBox 103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90" name="TextBox 104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91" name="TextBox 105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92" name="TextBox 106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93" name="TextBox 107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94" name="TextBox 108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209550"/>
    <xdr:sp>
      <xdr:nvSpPr>
        <xdr:cNvPr id="95" name="TextBox 109"/>
        <xdr:cNvSpPr txBox="1">
          <a:spLocks noChangeArrowheads="1"/>
        </xdr:cNvSpPr>
      </xdr:nvSpPr>
      <xdr:spPr>
        <a:xfrm>
          <a:off x="8648700" y="8924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209550"/>
    <xdr:sp>
      <xdr:nvSpPr>
        <xdr:cNvPr id="96" name="TextBox 110"/>
        <xdr:cNvSpPr txBox="1">
          <a:spLocks noChangeArrowheads="1"/>
        </xdr:cNvSpPr>
      </xdr:nvSpPr>
      <xdr:spPr>
        <a:xfrm>
          <a:off x="8648700" y="8924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209550"/>
    <xdr:sp>
      <xdr:nvSpPr>
        <xdr:cNvPr id="97" name="TextBox 111"/>
        <xdr:cNvSpPr txBox="1">
          <a:spLocks noChangeArrowheads="1"/>
        </xdr:cNvSpPr>
      </xdr:nvSpPr>
      <xdr:spPr>
        <a:xfrm>
          <a:off x="8648700" y="8924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09550"/>
    <xdr:sp>
      <xdr:nvSpPr>
        <xdr:cNvPr id="98" name="TextBox 112"/>
        <xdr:cNvSpPr txBox="1">
          <a:spLocks noChangeArrowheads="1"/>
        </xdr:cNvSpPr>
      </xdr:nvSpPr>
      <xdr:spPr>
        <a:xfrm>
          <a:off x="8648700" y="1037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09550"/>
    <xdr:sp>
      <xdr:nvSpPr>
        <xdr:cNvPr id="99" name="TextBox 113"/>
        <xdr:cNvSpPr txBox="1">
          <a:spLocks noChangeArrowheads="1"/>
        </xdr:cNvSpPr>
      </xdr:nvSpPr>
      <xdr:spPr>
        <a:xfrm>
          <a:off x="8648700" y="1037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209550"/>
    <xdr:sp>
      <xdr:nvSpPr>
        <xdr:cNvPr id="100" name="TextBox 114"/>
        <xdr:cNvSpPr txBox="1">
          <a:spLocks noChangeArrowheads="1"/>
        </xdr:cNvSpPr>
      </xdr:nvSpPr>
      <xdr:spPr>
        <a:xfrm>
          <a:off x="8648700" y="9467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209550"/>
    <xdr:sp>
      <xdr:nvSpPr>
        <xdr:cNvPr id="101" name="TextBox 115"/>
        <xdr:cNvSpPr txBox="1">
          <a:spLocks noChangeArrowheads="1"/>
        </xdr:cNvSpPr>
      </xdr:nvSpPr>
      <xdr:spPr>
        <a:xfrm>
          <a:off x="8648700" y="9467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09550"/>
    <xdr:sp>
      <xdr:nvSpPr>
        <xdr:cNvPr id="102" name="TextBox 116"/>
        <xdr:cNvSpPr txBox="1">
          <a:spLocks noChangeArrowheads="1"/>
        </xdr:cNvSpPr>
      </xdr:nvSpPr>
      <xdr:spPr>
        <a:xfrm>
          <a:off x="8648700" y="1037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09550"/>
    <xdr:sp>
      <xdr:nvSpPr>
        <xdr:cNvPr id="103" name="TextBox 117"/>
        <xdr:cNvSpPr txBox="1">
          <a:spLocks noChangeArrowheads="1"/>
        </xdr:cNvSpPr>
      </xdr:nvSpPr>
      <xdr:spPr>
        <a:xfrm>
          <a:off x="8648700" y="1037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04775" cy="209550"/>
    <xdr:sp>
      <xdr:nvSpPr>
        <xdr:cNvPr id="104" name="TextBox 118"/>
        <xdr:cNvSpPr txBox="1">
          <a:spLocks noChangeArrowheads="1"/>
        </xdr:cNvSpPr>
      </xdr:nvSpPr>
      <xdr:spPr>
        <a:xfrm>
          <a:off x="8648700" y="11458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04775" cy="209550"/>
    <xdr:sp>
      <xdr:nvSpPr>
        <xdr:cNvPr id="105" name="TextBox 119"/>
        <xdr:cNvSpPr txBox="1">
          <a:spLocks noChangeArrowheads="1"/>
        </xdr:cNvSpPr>
      </xdr:nvSpPr>
      <xdr:spPr>
        <a:xfrm>
          <a:off x="8648700" y="11458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04775" cy="209550"/>
    <xdr:sp>
      <xdr:nvSpPr>
        <xdr:cNvPr id="106" name="TextBox 120"/>
        <xdr:cNvSpPr txBox="1">
          <a:spLocks noChangeArrowheads="1"/>
        </xdr:cNvSpPr>
      </xdr:nvSpPr>
      <xdr:spPr>
        <a:xfrm>
          <a:off x="8648700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495300</xdr:colOff>
      <xdr:row>52</xdr:row>
      <xdr:rowOff>66675</xdr:rowOff>
    </xdr:from>
    <xdr:ext cx="104775" cy="200025"/>
    <xdr:sp>
      <xdr:nvSpPr>
        <xdr:cNvPr id="107" name="TextBox 121"/>
        <xdr:cNvSpPr txBox="1">
          <a:spLocks noChangeArrowheads="1"/>
        </xdr:cNvSpPr>
      </xdr:nvSpPr>
      <xdr:spPr>
        <a:xfrm>
          <a:off x="8620125" y="10258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04775" cy="209550"/>
    <xdr:sp>
      <xdr:nvSpPr>
        <xdr:cNvPr id="108" name="TextBox 122"/>
        <xdr:cNvSpPr txBox="1">
          <a:spLocks noChangeArrowheads="1"/>
        </xdr:cNvSpPr>
      </xdr:nvSpPr>
      <xdr:spPr>
        <a:xfrm>
          <a:off x="8648700" y="1073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04775" cy="209550"/>
    <xdr:sp>
      <xdr:nvSpPr>
        <xdr:cNvPr id="109" name="TextBox 123"/>
        <xdr:cNvSpPr txBox="1">
          <a:spLocks noChangeArrowheads="1"/>
        </xdr:cNvSpPr>
      </xdr:nvSpPr>
      <xdr:spPr>
        <a:xfrm>
          <a:off x="8648700" y="1073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209550"/>
    <xdr:sp>
      <xdr:nvSpPr>
        <xdr:cNvPr id="110" name="TextBox 124"/>
        <xdr:cNvSpPr txBox="1">
          <a:spLocks noChangeArrowheads="1"/>
        </xdr:cNvSpPr>
      </xdr:nvSpPr>
      <xdr:spPr>
        <a:xfrm>
          <a:off x="8648700" y="9467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209550"/>
    <xdr:sp>
      <xdr:nvSpPr>
        <xdr:cNvPr id="111" name="TextBox 125"/>
        <xdr:cNvSpPr txBox="1">
          <a:spLocks noChangeArrowheads="1"/>
        </xdr:cNvSpPr>
      </xdr:nvSpPr>
      <xdr:spPr>
        <a:xfrm>
          <a:off x="8648700" y="9467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209550"/>
    <xdr:sp>
      <xdr:nvSpPr>
        <xdr:cNvPr id="112" name="TextBox 126"/>
        <xdr:cNvSpPr txBox="1">
          <a:spLocks noChangeArrowheads="1"/>
        </xdr:cNvSpPr>
      </xdr:nvSpPr>
      <xdr:spPr>
        <a:xfrm>
          <a:off x="8648700" y="9467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04775" cy="209550"/>
    <xdr:sp>
      <xdr:nvSpPr>
        <xdr:cNvPr id="113" name="TextBox 127"/>
        <xdr:cNvSpPr txBox="1">
          <a:spLocks noChangeArrowheads="1"/>
        </xdr:cNvSpPr>
      </xdr:nvSpPr>
      <xdr:spPr>
        <a:xfrm>
          <a:off x="8648700" y="928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04775" cy="209550"/>
    <xdr:sp>
      <xdr:nvSpPr>
        <xdr:cNvPr id="114" name="TextBox 128"/>
        <xdr:cNvSpPr txBox="1">
          <a:spLocks noChangeArrowheads="1"/>
        </xdr:cNvSpPr>
      </xdr:nvSpPr>
      <xdr:spPr>
        <a:xfrm>
          <a:off x="8648700" y="928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04775" cy="209550"/>
    <xdr:sp>
      <xdr:nvSpPr>
        <xdr:cNvPr id="115" name="TextBox 129"/>
        <xdr:cNvSpPr txBox="1">
          <a:spLocks noChangeArrowheads="1"/>
        </xdr:cNvSpPr>
      </xdr:nvSpPr>
      <xdr:spPr>
        <a:xfrm>
          <a:off x="8648700" y="928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04775" cy="209550"/>
    <xdr:sp>
      <xdr:nvSpPr>
        <xdr:cNvPr id="116" name="TextBox 130"/>
        <xdr:cNvSpPr txBox="1">
          <a:spLocks noChangeArrowheads="1"/>
        </xdr:cNvSpPr>
      </xdr:nvSpPr>
      <xdr:spPr>
        <a:xfrm>
          <a:off x="8648700" y="928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04775" cy="209550"/>
    <xdr:sp>
      <xdr:nvSpPr>
        <xdr:cNvPr id="117" name="TextBox 131"/>
        <xdr:cNvSpPr txBox="1">
          <a:spLocks noChangeArrowheads="1"/>
        </xdr:cNvSpPr>
      </xdr:nvSpPr>
      <xdr:spPr>
        <a:xfrm>
          <a:off x="8648700" y="928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209550"/>
    <xdr:sp>
      <xdr:nvSpPr>
        <xdr:cNvPr id="118" name="TextBox 132"/>
        <xdr:cNvSpPr txBox="1">
          <a:spLocks noChangeArrowheads="1"/>
        </xdr:cNvSpPr>
      </xdr:nvSpPr>
      <xdr:spPr>
        <a:xfrm>
          <a:off x="8648700" y="112776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209550"/>
    <xdr:sp>
      <xdr:nvSpPr>
        <xdr:cNvPr id="119" name="TextBox 133"/>
        <xdr:cNvSpPr txBox="1">
          <a:spLocks noChangeArrowheads="1"/>
        </xdr:cNvSpPr>
      </xdr:nvSpPr>
      <xdr:spPr>
        <a:xfrm>
          <a:off x="8648700" y="112776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04775" cy="209550"/>
    <xdr:sp>
      <xdr:nvSpPr>
        <xdr:cNvPr id="120" name="TextBox 134"/>
        <xdr:cNvSpPr txBox="1">
          <a:spLocks noChangeArrowheads="1"/>
        </xdr:cNvSpPr>
      </xdr:nvSpPr>
      <xdr:spPr>
        <a:xfrm>
          <a:off x="8648700" y="10191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04775" cy="209550"/>
    <xdr:sp>
      <xdr:nvSpPr>
        <xdr:cNvPr id="121" name="TextBox 135"/>
        <xdr:cNvSpPr txBox="1">
          <a:spLocks noChangeArrowheads="1"/>
        </xdr:cNvSpPr>
      </xdr:nvSpPr>
      <xdr:spPr>
        <a:xfrm>
          <a:off x="8648700" y="10191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04775" cy="209550"/>
    <xdr:sp>
      <xdr:nvSpPr>
        <xdr:cNvPr id="122" name="TextBox 136"/>
        <xdr:cNvSpPr txBox="1">
          <a:spLocks noChangeArrowheads="1"/>
        </xdr:cNvSpPr>
      </xdr:nvSpPr>
      <xdr:spPr>
        <a:xfrm>
          <a:off x="8648700" y="10191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04775" cy="209550"/>
    <xdr:sp>
      <xdr:nvSpPr>
        <xdr:cNvPr id="123" name="TextBox 137"/>
        <xdr:cNvSpPr txBox="1">
          <a:spLocks noChangeArrowheads="1"/>
        </xdr:cNvSpPr>
      </xdr:nvSpPr>
      <xdr:spPr>
        <a:xfrm>
          <a:off x="8648700" y="10191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21</xdr:col>
      <xdr:colOff>238125</xdr:colOff>
      <xdr:row>67</xdr:row>
      <xdr:rowOff>123825</xdr:rowOff>
    </xdr:to>
    <xdr:graphicFrame>
      <xdr:nvGraphicFramePr>
        <xdr:cNvPr id="1" name="Chart 2"/>
        <xdr:cNvGraphicFramePr/>
      </xdr:nvGraphicFramePr>
      <xdr:xfrm>
        <a:off x="0" y="276225"/>
        <a:ext cx="13039725" cy="1069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21</xdr:col>
      <xdr:colOff>523875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1332547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62" sheet="Main Data"/>
  </cacheSource>
  <cacheFields count="20">
    <cacheField name="Fill #">
      <sharedItems containsString="0" containsBlank="1" containsMixedTypes="0" containsNumber="1" containsInteger="1" count="26">
        <n v="1"/>
        <n v="2"/>
        <n v="3"/>
        <m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</sharedItems>
    </cacheField>
    <cacheField name="Start">
      <sharedItems containsDate="1" containsString="0" containsBlank="1" containsMixedTypes="0" count="26">
        <d v="2006-01-31T08:01:00.000"/>
        <d v="2006-01-31T15:58:00.000"/>
        <d v="2006-02-02T11:48:00.000"/>
        <m/>
        <d v="2006-02-08T08:00:00.000"/>
        <d v="2006-02-13T08:03:00.000"/>
        <d v="2006-02-15T08:00:00.000"/>
        <d v="2006-02-17T06:55:00.000"/>
        <d v="2006-02-22T08:00:00.000"/>
        <d v="2006-03-01T08:00:00.000"/>
        <d v="2006-03-06T00:11:00.000"/>
        <d v="2006-03-08T08:00:00.000"/>
        <d v="2006-03-09T16:43:00.000"/>
        <d v="2006-03-11T12:10:00.000"/>
        <d v="2006-03-12T06:58:00.000"/>
        <d v="2006-03-13T00:15:00.000"/>
        <d v="2006-03-15T08:00:00.000"/>
        <d v="2006-03-22T08:00:00.000"/>
        <d v="2006-03-29T08:00:00.000"/>
        <d v="2006-04-05T08:00:00.000"/>
        <d v="2006-04-12T08:00:00.000"/>
        <d v="2006-04-14T22:24:00.000"/>
        <d v="2006-04-16T14:50:00.000"/>
        <d v="2006-04-17T16:43:00.000"/>
        <d v="2006-04-19T08:00:00.000"/>
        <d v="2006-04-22T13:07:00.000"/>
      </sharedItems>
    </cacheField>
    <cacheField name="End">
      <sharedItems containsDate="1" containsString="0" containsBlank="1" containsMixedTypes="0" count="26">
        <d v="2006-01-31T15:26:00.000"/>
        <d v="2006-02-02T11:05:00.000"/>
        <d v="2006-02-07T08:00:00.000"/>
        <m/>
        <d v="2006-02-13T07:31:00.000"/>
        <d v="2006-02-14T08:00:00.000"/>
        <d v="2006-02-17T06:26:00.000"/>
        <d v="2006-02-20T08:00:00.000"/>
        <d v="2006-02-28T08:00:00.000"/>
        <d v="2006-03-05T21:46:00.000"/>
        <d v="2006-03-07T08:00:00.000"/>
        <d v="2006-03-09T16:00:00.000"/>
        <d v="2006-03-11T09:04:00.000"/>
        <d v="2006-03-12T06:34:00.000"/>
        <d v="2006-03-12T23:43:00.000"/>
        <d v="2006-03-13T08:00:00.000"/>
        <d v="2006-03-21T08:00:00.000"/>
        <d v="2006-03-28T08:00:00.000"/>
        <d v="2006-04-03T08:00:00.000"/>
        <d v="2006-04-11T08:00:00.000"/>
        <d v="2006-04-14T21:44:00.000"/>
        <d v="2006-04-16T14:18:00.000"/>
        <d v="2006-04-17T13:18:00.000"/>
        <d v="2006-04-18T08:00:00.000"/>
        <d v="2006-04-21T23:47:00.000"/>
        <d v="2006-04-24T07:59:00.000"/>
      </sharedItems>
    </cacheField>
    <cacheField name="Length">
      <sharedItems containsString="0" containsBlank="1" containsMixedTypes="0" containsNumber="1" count="29">
        <n v="7.416666666744277"/>
        <n v="43.1166666666395"/>
        <n v="116.20000000001164"/>
        <n v="166.73333333339542"/>
        <n v="119.51666666666279"/>
        <n v="23.95000000001164"/>
        <n v="143.46666666667443"/>
        <n v="46.43333333329065"/>
        <n v="73.08333333337214"/>
        <n v="144"/>
        <n v="109.76666666666279"/>
        <m/>
        <n v="31.816666666651145"/>
        <n v="141.58333333331393"/>
        <n v="31.999999999883585"/>
        <n v="40.350000000034925"/>
        <n v="18.399999999906868"/>
        <n v="16.749999999941792"/>
        <n v="7.750000000116415"/>
        <n v="115.24999999988358"/>
        <n v="119"/>
        <n v="61.7333333332208"/>
        <n v="39.899999999965075"/>
        <n v="22.466666666732635"/>
        <n v="15.28333333338378"/>
        <n v="139.3833333333023"/>
        <n v="63.783333333267365"/>
        <n v="42.86666666669771"/>
        <n v="106.64999999996508"/>
      </sharedItems>
    </cacheField>
    <cacheField name="Loss &#10;Reason">
      <sharedItems containsBlank="1" containsMixedTypes="0" count="13">
        <s v="CPU PS &amp; IOC reboot[CTL]"/>
        <s v="Steering Software [OAG]"/>
        <s v="Int Dump: End of Period"/>
        <m/>
        <s v="RTFB problem"/>
        <s v="RF llrf problem  [RF]"/>
        <s v="S:BM:PS current loss[PS]"/>
        <s v="11-ID PSS trip     [EOS]"/>
        <s v="RF4 Cathode V drop [RF]"/>
        <s v="Booster ACIS problem[SI]"/>
        <s v="Weather-Related [Other] "/>
        <s v="Power disturbance[ComEd]"/>
        <s v="ACIS UPS failure [IT]"/>
      </sharedItems>
    </cacheField>
    <cacheField name="DIN #">
      <sharedItems containsString="0" containsBlank="1" containsMixedTypes="0" containsNumber="1" containsInteger="1" count="10">
        <n v="105081"/>
        <n v="105085"/>
        <m/>
        <n v="105091"/>
        <n v="105092"/>
        <n v="105097"/>
        <n v="105098"/>
        <n v="105099"/>
        <n v="105100"/>
        <n v="105101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9">
        <d v="2006-01-31T15:26:00.000"/>
        <d v="2006-02-02T11:05:00.000"/>
        <m/>
        <d v="2006-02-13T07:31:00.000"/>
        <d v="2006-02-17T06:26:00.000"/>
        <d v="2006-03-05T21:46:00.000"/>
        <d v="2006-03-05T22:41:00.000"/>
        <d v="2006-03-09T16:00:00.000"/>
        <d v="2006-03-11T09:04:00.000"/>
        <d v="2006-03-11T09:46:00.000"/>
        <d v="2006-03-12T06:34:00.000"/>
        <d v="2006-03-12T23:43:00.000"/>
        <d v="2006-04-14T21:44:00.000"/>
        <d v="2006-04-16T14:18:00.000"/>
        <d v="2006-04-17T13:18:00.000"/>
        <d v="2006-04-17T14:05:00.000"/>
        <d v="2006-04-21T23:47:00.000"/>
        <d v="2006-04-22T01:38:00.000"/>
        <d v="2006-04-22T02:38:00.000"/>
        <d v="2006-04-22T05:02:00.000"/>
        <d v="2006-04-22T04:30:00.000"/>
        <d v="2006-04-22T05:49:00.000"/>
        <d v="2006-04-22T06:12:00.000"/>
        <d v="2006-04-22T07:25:00.000"/>
        <d v="2006-04-22T07:50:00.000"/>
        <d v="2006-04-22T08:42:00.000"/>
        <d v="2006-04-22T10:41:00.000"/>
        <d v="2006-04-22T12:08:00.000"/>
        <d v="2006-04-22T12:20:00.000"/>
      </sharedItems>
    </cacheField>
    <cacheField name="End2">
      <sharedItems containsDate="1" containsString="0" containsBlank="1" containsMixedTypes="0" count="30">
        <d v="2006-01-31T15:58:00.000"/>
        <d v="2006-02-02T11:48:00.000"/>
        <m/>
        <d v="2006-02-13T08:03:00.000"/>
        <d v="2006-02-17T06:55:00.000"/>
        <d v="2006-03-05T22:41:00.000"/>
        <d v="2006-03-06T00:11:00.000"/>
        <d v="2006-03-09T16:43:00.000"/>
        <d v="2006-03-11T09:46:00.000"/>
        <d v="2006-03-11T12:10:00.000"/>
        <d v="2006-03-12T06:58:00.000"/>
        <d v="2006-03-13T00:15:00.000"/>
        <d v="2006-04-14T22:24:00.000"/>
        <d v="2006-04-16T14:50:00.000"/>
        <d v="2006-04-17T14:05:00.000"/>
        <d v="2006-04-17T16:43:00.000"/>
        <d v="2006-04-22T02:38:00.000"/>
        <d v="2006-04-22T02:02:00.000"/>
        <d v="2006-04-22T05:02:00.000"/>
        <d v="2006-04-22T03:40:00.000"/>
        <d v="2006-04-22T05:49:00.000"/>
        <d v="2006-04-22T06:34:00.000"/>
        <d v="2006-04-22T06:12:00.000"/>
        <d v="2006-04-22T08:42:00.000"/>
        <d v="2006-04-22T07:50:00.000"/>
        <d v="2006-04-22T10:41:00.000"/>
        <d v="2006-04-22T09:12:00.000"/>
        <d v="2006-04-22T12:08:00.000"/>
        <d v="2006-04-22T12:20:00.000"/>
        <d v="2006-04-22T13:07:00.000"/>
      </sharedItems>
    </cacheField>
    <cacheField name="User &#10;Length">
      <sharedItems containsString="0" containsBlank="1" containsMixedTypes="0" containsNumber="1" count="18">
        <n v="0.5333333333255723"/>
        <n v="0.7166666667326353"/>
        <n v="0"/>
        <n v="1.2500000000582077"/>
        <n v="0.48333333333721384"/>
        <m/>
        <n v="0.9166666666860692"/>
        <n v="1.5"/>
        <n v="2.416666666686069"/>
        <n v="0.7000000000116415"/>
        <n v="2.3999999999650754"/>
        <n v="0.4000000000814907"/>
        <n v="4.750000000116415"/>
        <n v="0.6666666667442769"/>
        <n v="0.7833333332673647"/>
        <n v="2.633333333360497"/>
        <n v="4.616666666697711"/>
        <n v="13.33333333331393"/>
      </sharedItems>
    </cacheField>
    <cacheField name="System&#10;Length">
      <sharedItems containsString="0" containsBlank="1" containsMixedTypes="0" containsNumber="1" count="28">
        <n v="0.5333333333255723"/>
        <n v="0.7166666667326353"/>
        <n v="0"/>
        <n v="1.2500000000582077"/>
        <n v="0.48333333333721384"/>
        <m/>
        <n v="0.9166666666860692"/>
        <n v="1.5"/>
        <n v="2.416666666686069"/>
        <n v="0.7000000000116415"/>
        <n v="2.3999999999650754"/>
        <n v="0.4000000000814907"/>
        <n v="4.750000000116415"/>
        <n v="0.6666666667442769"/>
        <n v="0.7833333332673647"/>
        <n v="2.633333333360497"/>
        <n v="4.616666666697711"/>
        <n v="2.8500000000349246"/>
        <n v="0.39999999990686774"/>
        <n v="1.03333333338378"/>
        <n v="2.066666666592937"/>
        <n v="0.3833333333604969"/>
        <n v="2.5000000001164153"/>
        <n v="0.41666666662786156"/>
        <n v="0.4999999998835847"/>
        <n v="1.4500000000116415"/>
        <n v="0.19999999995343387"/>
        <n v="18.616666666406672"/>
      </sharedItems>
    </cacheField>
    <cacheField name="Cause">
      <sharedItems containsBlank="1" containsMixedTypes="0" count="14">
        <s v="CTL"/>
        <s v="OAG"/>
        <s v="Scheduled"/>
        <m/>
        <s v="RF"/>
        <s v="PS"/>
        <s v="OPS"/>
        <s v="EOS"/>
        <s v="UNK"/>
        <s v="SI"/>
        <s v="Other"/>
        <s v="COM-ED"/>
        <s v="IT"/>
        <s v="DIA"/>
      </sharedItems>
    </cacheField>
    <cacheField name="System">
      <sharedItems containsBlank="1" containsMixedTypes="0" count="13">
        <s v="CTL"/>
        <s v="OAG"/>
        <m/>
        <s v="RF"/>
        <s v="PS"/>
        <s v="OPS"/>
        <s v="EOS"/>
        <s v="UNK"/>
        <s v="SI"/>
        <s v="Other"/>
        <s v="Electrical-ANL"/>
        <s v="IT"/>
        <s v="DIA"/>
      </sharedItems>
    </cacheField>
    <cacheField name="Group">
      <sharedItems containsBlank="1" containsMixedTypes="0" count="15">
        <s v="CTL"/>
        <s v="OAG"/>
        <m/>
        <s v="RF"/>
        <s v="PS"/>
        <s v="OPS"/>
        <s v="EOS"/>
        <s v="UNK"/>
        <s v="SI"/>
        <s v="Other"/>
        <s v="IT"/>
        <s v="DIA"/>
        <s v="ME"/>
        <s v="UES"/>
        <s v="XFD"/>
      </sharedItems>
    </cacheField>
    <cacheField name="Type">
      <sharedItems containsBlank="1" containsMixedTypes="0" count="3">
        <s v="Store Lost"/>
        <m/>
        <s v="Inhibits beam to user"/>
      </sharedItems>
    </cacheField>
    <cacheField name="Description">
      <sharedItems containsBlank="1" containsMixedTypes="0" count="20">
        <m/>
        <s v="SR Dipole glitch 0.92[PS],TM alarm limits 1.5[OPS]"/>
        <s v="Recovery from trip to CA, refill"/>
        <s v="RF4 0.7hr[RF], problems storing beam 2.4hr[Unknown]"/>
        <s v="Dropped below 60mA, replaced processor, filled [SI]"/>
        <s v="Reset RF4 and B:IS:PS, refilled "/>
        <s v="PS condition error, OC error; 1hr[Other], 2.5hr [OA ]"/>
        <s v="4.52hr[IT]2.4hr[SI]2.07hr[RF]2.5hr[PS]3.3hr[OA]2.85hr[CTL]"/>
        <s v="Booster tunnel dropped prior to Beam Permit"/>
        <s v="Chain C would not reset for SR"/>
        <s v="Troubleshooting"/>
        <s v="Search of Zones A-F"/>
        <s v="RF-5 would not reset"/>
        <s v="Start up"/>
        <s v="SR Raw Supplies"/>
        <s v="PEM errors"/>
        <s v="Timing Error"/>
        <s v="SR conditioning"/>
        <s v="Tuning"/>
        <s v="RTFB errors"/>
      </sharedItems>
    </cacheField>
    <cacheField name="Store Lost">
      <sharedItems containsMixedTypes="1" containsNumber="1" containsInteger="1" count="2">
        <n v="1"/>
        <s v=""/>
      </sharedItems>
    </cacheField>
    <cacheField name="Intention. Dump">
      <sharedItems containsMixedTypes="1" containsNumber="1" containsInteger="1" count="2">
        <s v=""/>
        <n v="1"/>
      </sharedItems>
    </cacheField>
    <cacheField name="Inhibits Beam">
      <sharedItems containsBlank="1" containsMixedTypes="1" containsNumber="1" containsInteger="1" count="3">
        <s v=""/>
        <n v="1"/>
        <m/>
      </sharedItems>
    </cacheField>
    <cacheField name="TOTAL">
      <sharedItems containsSemiMixedTypes="0" containsString="0" containsMixedTypes="0" containsNumber="1" containsInteger="1" count="2">
        <n v="1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6">
        <item x="0"/>
        <item x="1"/>
        <item x="9"/>
        <item x="4"/>
        <item x="3"/>
        <item m="1" x="13"/>
        <item x="7"/>
        <item m="1" x="14"/>
        <item h="1" x="2"/>
        <item m="1" x="12"/>
        <item x="5"/>
        <item x="6"/>
        <item x="8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12">
    <i>
      <x/>
    </i>
    <i>
      <x v="1"/>
    </i>
    <i>
      <x v="2"/>
    </i>
    <i>
      <x v="3"/>
    </i>
    <i>
      <x v="4"/>
    </i>
    <i>
      <x v="6"/>
    </i>
    <i>
      <x v="10"/>
    </i>
    <i>
      <x v="11"/>
    </i>
    <i>
      <x v="12"/>
    </i>
    <i>
      <x v="13"/>
    </i>
    <i>
      <x v="14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55"/>
  <sheetViews>
    <sheetView tabSelected="1" zoomScale="75" zoomScaleNormal="75" workbookViewId="0" topLeftCell="A1">
      <pane ySplit="5" topLeftCell="BM40" activePane="bottomLeft" state="frozen"/>
      <selection pane="topLeft" activeCell="A1" sqref="A1"/>
      <selection pane="bottomLeft" activeCell="K54" sqref="K54"/>
    </sheetView>
  </sheetViews>
  <sheetFormatPr defaultColWidth="9.140625" defaultRowHeight="12.75"/>
  <cols>
    <col min="1" max="1" width="6.8515625" style="29" customWidth="1"/>
    <col min="2" max="2" width="16.140625" style="18" bestFit="1" customWidth="1"/>
    <col min="3" max="3" width="14.421875" style="18" customWidth="1"/>
    <col min="4" max="4" width="7.7109375" style="21" customWidth="1"/>
    <col min="5" max="5" width="27.57421875" style="22" customWidth="1"/>
    <col min="6" max="6" width="9.421875" style="50" customWidth="1"/>
    <col min="7" max="7" width="3.28125" style="48" customWidth="1"/>
    <col min="8" max="8" width="14.421875" style="31" customWidth="1"/>
    <col min="9" max="9" width="14.28125" style="31" customWidth="1"/>
    <col min="10" max="10" width="7.7109375" style="21" customWidth="1"/>
    <col min="11" max="11" width="7.8515625" style="34" customWidth="1"/>
    <col min="12" max="12" width="11.421875" style="61" customWidth="1"/>
    <col min="13" max="13" width="13.28125" style="62" customWidth="1"/>
    <col min="14" max="14" width="11.421875" style="62" customWidth="1"/>
    <col min="15" max="15" width="22.00390625" style="61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6" t="s">
        <v>22</v>
      </c>
      <c r="B1" s="15"/>
      <c r="C1" s="15"/>
      <c r="D1" s="7">
        <v>0.25</v>
      </c>
      <c r="E1" s="13" t="s">
        <v>30</v>
      </c>
      <c r="F1" s="14"/>
      <c r="G1" s="47"/>
      <c r="H1" s="30"/>
      <c r="I1" s="30"/>
      <c r="J1" s="7"/>
      <c r="K1" s="32"/>
      <c r="L1" s="55"/>
      <c r="M1" s="56"/>
      <c r="N1" s="56"/>
      <c r="O1" s="55"/>
      <c r="P1" s="8"/>
      <c r="W1" s="6" t="s">
        <v>23</v>
      </c>
      <c r="X1" s="1">
        <f>D1/24</f>
        <v>0.010416666666666666</v>
      </c>
    </row>
    <row r="2" spans="1:16" ht="26.25">
      <c r="A2" s="190" t="s">
        <v>64</v>
      </c>
      <c r="B2" s="190"/>
      <c r="C2" s="190"/>
      <c r="D2" s="190"/>
      <c r="E2" s="190"/>
      <c r="F2" s="190"/>
      <c r="G2" s="190"/>
      <c r="H2" s="190"/>
      <c r="I2" s="190"/>
      <c r="J2" s="45"/>
      <c r="K2" s="45"/>
      <c r="L2" s="57"/>
      <c r="M2" s="58"/>
      <c r="N2" s="58"/>
      <c r="O2" s="57"/>
      <c r="P2" s="8"/>
    </row>
    <row r="3" spans="1:20" s="3" customFormat="1" ht="12.75">
      <c r="A3" s="28"/>
      <c r="B3" s="15"/>
      <c r="C3" s="15"/>
      <c r="D3" s="7"/>
      <c r="E3" s="13"/>
      <c r="F3" s="49"/>
      <c r="G3" s="47"/>
      <c r="H3" s="30"/>
      <c r="I3" s="30"/>
      <c r="J3" s="7"/>
      <c r="K3" s="32"/>
      <c r="L3" s="55"/>
      <c r="M3" s="56"/>
      <c r="N3" s="56"/>
      <c r="O3" s="55"/>
      <c r="P3" s="8"/>
      <c r="Q3" s="1"/>
      <c r="R3" s="1"/>
      <c r="S3" s="1"/>
      <c r="T3" s="1"/>
    </row>
    <row r="4" spans="1:20" s="3" customFormat="1" ht="12.75">
      <c r="A4" s="28"/>
      <c r="B4" s="15"/>
      <c r="C4" s="15"/>
      <c r="D4" s="7"/>
      <c r="E4" s="13"/>
      <c r="F4" s="49"/>
      <c r="G4" s="47"/>
      <c r="H4" s="30"/>
      <c r="I4" s="30"/>
      <c r="J4" s="7"/>
      <c r="K4" s="32"/>
      <c r="L4" s="55"/>
      <c r="M4" s="56"/>
      <c r="N4" s="56"/>
      <c r="O4" s="55"/>
      <c r="P4" s="8"/>
      <c r="Q4" s="1"/>
      <c r="R4" s="1"/>
      <c r="S4" s="1"/>
      <c r="T4" s="1"/>
    </row>
    <row r="5" spans="1:20" s="3" customFormat="1" ht="81" customHeight="1">
      <c r="A5" s="36" t="s">
        <v>3</v>
      </c>
      <c r="B5" s="38" t="s">
        <v>0</v>
      </c>
      <c r="C5" s="38" t="s">
        <v>1</v>
      </c>
      <c r="D5" s="23" t="s">
        <v>2</v>
      </c>
      <c r="E5" s="37" t="s">
        <v>19</v>
      </c>
      <c r="F5" s="36" t="s">
        <v>20</v>
      </c>
      <c r="G5" s="10" t="s">
        <v>6</v>
      </c>
      <c r="H5" s="38" t="s">
        <v>0</v>
      </c>
      <c r="I5" s="38" t="s">
        <v>1</v>
      </c>
      <c r="J5" s="23" t="s">
        <v>7</v>
      </c>
      <c r="K5" s="27" t="s">
        <v>21</v>
      </c>
      <c r="L5" s="59" t="s">
        <v>4</v>
      </c>
      <c r="M5" s="60" t="s">
        <v>10</v>
      </c>
      <c r="N5" s="60" t="s">
        <v>37</v>
      </c>
      <c r="O5" s="59" t="s">
        <v>5</v>
      </c>
      <c r="P5" s="11" t="s">
        <v>25</v>
      </c>
      <c r="Q5" s="43" t="s">
        <v>26</v>
      </c>
      <c r="R5" s="43" t="s">
        <v>34</v>
      </c>
      <c r="S5" s="43" t="s">
        <v>32</v>
      </c>
      <c r="T5" s="52" t="s">
        <v>33</v>
      </c>
    </row>
    <row r="6" spans="1:23" s="64" customFormat="1" ht="12.75">
      <c r="A6" s="105">
        <v>1</v>
      </c>
      <c r="B6" s="106">
        <v>38748.334027777775</v>
      </c>
      <c r="C6" s="106">
        <v>38748.643055555556</v>
      </c>
      <c r="D6" s="107">
        <f>(C6-B6)*24</f>
        <v>7.416666666744277</v>
      </c>
      <c r="E6" s="108" t="s">
        <v>67</v>
      </c>
      <c r="F6" s="109">
        <v>105081</v>
      </c>
      <c r="G6" s="110"/>
      <c r="H6" s="106">
        <v>38748.643055555556</v>
      </c>
      <c r="I6" s="106">
        <v>38748.66527777778</v>
      </c>
      <c r="J6" s="107">
        <f>(I6-H6)*24</f>
        <v>0.5333333333255723</v>
      </c>
      <c r="K6" s="107">
        <f>(I6-H6)*24</f>
        <v>0.5333333333255723</v>
      </c>
      <c r="L6" s="111" t="s">
        <v>65</v>
      </c>
      <c r="M6" s="112" t="s">
        <v>65</v>
      </c>
      <c r="N6" s="112" t="s">
        <v>65</v>
      </c>
      <c r="O6" s="113" t="s">
        <v>26</v>
      </c>
      <c r="P6" s="108"/>
      <c r="Q6" s="114">
        <f aca="true" t="shared" si="0" ref="Q6:Q62">IF($O6="Store Lost",1,"")</f>
        <v>1</v>
      </c>
      <c r="R6" s="114">
        <f aca="true" t="shared" si="1" ref="R6:R62">IF($L6="Scheduled",1,"")</f>
      </c>
      <c r="S6" s="114">
        <f aca="true" t="shared" si="2" ref="S6:S62">IF($O6="Inhibits beam to user",1,"")</f>
      </c>
      <c r="T6" s="114">
        <f aca="true" t="shared" si="3" ref="T6:T12">SUM(Q6:S6)</f>
        <v>1</v>
      </c>
      <c r="U6" s="3"/>
      <c r="V6" s="3"/>
      <c r="W6" s="3"/>
    </row>
    <row r="7" spans="1:23" s="64" customFormat="1" ht="14.25" customHeight="1">
      <c r="A7" s="115">
        <v>2</v>
      </c>
      <c r="B7" s="116">
        <v>38748.66527777778</v>
      </c>
      <c r="C7" s="117">
        <v>38750.461805555555</v>
      </c>
      <c r="D7" s="118">
        <f>(C7-B7)*24</f>
        <v>43.1166666666395</v>
      </c>
      <c r="E7" s="140" t="s">
        <v>68</v>
      </c>
      <c r="F7" s="120">
        <v>105085</v>
      </c>
      <c r="G7" s="121"/>
      <c r="H7" s="117">
        <v>38750.461805555555</v>
      </c>
      <c r="I7" s="117">
        <v>38750.49166666667</v>
      </c>
      <c r="J7" s="122">
        <f>(I7-H7)*24</f>
        <v>0.7166666667326353</v>
      </c>
      <c r="K7" s="122">
        <f>(I7-H7)*24</f>
        <v>0.7166666667326353</v>
      </c>
      <c r="L7" s="123" t="s">
        <v>69</v>
      </c>
      <c r="M7" s="124" t="s">
        <v>69</v>
      </c>
      <c r="N7" s="124" t="s">
        <v>69</v>
      </c>
      <c r="O7" s="125" t="s">
        <v>26</v>
      </c>
      <c r="P7" s="119"/>
      <c r="Q7" s="114">
        <f t="shared" si="0"/>
        <v>1</v>
      </c>
      <c r="R7" s="114">
        <f t="shared" si="1"/>
      </c>
      <c r="S7" s="114">
        <f t="shared" si="2"/>
      </c>
      <c r="T7" s="114">
        <f t="shared" si="3"/>
        <v>1</v>
      </c>
      <c r="U7" s="3"/>
      <c r="V7" s="3"/>
      <c r="W7" s="3"/>
    </row>
    <row r="8" spans="1:23" s="64" customFormat="1" ht="15">
      <c r="A8" s="105">
        <v>3</v>
      </c>
      <c r="B8" s="126">
        <v>38750.49166666667</v>
      </c>
      <c r="C8" s="127">
        <v>38755.333333333336</v>
      </c>
      <c r="D8" s="107">
        <f>(C8-B8)*24</f>
        <v>116.20000000001164</v>
      </c>
      <c r="E8" s="139" t="s">
        <v>66</v>
      </c>
      <c r="F8" s="109"/>
      <c r="G8" s="110"/>
      <c r="H8" s="127"/>
      <c r="I8" s="127"/>
      <c r="J8" s="107">
        <f>(I8-H8)*24</f>
        <v>0</v>
      </c>
      <c r="K8" s="107">
        <f>(I8-H8)*24</f>
        <v>0</v>
      </c>
      <c r="L8" s="111" t="s">
        <v>24</v>
      </c>
      <c r="M8" s="112"/>
      <c r="N8" s="112"/>
      <c r="O8" s="113"/>
      <c r="P8" s="128"/>
      <c r="Q8" s="114">
        <f t="shared" si="0"/>
      </c>
      <c r="R8" s="114">
        <f t="shared" si="1"/>
        <v>1</v>
      </c>
      <c r="S8" s="114">
        <f t="shared" si="2"/>
      </c>
      <c r="T8" s="114">
        <f t="shared" si="3"/>
        <v>1</v>
      </c>
      <c r="U8" s="3"/>
      <c r="V8" s="3"/>
      <c r="W8" s="3"/>
    </row>
    <row r="9" spans="1:23" s="64" customFormat="1" ht="12.75">
      <c r="A9" s="129"/>
      <c r="B9" s="130"/>
      <c r="C9" s="130"/>
      <c r="D9" s="131">
        <f>SUM(D6:D8)</f>
        <v>166.73333333339542</v>
      </c>
      <c r="E9" s="132"/>
      <c r="F9" s="133"/>
      <c r="G9" s="134"/>
      <c r="H9" s="130"/>
      <c r="I9" s="130"/>
      <c r="J9" s="131">
        <f>SUM(J6:J8)</f>
        <v>1.2500000000582077</v>
      </c>
      <c r="K9" s="131">
        <f>SUM(K6:K8)</f>
        <v>1.2500000000582077</v>
      </c>
      <c r="L9" s="135"/>
      <c r="M9" s="136"/>
      <c r="N9" s="136"/>
      <c r="O9" s="137"/>
      <c r="P9" s="132"/>
      <c r="Q9" s="114">
        <f t="shared" si="0"/>
      </c>
      <c r="R9" s="114">
        <f t="shared" si="1"/>
      </c>
      <c r="S9" s="114">
        <f t="shared" si="2"/>
      </c>
      <c r="T9" s="114">
        <f t="shared" si="3"/>
        <v>0</v>
      </c>
      <c r="U9" s="3">
        <f>SUM((D9-J9)/D9*100)</f>
        <v>99.25029988001334</v>
      </c>
      <c r="V9" s="3"/>
      <c r="W9" s="3"/>
    </row>
    <row r="10" spans="1:23" s="64" customFormat="1" ht="14.25" customHeight="1">
      <c r="A10" s="115">
        <v>4</v>
      </c>
      <c r="B10" s="116">
        <v>38756.333333333336</v>
      </c>
      <c r="C10" s="117">
        <v>38761.31319444445</v>
      </c>
      <c r="D10" s="118">
        <f>(C10-B10)*24</f>
        <v>119.51666666666279</v>
      </c>
      <c r="E10" s="140" t="s">
        <v>70</v>
      </c>
      <c r="F10" s="120">
        <v>105091</v>
      </c>
      <c r="G10" s="121"/>
      <c r="H10" s="117">
        <v>38761.31319444445</v>
      </c>
      <c r="I10" s="117">
        <v>38761.33541666667</v>
      </c>
      <c r="J10" s="122">
        <f>(I10-H10)*24</f>
        <v>0.5333333333255723</v>
      </c>
      <c r="K10" s="122">
        <f>(I10-H10)*24</f>
        <v>0.5333333333255723</v>
      </c>
      <c r="L10" s="123" t="s">
        <v>65</v>
      </c>
      <c r="M10" s="124" t="s">
        <v>65</v>
      </c>
      <c r="N10" s="124" t="s">
        <v>65</v>
      </c>
      <c r="O10" s="125" t="s">
        <v>26</v>
      </c>
      <c r="P10" s="119"/>
      <c r="Q10" s="114">
        <f t="shared" si="0"/>
        <v>1</v>
      </c>
      <c r="R10" s="114">
        <f t="shared" si="1"/>
      </c>
      <c r="S10" s="114">
        <f t="shared" si="2"/>
      </c>
      <c r="T10" s="114">
        <f t="shared" si="3"/>
        <v>1</v>
      </c>
      <c r="U10" s="3"/>
      <c r="V10" s="3"/>
      <c r="W10" s="3"/>
    </row>
    <row r="11" spans="1:23" s="64" customFormat="1" ht="15">
      <c r="A11" s="105">
        <v>5</v>
      </c>
      <c r="B11" s="126">
        <v>38761.33541666667</v>
      </c>
      <c r="C11" s="127">
        <v>38762.333333333336</v>
      </c>
      <c r="D11" s="107">
        <f>(C11-B11)*24</f>
        <v>23.95000000001164</v>
      </c>
      <c r="E11" s="139" t="s">
        <v>66</v>
      </c>
      <c r="F11" s="109"/>
      <c r="G11" s="110"/>
      <c r="H11" s="127"/>
      <c r="I11" s="127"/>
      <c r="J11" s="107">
        <f>(I11-H11)*24</f>
        <v>0</v>
      </c>
      <c r="K11" s="107">
        <f>(I11-H11)*24</f>
        <v>0</v>
      </c>
      <c r="L11" s="111" t="s">
        <v>24</v>
      </c>
      <c r="M11" s="112"/>
      <c r="N11" s="112"/>
      <c r="O11" s="113"/>
      <c r="P11" s="128"/>
      <c r="Q11" s="114">
        <f t="shared" si="0"/>
      </c>
      <c r="R11" s="114">
        <f t="shared" si="1"/>
        <v>1</v>
      </c>
      <c r="S11" s="114">
        <f t="shared" si="2"/>
      </c>
      <c r="T11" s="114">
        <f t="shared" si="3"/>
        <v>1</v>
      </c>
      <c r="U11" s="3"/>
      <c r="V11" s="3"/>
      <c r="W11" s="3"/>
    </row>
    <row r="12" spans="1:23" s="64" customFormat="1" ht="12.75">
      <c r="A12" s="129"/>
      <c r="B12" s="130"/>
      <c r="C12" s="130"/>
      <c r="D12" s="131">
        <f>SUM(D10:D11)</f>
        <v>143.46666666667443</v>
      </c>
      <c r="E12" s="132"/>
      <c r="F12" s="133"/>
      <c r="G12" s="134"/>
      <c r="H12" s="130"/>
      <c r="I12" s="130"/>
      <c r="J12" s="131">
        <f>SUM(J10:J11)</f>
        <v>0.5333333333255723</v>
      </c>
      <c r="K12" s="131">
        <f>SUM(K10:K11)</f>
        <v>0.5333333333255723</v>
      </c>
      <c r="L12" s="135"/>
      <c r="M12" s="136"/>
      <c r="N12" s="136"/>
      <c r="O12" s="137"/>
      <c r="P12" s="132"/>
      <c r="Q12" s="114">
        <f t="shared" si="0"/>
      </c>
      <c r="R12" s="114">
        <f t="shared" si="1"/>
      </c>
      <c r="S12" s="114">
        <f t="shared" si="2"/>
      </c>
      <c r="T12" s="114">
        <f t="shared" si="3"/>
        <v>0</v>
      </c>
      <c r="U12" s="3">
        <f>SUM((D12-J12)/D12*100)</f>
        <v>99.62825278810952</v>
      </c>
      <c r="V12" s="3"/>
      <c r="W12" s="3"/>
    </row>
    <row r="13" spans="1:23" s="64" customFormat="1" ht="14.25" customHeight="1">
      <c r="A13" s="115">
        <v>6</v>
      </c>
      <c r="B13" s="116">
        <v>38763.333333333336</v>
      </c>
      <c r="C13" s="117">
        <v>38765.268055555556</v>
      </c>
      <c r="D13" s="118">
        <f>(C13-B13)*24</f>
        <v>46.43333333329065</v>
      </c>
      <c r="E13" s="140" t="s">
        <v>71</v>
      </c>
      <c r="F13" s="120">
        <v>105092</v>
      </c>
      <c r="G13" s="121"/>
      <c r="H13" s="117">
        <v>38765.268055555556</v>
      </c>
      <c r="I13" s="117">
        <v>38765.288194444445</v>
      </c>
      <c r="J13" s="122">
        <f>(I13-H13)*24</f>
        <v>0.48333333333721384</v>
      </c>
      <c r="K13" s="122">
        <f>(I13-H13)*24</f>
        <v>0.48333333333721384</v>
      </c>
      <c r="L13" s="123" t="s">
        <v>38</v>
      </c>
      <c r="M13" s="124" t="s">
        <v>38</v>
      </c>
      <c r="N13" s="124" t="s">
        <v>38</v>
      </c>
      <c r="O13" s="125" t="s">
        <v>26</v>
      </c>
      <c r="P13" s="119"/>
      <c r="Q13" s="114">
        <f t="shared" si="0"/>
        <v>1</v>
      </c>
      <c r="R13" s="114">
        <f t="shared" si="1"/>
      </c>
      <c r="S13" s="114">
        <f t="shared" si="2"/>
      </c>
      <c r="T13" s="114">
        <f aca="true" t="shared" si="4" ref="T13:T32">SUM(Q13:S13)</f>
        <v>1</v>
      </c>
      <c r="U13" s="3"/>
      <c r="V13" s="3"/>
      <c r="W13" s="3"/>
    </row>
    <row r="14" spans="1:23" s="64" customFormat="1" ht="15">
      <c r="A14" s="105">
        <v>7</v>
      </c>
      <c r="B14" s="126">
        <v>38765.288194444445</v>
      </c>
      <c r="C14" s="127">
        <v>38768.333333333336</v>
      </c>
      <c r="D14" s="107">
        <f>(C14-B14)*24</f>
        <v>73.08333333337214</v>
      </c>
      <c r="E14" s="139" t="s">
        <v>66</v>
      </c>
      <c r="F14" s="109"/>
      <c r="G14" s="110"/>
      <c r="H14" s="127"/>
      <c r="I14" s="127"/>
      <c r="J14" s="107">
        <f>(I14-H14)*24</f>
        <v>0</v>
      </c>
      <c r="K14" s="107">
        <f>(I14-H14)*24</f>
        <v>0</v>
      </c>
      <c r="L14" s="111" t="s">
        <v>24</v>
      </c>
      <c r="M14" s="112"/>
      <c r="N14" s="112"/>
      <c r="O14" s="113"/>
      <c r="P14" s="128"/>
      <c r="Q14" s="114">
        <f t="shared" si="0"/>
      </c>
      <c r="R14" s="114">
        <f t="shared" si="1"/>
        <v>1</v>
      </c>
      <c r="S14" s="114">
        <f t="shared" si="2"/>
      </c>
      <c r="T14" s="114">
        <f t="shared" si="4"/>
        <v>1</v>
      </c>
      <c r="U14" s="3"/>
      <c r="V14" s="3"/>
      <c r="W14" s="3"/>
    </row>
    <row r="15" spans="1:23" s="64" customFormat="1" ht="12.75">
      <c r="A15" s="129"/>
      <c r="B15" s="130"/>
      <c r="C15" s="130"/>
      <c r="D15" s="131">
        <f>SUM(D13:D14)</f>
        <v>119.51666666666279</v>
      </c>
      <c r="E15" s="132"/>
      <c r="F15" s="133"/>
      <c r="G15" s="134"/>
      <c r="H15" s="130"/>
      <c r="I15" s="130"/>
      <c r="J15" s="131">
        <f>SUM(J13:J14)</f>
        <v>0.48333333333721384</v>
      </c>
      <c r="K15" s="131">
        <f>SUM(K13:K14)</f>
        <v>0.48333333333721384</v>
      </c>
      <c r="L15" s="135"/>
      <c r="M15" s="136"/>
      <c r="N15" s="136"/>
      <c r="O15" s="137"/>
      <c r="P15" s="132"/>
      <c r="Q15" s="114">
        <f t="shared" si="0"/>
      </c>
      <c r="R15" s="114">
        <f t="shared" si="1"/>
      </c>
      <c r="S15" s="114">
        <f t="shared" si="2"/>
      </c>
      <c r="T15" s="114">
        <f t="shared" si="4"/>
        <v>0</v>
      </c>
      <c r="U15" s="3">
        <f>SUM((D15-J15)/D15*100)</f>
        <v>99.59559336214986</v>
      </c>
      <c r="V15" s="3"/>
      <c r="W15" s="3"/>
    </row>
    <row r="16" spans="1:23" s="64" customFormat="1" ht="15">
      <c r="A16" s="105">
        <v>8</v>
      </c>
      <c r="B16" s="126">
        <v>38770.333333333336</v>
      </c>
      <c r="C16" s="127">
        <v>38776.333333333336</v>
      </c>
      <c r="D16" s="107">
        <f>(C16-B16)*24</f>
        <v>144</v>
      </c>
      <c r="E16" s="139" t="s">
        <v>66</v>
      </c>
      <c r="F16" s="109"/>
      <c r="G16" s="110"/>
      <c r="H16" s="127"/>
      <c r="I16" s="127"/>
      <c r="J16" s="107">
        <f>(I16-H16)*24</f>
        <v>0</v>
      </c>
      <c r="K16" s="107">
        <f>(I16-H16)*24</f>
        <v>0</v>
      </c>
      <c r="L16" s="111" t="s">
        <v>24</v>
      </c>
      <c r="M16" s="112"/>
      <c r="N16" s="112"/>
      <c r="O16" s="113"/>
      <c r="P16" s="128"/>
      <c r="Q16" s="114">
        <f t="shared" si="0"/>
      </c>
      <c r="R16" s="114">
        <f t="shared" si="1"/>
        <v>1</v>
      </c>
      <c r="S16" s="114">
        <f t="shared" si="2"/>
      </c>
      <c r="T16" s="114">
        <f t="shared" si="4"/>
        <v>1</v>
      </c>
      <c r="U16" s="3"/>
      <c r="V16" s="3"/>
      <c r="W16" s="3"/>
    </row>
    <row r="17" spans="1:23" s="64" customFormat="1" ht="12.75">
      <c r="A17" s="129"/>
      <c r="B17" s="130"/>
      <c r="C17" s="130"/>
      <c r="D17" s="131">
        <f>SUM(D16:D16)</f>
        <v>144</v>
      </c>
      <c r="E17" s="132"/>
      <c r="F17" s="133"/>
      <c r="G17" s="134"/>
      <c r="H17" s="130"/>
      <c r="I17" s="130"/>
      <c r="J17" s="131">
        <f>SUM(J16:J16)</f>
        <v>0</v>
      </c>
      <c r="K17" s="131">
        <f>SUM(K16:K16)</f>
        <v>0</v>
      </c>
      <c r="L17" s="135"/>
      <c r="M17" s="136"/>
      <c r="N17" s="136"/>
      <c r="O17" s="137"/>
      <c r="P17" s="132"/>
      <c r="Q17" s="114">
        <f t="shared" si="0"/>
      </c>
      <c r="R17" s="114">
        <f t="shared" si="1"/>
      </c>
      <c r="S17" s="114">
        <f t="shared" si="2"/>
      </c>
      <c r="T17" s="114">
        <f t="shared" si="4"/>
        <v>0</v>
      </c>
      <c r="U17" s="3">
        <f>SUM((D17-J17)/D17*100)</f>
        <v>100</v>
      </c>
      <c r="V17" s="3"/>
      <c r="W17" s="3"/>
    </row>
    <row r="18" spans="1:23" s="64" customFormat="1" ht="14.25" customHeight="1">
      <c r="A18" s="115">
        <v>9</v>
      </c>
      <c r="B18" s="116">
        <v>38777.333333333336</v>
      </c>
      <c r="C18" s="117">
        <v>38781.90694444445</v>
      </c>
      <c r="D18" s="118">
        <f>(C18-B18)*24</f>
        <v>109.76666666666279</v>
      </c>
      <c r="E18" s="140" t="s">
        <v>72</v>
      </c>
      <c r="F18" s="120">
        <v>105097</v>
      </c>
      <c r="G18" s="121"/>
      <c r="H18" s="150"/>
      <c r="I18" s="117"/>
      <c r="J18" s="122"/>
      <c r="K18" s="122"/>
      <c r="L18" s="123"/>
      <c r="M18" s="124"/>
      <c r="N18" s="124"/>
      <c r="O18" s="125"/>
      <c r="P18" s="119" t="s">
        <v>75</v>
      </c>
      <c r="Q18" s="114">
        <f t="shared" si="0"/>
      </c>
      <c r="R18" s="114">
        <f t="shared" si="1"/>
      </c>
      <c r="S18" s="114">
        <f t="shared" si="2"/>
      </c>
      <c r="T18" s="114">
        <f t="shared" si="4"/>
        <v>0</v>
      </c>
      <c r="U18" s="3"/>
      <c r="V18" s="3"/>
      <c r="W18" s="3"/>
    </row>
    <row r="19" spans="1:23" s="64" customFormat="1" ht="14.25" customHeight="1">
      <c r="A19" s="115"/>
      <c r="B19" s="116"/>
      <c r="C19" s="150"/>
      <c r="D19" s="122"/>
      <c r="E19" s="140"/>
      <c r="F19" s="151"/>
      <c r="G19" s="152"/>
      <c r="H19" s="159">
        <v>38781.90694444445</v>
      </c>
      <c r="I19" s="160">
        <v>38781.94513888889</v>
      </c>
      <c r="J19" s="161">
        <f>(I19-H19)*24</f>
        <v>0.9166666666860692</v>
      </c>
      <c r="K19" s="161">
        <f>(I19-H19)*24</f>
        <v>0.9166666666860692</v>
      </c>
      <c r="L19" s="162" t="s">
        <v>36</v>
      </c>
      <c r="M19" s="163" t="s">
        <v>36</v>
      </c>
      <c r="N19" s="163" t="s">
        <v>36</v>
      </c>
      <c r="O19" s="164" t="s">
        <v>26</v>
      </c>
      <c r="P19" s="165"/>
      <c r="Q19" s="114">
        <f t="shared" si="0"/>
        <v>1</v>
      </c>
      <c r="R19" s="114">
        <f t="shared" si="1"/>
      </c>
      <c r="S19" s="114">
        <f t="shared" si="2"/>
      </c>
      <c r="T19" s="114">
        <f t="shared" si="4"/>
        <v>1</v>
      </c>
      <c r="U19" s="3"/>
      <c r="V19" s="3"/>
      <c r="W19" s="3"/>
    </row>
    <row r="20" spans="1:23" s="64" customFormat="1" ht="14.25" customHeight="1">
      <c r="A20" s="115"/>
      <c r="B20" s="150"/>
      <c r="C20" s="150"/>
      <c r="D20" s="122"/>
      <c r="E20" s="140"/>
      <c r="F20" s="151"/>
      <c r="G20" s="152"/>
      <c r="H20" s="153">
        <v>38781.94513888889</v>
      </c>
      <c r="I20" s="153">
        <v>38782.00763888889</v>
      </c>
      <c r="J20" s="154">
        <f>(I20-H20)*24</f>
        <v>1.5</v>
      </c>
      <c r="K20" s="154">
        <f>(I20-H20)*24</f>
        <v>1.5</v>
      </c>
      <c r="L20" s="155" t="s">
        <v>74</v>
      </c>
      <c r="M20" s="156" t="s">
        <v>74</v>
      </c>
      <c r="N20" s="156" t="s">
        <v>74</v>
      </c>
      <c r="O20" s="157" t="s">
        <v>73</v>
      </c>
      <c r="P20" s="158"/>
      <c r="Q20" s="114">
        <f t="shared" si="0"/>
      </c>
      <c r="R20" s="114">
        <f t="shared" si="1"/>
      </c>
      <c r="S20" s="114">
        <f t="shared" si="2"/>
        <v>1</v>
      </c>
      <c r="T20" s="114">
        <f t="shared" si="4"/>
        <v>1</v>
      </c>
      <c r="U20" s="3"/>
      <c r="V20" s="3"/>
      <c r="W20" s="3"/>
    </row>
    <row r="21" spans="1:23" s="64" customFormat="1" ht="15">
      <c r="A21" s="105">
        <v>10</v>
      </c>
      <c r="B21" s="126">
        <v>38782.00763888889</v>
      </c>
      <c r="C21" s="127">
        <v>38783.333333333336</v>
      </c>
      <c r="D21" s="107">
        <f>(C21-B21)*24</f>
        <v>31.816666666651145</v>
      </c>
      <c r="E21" s="139" t="s">
        <v>66</v>
      </c>
      <c r="F21" s="109"/>
      <c r="G21" s="110"/>
      <c r="H21" s="127"/>
      <c r="I21" s="127"/>
      <c r="J21" s="107">
        <f>(I21-H21)*24</f>
        <v>0</v>
      </c>
      <c r="K21" s="107">
        <f>(I21-H21)*24</f>
        <v>0</v>
      </c>
      <c r="L21" s="111" t="s">
        <v>24</v>
      </c>
      <c r="M21" s="112"/>
      <c r="N21" s="112"/>
      <c r="O21" s="113"/>
      <c r="P21" s="128"/>
      <c r="Q21" s="114">
        <f t="shared" si="0"/>
      </c>
      <c r="R21" s="114">
        <f t="shared" si="1"/>
        <v>1</v>
      </c>
      <c r="S21" s="114">
        <f t="shared" si="2"/>
      </c>
      <c r="T21" s="114">
        <f t="shared" si="4"/>
        <v>1</v>
      </c>
      <c r="U21" s="3"/>
      <c r="V21" s="3"/>
      <c r="W21" s="3"/>
    </row>
    <row r="22" spans="1:23" s="64" customFormat="1" ht="12.75">
      <c r="A22" s="129"/>
      <c r="B22" s="130"/>
      <c r="C22" s="130"/>
      <c r="D22" s="131">
        <f>SUM(D18:D21)</f>
        <v>141.58333333331393</v>
      </c>
      <c r="E22" s="132"/>
      <c r="F22" s="133"/>
      <c r="G22" s="134"/>
      <c r="H22" s="130"/>
      <c r="I22" s="130"/>
      <c r="J22" s="131">
        <f>SUM(J18:J21)</f>
        <v>2.416666666686069</v>
      </c>
      <c r="K22" s="131">
        <f>SUM(K18:K21)</f>
        <v>2.416666666686069</v>
      </c>
      <c r="L22" s="135"/>
      <c r="M22" s="136"/>
      <c r="N22" s="136"/>
      <c r="O22" s="137"/>
      <c r="P22" s="132"/>
      <c r="Q22" s="114">
        <f t="shared" si="0"/>
      </c>
      <c r="R22" s="114">
        <f t="shared" si="1"/>
      </c>
      <c r="S22" s="114">
        <f t="shared" si="2"/>
      </c>
      <c r="T22" s="114">
        <f t="shared" si="4"/>
        <v>0</v>
      </c>
      <c r="U22" s="3">
        <f>SUM((D22-J22)/D22*100)</f>
        <v>98.29311359621914</v>
      </c>
      <c r="V22" s="3"/>
      <c r="W22" s="3"/>
    </row>
    <row r="23" spans="1:23" s="64" customFormat="1" ht="12.75">
      <c r="A23" s="105">
        <v>11</v>
      </c>
      <c r="B23" s="106">
        <v>38784.333333333336</v>
      </c>
      <c r="C23" s="106">
        <v>38785.666666666664</v>
      </c>
      <c r="D23" s="107">
        <f>(C23-B23)*24</f>
        <v>31.999999999883585</v>
      </c>
      <c r="E23" s="108" t="s">
        <v>76</v>
      </c>
      <c r="F23" s="109">
        <v>105098</v>
      </c>
      <c r="G23" s="110"/>
      <c r="H23" s="106">
        <v>38785.666666666664</v>
      </c>
      <c r="I23" s="106">
        <v>38785.69652777778</v>
      </c>
      <c r="J23" s="107">
        <f>(I23-H23)*24</f>
        <v>0.7166666667326353</v>
      </c>
      <c r="K23" s="107">
        <f>(I23-H23)*24</f>
        <v>0.7166666667326353</v>
      </c>
      <c r="L23" s="111" t="s">
        <v>80</v>
      </c>
      <c r="M23" s="112" t="s">
        <v>80</v>
      </c>
      <c r="N23" s="112" t="s">
        <v>80</v>
      </c>
      <c r="O23" s="113" t="s">
        <v>26</v>
      </c>
      <c r="P23" s="108" t="s">
        <v>78</v>
      </c>
      <c r="Q23" s="114">
        <f t="shared" si="0"/>
        <v>1</v>
      </c>
      <c r="R23" s="114">
        <f t="shared" si="1"/>
      </c>
      <c r="S23" s="114">
        <f t="shared" si="2"/>
      </c>
      <c r="T23" s="114">
        <f t="shared" si="4"/>
        <v>1</v>
      </c>
      <c r="U23" s="3"/>
      <c r="V23" s="3"/>
      <c r="W23" s="3"/>
    </row>
    <row r="24" spans="1:23" s="64" customFormat="1" ht="14.25" customHeight="1">
      <c r="A24" s="115">
        <v>12</v>
      </c>
      <c r="B24" s="166">
        <v>38785.69652777778</v>
      </c>
      <c r="C24" s="150">
        <v>38787.37777777778</v>
      </c>
      <c r="D24" s="122">
        <f>(C24-B24)*24</f>
        <v>40.350000000034925</v>
      </c>
      <c r="E24" s="140" t="s">
        <v>77</v>
      </c>
      <c r="F24" s="151">
        <v>105099</v>
      </c>
      <c r="G24" s="152"/>
      <c r="H24" s="150"/>
      <c r="I24" s="150"/>
      <c r="J24" s="122"/>
      <c r="K24" s="122"/>
      <c r="L24" s="123"/>
      <c r="M24" s="124"/>
      <c r="N24" s="124"/>
      <c r="O24" s="125"/>
      <c r="P24" s="140" t="s">
        <v>79</v>
      </c>
      <c r="Q24" s="114">
        <f t="shared" si="0"/>
      </c>
      <c r="R24" s="114">
        <f t="shared" si="1"/>
      </c>
      <c r="S24" s="114">
        <f t="shared" si="2"/>
      </c>
      <c r="T24" s="114">
        <f t="shared" si="4"/>
        <v>0</v>
      </c>
      <c r="U24" s="3"/>
      <c r="V24" s="3"/>
      <c r="W24" s="3"/>
    </row>
    <row r="25" spans="1:23" s="64" customFormat="1" ht="14.25" customHeight="1">
      <c r="A25" s="115"/>
      <c r="B25" s="166"/>
      <c r="C25" s="150"/>
      <c r="D25" s="122"/>
      <c r="E25" s="140"/>
      <c r="F25" s="151"/>
      <c r="G25" s="152"/>
      <c r="H25" s="160">
        <v>38787.37777777778</v>
      </c>
      <c r="I25" s="160">
        <v>38787.40694444445</v>
      </c>
      <c r="J25" s="161">
        <f>(I25-H25)*24</f>
        <v>0.7000000000116415</v>
      </c>
      <c r="K25" s="161">
        <f>(I25-H25)*24</f>
        <v>0.7000000000116415</v>
      </c>
      <c r="L25" s="162" t="s">
        <v>38</v>
      </c>
      <c r="M25" s="163" t="s">
        <v>38</v>
      </c>
      <c r="N25" s="163" t="s">
        <v>38</v>
      </c>
      <c r="O25" s="164" t="s">
        <v>26</v>
      </c>
      <c r="P25" s="165"/>
      <c r="Q25" s="114">
        <f t="shared" si="0"/>
        <v>1</v>
      </c>
      <c r="R25" s="114">
        <f t="shared" si="1"/>
      </c>
      <c r="S25" s="114">
        <f t="shared" si="2"/>
      </c>
      <c r="T25" s="114">
        <f t="shared" si="4"/>
        <v>1</v>
      </c>
      <c r="U25" s="3"/>
      <c r="V25" s="3"/>
      <c r="W25" s="3"/>
    </row>
    <row r="26" spans="1:23" s="64" customFormat="1" ht="14.25" customHeight="1">
      <c r="A26" s="115"/>
      <c r="B26" s="150"/>
      <c r="C26" s="150"/>
      <c r="D26" s="122"/>
      <c r="E26" s="140"/>
      <c r="F26" s="151"/>
      <c r="G26" s="152"/>
      <c r="H26" s="153">
        <v>38787.40694444445</v>
      </c>
      <c r="I26" s="153">
        <v>38787.506944444445</v>
      </c>
      <c r="J26" s="154">
        <f>(I26-H26)*24</f>
        <v>2.3999999999650754</v>
      </c>
      <c r="K26" s="154">
        <f>(I26-H26)*24</f>
        <v>2.3999999999650754</v>
      </c>
      <c r="L26" s="155" t="s">
        <v>81</v>
      </c>
      <c r="M26" s="156" t="s">
        <v>81</v>
      </c>
      <c r="N26" s="156" t="s">
        <v>81</v>
      </c>
      <c r="O26" s="157" t="s">
        <v>73</v>
      </c>
      <c r="P26" s="158"/>
      <c r="Q26" s="114">
        <f t="shared" si="0"/>
      </c>
      <c r="R26" s="114">
        <f t="shared" si="1"/>
      </c>
      <c r="S26" s="114">
        <f t="shared" si="2"/>
        <v>1</v>
      </c>
      <c r="T26" s="114">
        <f t="shared" si="4"/>
        <v>1</v>
      </c>
      <c r="U26" s="3"/>
      <c r="V26" s="3"/>
      <c r="W26" s="3"/>
    </row>
    <row r="27" spans="1:23" s="64" customFormat="1" ht="14.25" customHeight="1">
      <c r="A27" s="105">
        <v>13</v>
      </c>
      <c r="B27" s="106">
        <v>38787.506944444445</v>
      </c>
      <c r="C27" s="127">
        <v>38788.27361111111</v>
      </c>
      <c r="D27" s="107">
        <f>(C27-B27)*24</f>
        <v>18.399999999906868</v>
      </c>
      <c r="E27" s="167" t="s">
        <v>77</v>
      </c>
      <c r="F27" s="109">
        <v>105100</v>
      </c>
      <c r="G27" s="110"/>
      <c r="H27" s="127">
        <v>38788.27361111111</v>
      </c>
      <c r="I27" s="127">
        <v>38788.29027777778</v>
      </c>
      <c r="J27" s="107">
        <f>(I27-H27)*24</f>
        <v>0.4000000000814907</v>
      </c>
      <c r="K27" s="107">
        <f>(I27-H27)*24</f>
        <v>0.4000000000814907</v>
      </c>
      <c r="L27" s="111" t="s">
        <v>38</v>
      </c>
      <c r="M27" s="112" t="s">
        <v>38</v>
      </c>
      <c r="N27" s="112" t="s">
        <v>38</v>
      </c>
      <c r="O27" s="113" t="s">
        <v>26</v>
      </c>
      <c r="P27" s="167"/>
      <c r="Q27" s="114">
        <f>IF($O27="Store Lost",1,"")</f>
        <v>1</v>
      </c>
      <c r="R27" s="114">
        <f>IF($L27="Scheduled",1,"")</f>
      </c>
      <c r="S27" s="114">
        <f>IF($O27="Inhibits beam to user",1,"")</f>
      </c>
      <c r="T27" s="114">
        <f t="shared" si="4"/>
        <v>1</v>
      </c>
      <c r="U27" s="3"/>
      <c r="V27" s="3"/>
      <c r="W27" s="3"/>
    </row>
    <row r="28" spans="1:23" s="64" customFormat="1" ht="14.25" customHeight="1">
      <c r="A28" s="168">
        <v>14</v>
      </c>
      <c r="B28" s="182">
        <v>38788.29027777778</v>
      </c>
      <c r="C28" s="183">
        <v>38788.98819444444</v>
      </c>
      <c r="D28" s="170">
        <f>(C28-B28)*24</f>
        <v>16.749999999941792</v>
      </c>
      <c r="E28" s="169" t="s">
        <v>77</v>
      </c>
      <c r="F28" s="184">
        <v>105101</v>
      </c>
      <c r="G28" s="185"/>
      <c r="H28" s="183">
        <v>38788.98819444444</v>
      </c>
      <c r="I28" s="183">
        <v>38789.010416666664</v>
      </c>
      <c r="J28" s="170">
        <f>(I28-H28)*24</f>
        <v>0.5333333333255723</v>
      </c>
      <c r="K28" s="170">
        <f>(I28-H28)*24</f>
        <v>0.5333333333255723</v>
      </c>
      <c r="L28" s="171" t="s">
        <v>38</v>
      </c>
      <c r="M28" s="172" t="s">
        <v>38</v>
      </c>
      <c r="N28" s="172" t="s">
        <v>38</v>
      </c>
      <c r="O28" s="173" t="s">
        <v>26</v>
      </c>
      <c r="P28" s="169"/>
      <c r="Q28" s="114">
        <f>IF($O28="Store Lost",1,"")</f>
        <v>1</v>
      </c>
      <c r="R28" s="114">
        <f>IF($L28="Scheduled",1,"")</f>
      </c>
      <c r="S28" s="114">
        <f>IF($O28="Inhibits beam to user",1,"")</f>
      </c>
      <c r="T28" s="114">
        <f t="shared" si="4"/>
        <v>1</v>
      </c>
      <c r="U28" s="3"/>
      <c r="V28" s="3"/>
      <c r="W28" s="3"/>
    </row>
    <row r="29" spans="1:23" s="64" customFormat="1" ht="15">
      <c r="A29" s="174">
        <v>15</v>
      </c>
      <c r="B29" s="175">
        <v>38789.010416666664</v>
      </c>
      <c r="C29" s="176">
        <v>38789.333333333336</v>
      </c>
      <c r="D29" s="177">
        <f>(C29-B29)*24</f>
        <v>7.750000000116415</v>
      </c>
      <c r="E29" s="139" t="s">
        <v>66</v>
      </c>
      <c r="F29" s="178"/>
      <c r="G29" s="179"/>
      <c r="H29" s="176"/>
      <c r="I29" s="176"/>
      <c r="J29" s="177">
        <f>(I29-H29)*24</f>
        <v>0</v>
      </c>
      <c r="K29" s="177">
        <f>(I29-H29)*24</f>
        <v>0</v>
      </c>
      <c r="L29" s="180" t="s">
        <v>24</v>
      </c>
      <c r="M29" s="181"/>
      <c r="N29" s="181"/>
      <c r="O29" s="113"/>
      <c r="P29" s="128"/>
      <c r="Q29" s="114">
        <f t="shared" si="0"/>
      </c>
      <c r="R29" s="114">
        <f t="shared" si="1"/>
        <v>1</v>
      </c>
      <c r="S29" s="114">
        <f t="shared" si="2"/>
      </c>
      <c r="T29" s="114">
        <f t="shared" si="4"/>
        <v>1</v>
      </c>
      <c r="U29" s="3"/>
      <c r="V29" s="3"/>
      <c r="W29" s="3"/>
    </row>
    <row r="30" spans="1:23" s="64" customFormat="1" ht="12.75">
      <c r="A30" s="129"/>
      <c r="B30" s="130"/>
      <c r="C30" s="130"/>
      <c r="D30" s="131">
        <f>SUM(D23:D29)</f>
        <v>115.24999999988358</v>
      </c>
      <c r="E30" s="132"/>
      <c r="F30" s="133"/>
      <c r="G30" s="134"/>
      <c r="H30" s="130"/>
      <c r="I30" s="130"/>
      <c r="J30" s="131">
        <f>SUM(J23:J29)</f>
        <v>4.750000000116415</v>
      </c>
      <c r="K30" s="131">
        <f>SUM(K23:K29)</f>
        <v>4.750000000116415</v>
      </c>
      <c r="L30" s="135"/>
      <c r="M30" s="136"/>
      <c r="N30" s="136"/>
      <c r="O30" s="137"/>
      <c r="P30" s="132"/>
      <c r="Q30" s="114">
        <f t="shared" si="0"/>
      </c>
      <c r="R30" s="114">
        <f t="shared" si="1"/>
      </c>
      <c r="S30" s="114">
        <f t="shared" si="2"/>
      </c>
      <c r="T30" s="114">
        <f t="shared" si="4"/>
        <v>0</v>
      </c>
      <c r="U30" s="3">
        <f>SUM((D30-J30)/D30*100)</f>
        <v>95.87852494566489</v>
      </c>
      <c r="V30" s="3"/>
      <c r="W30" s="3"/>
    </row>
    <row r="31" spans="1:23" s="64" customFormat="1" ht="15">
      <c r="A31" s="105">
        <v>16</v>
      </c>
      <c r="B31" s="126">
        <v>38791.333333333336</v>
      </c>
      <c r="C31" s="127">
        <v>38797.333333333336</v>
      </c>
      <c r="D31" s="107">
        <f>(C31-B31)*24</f>
        <v>144</v>
      </c>
      <c r="E31" s="139" t="s">
        <v>66</v>
      </c>
      <c r="F31" s="109"/>
      <c r="G31" s="110"/>
      <c r="H31" s="127"/>
      <c r="I31" s="127"/>
      <c r="J31" s="107">
        <f>(I31-H31)*24</f>
        <v>0</v>
      </c>
      <c r="K31" s="107">
        <f>(I31-H31)*24</f>
        <v>0</v>
      </c>
      <c r="L31" s="111" t="s">
        <v>24</v>
      </c>
      <c r="M31" s="112"/>
      <c r="N31" s="112"/>
      <c r="O31" s="113"/>
      <c r="P31" s="128"/>
      <c r="Q31" s="114">
        <f t="shared" si="0"/>
      </c>
      <c r="R31" s="114">
        <f t="shared" si="1"/>
        <v>1</v>
      </c>
      <c r="S31" s="114">
        <f t="shared" si="2"/>
      </c>
      <c r="T31" s="114">
        <f t="shared" si="4"/>
        <v>1</v>
      </c>
      <c r="U31" s="3"/>
      <c r="V31" s="3"/>
      <c r="W31" s="3"/>
    </row>
    <row r="32" spans="1:23" s="64" customFormat="1" ht="12.75">
      <c r="A32" s="129"/>
      <c r="B32" s="130"/>
      <c r="C32" s="130"/>
      <c r="D32" s="131">
        <f>SUM(D31:D31)</f>
        <v>144</v>
      </c>
      <c r="E32" s="132"/>
      <c r="F32" s="133"/>
      <c r="G32" s="134"/>
      <c r="H32" s="130"/>
      <c r="I32" s="130"/>
      <c r="J32" s="131">
        <f>SUM(J31:J31)</f>
        <v>0</v>
      </c>
      <c r="K32" s="131">
        <f>SUM(K31:K31)</f>
        <v>0</v>
      </c>
      <c r="L32" s="135"/>
      <c r="M32" s="136"/>
      <c r="N32" s="136"/>
      <c r="O32" s="137"/>
      <c r="P32" s="132"/>
      <c r="Q32" s="114">
        <f t="shared" si="0"/>
      </c>
      <c r="R32" s="114">
        <f t="shared" si="1"/>
      </c>
      <c r="S32" s="114">
        <f t="shared" si="2"/>
      </c>
      <c r="T32" s="114">
        <f t="shared" si="4"/>
        <v>0</v>
      </c>
      <c r="U32" s="3">
        <f>SUM((D32-J32)/D32*100)</f>
        <v>100</v>
      </c>
      <c r="V32" s="3"/>
      <c r="W32" s="3"/>
    </row>
    <row r="33" spans="1:23" s="64" customFormat="1" ht="15">
      <c r="A33" s="105">
        <v>17</v>
      </c>
      <c r="B33" s="126">
        <v>38798.333333333336</v>
      </c>
      <c r="C33" s="127">
        <v>38804.333333333336</v>
      </c>
      <c r="D33" s="107">
        <f>(C33-B33)*24</f>
        <v>144</v>
      </c>
      <c r="E33" s="139" t="s">
        <v>66</v>
      </c>
      <c r="F33" s="109"/>
      <c r="G33" s="110"/>
      <c r="H33" s="127"/>
      <c r="I33" s="127"/>
      <c r="J33" s="107">
        <f>(I33-H33)*24</f>
        <v>0</v>
      </c>
      <c r="K33" s="107">
        <f>(I33-H33)*24</f>
        <v>0</v>
      </c>
      <c r="L33" s="111" t="s">
        <v>24</v>
      </c>
      <c r="M33" s="112"/>
      <c r="N33" s="112"/>
      <c r="O33" s="113"/>
      <c r="P33" s="128"/>
      <c r="Q33" s="114">
        <f t="shared" si="0"/>
      </c>
      <c r="R33" s="114">
        <f t="shared" si="1"/>
        <v>1</v>
      </c>
      <c r="S33" s="114">
        <f t="shared" si="2"/>
      </c>
      <c r="T33" s="114">
        <f aca="true" t="shared" si="5" ref="T33:T45">SUM(Q33:S33)</f>
        <v>1</v>
      </c>
      <c r="U33" s="3"/>
      <c r="V33" s="3"/>
      <c r="W33" s="3"/>
    </row>
    <row r="34" spans="1:23" s="64" customFormat="1" ht="12.75">
      <c r="A34" s="129"/>
      <c r="B34" s="130"/>
      <c r="C34" s="130"/>
      <c r="D34" s="131">
        <f>SUM(D33:D33)</f>
        <v>144</v>
      </c>
      <c r="E34" s="132"/>
      <c r="F34" s="133"/>
      <c r="G34" s="134"/>
      <c r="H34" s="130"/>
      <c r="I34" s="130"/>
      <c r="J34" s="131">
        <f>SUM(J33:J33)</f>
        <v>0</v>
      </c>
      <c r="K34" s="131">
        <f>SUM(K33:K33)</f>
        <v>0</v>
      </c>
      <c r="L34" s="135"/>
      <c r="M34" s="136"/>
      <c r="N34" s="136"/>
      <c r="O34" s="137"/>
      <c r="P34" s="132"/>
      <c r="Q34" s="114">
        <f t="shared" si="0"/>
      </c>
      <c r="R34" s="114">
        <f t="shared" si="1"/>
      </c>
      <c r="S34" s="114">
        <f t="shared" si="2"/>
      </c>
      <c r="T34" s="114">
        <f t="shared" si="5"/>
        <v>0</v>
      </c>
      <c r="U34" s="3">
        <f>SUM((D34-J34)/D34*100)</f>
        <v>100</v>
      </c>
      <c r="V34" s="3"/>
      <c r="W34" s="3"/>
    </row>
    <row r="35" spans="1:23" s="64" customFormat="1" ht="15">
      <c r="A35" s="105">
        <v>18</v>
      </c>
      <c r="B35" s="126">
        <v>38805.333333333336</v>
      </c>
      <c r="C35" s="127">
        <v>38810.333333333336</v>
      </c>
      <c r="D35" s="107">
        <f>(C35-B35)*24-1</f>
        <v>119</v>
      </c>
      <c r="E35" s="139" t="s">
        <v>66</v>
      </c>
      <c r="F35" s="109"/>
      <c r="G35" s="110"/>
      <c r="H35" s="127"/>
      <c r="I35" s="127"/>
      <c r="J35" s="107">
        <f>(I35-H35)*24</f>
        <v>0</v>
      </c>
      <c r="K35" s="107">
        <f>(I35-H35)*24</f>
        <v>0</v>
      </c>
      <c r="L35" s="111" t="s">
        <v>24</v>
      </c>
      <c r="M35" s="112"/>
      <c r="N35" s="112"/>
      <c r="O35" s="113"/>
      <c r="P35" s="128"/>
      <c r="Q35" s="114">
        <f t="shared" si="0"/>
      </c>
      <c r="R35" s="114">
        <f t="shared" si="1"/>
        <v>1</v>
      </c>
      <c r="S35" s="114">
        <f t="shared" si="2"/>
      </c>
      <c r="T35" s="114">
        <f t="shared" si="5"/>
        <v>1</v>
      </c>
      <c r="U35" s="3"/>
      <c r="V35" s="3"/>
      <c r="W35" s="3"/>
    </row>
    <row r="36" spans="1:23" s="64" customFormat="1" ht="12.75">
      <c r="A36" s="129"/>
      <c r="B36" s="130"/>
      <c r="C36" s="130"/>
      <c r="D36" s="131">
        <f>SUM(D35:D35)</f>
        <v>119</v>
      </c>
      <c r="E36" s="132"/>
      <c r="F36" s="133"/>
      <c r="G36" s="134"/>
      <c r="H36" s="130"/>
      <c r="I36" s="130"/>
      <c r="J36" s="131">
        <f>SUM(J35:J35)</f>
        <v>0</v>
      </c>
      <c r="K36" s="131">
        <f>SUM(K35:K35)</f>
        <v>0</v>
      </c>
      <c r="L36" s="135"/>
      <c r="M36" s="136"/>
      <c r="N36" s="136"/>
      <c r="O36" s="137"/>
      <c r="P36" s="132"/>
      <c r="Q36" s="114">
        <f t="shared" si="0"/>
      </c>
      <c r="R36" s="114">
        <f t="shared" si="1"/>
      </c>
      <c r="S36" s="114">
        <f t="shared" si="2"/>
      </c>
      <c r="T36" s="114">
        <f t="shared" si="5"/>
        <v>0</v>
      </c>
      <c r="U36" s="3">
        <f>SUM((D36-J36)/D36*100)</f>
        <v>100</v>
      </c>
      <c r="V36" s="3"/>
      <c r="W36" s="3"/>
    </row>
    <row r="37" spans="1:23" s="64" customFormat="1" ht="15">
      <c r="A37" s="105">
        <v>19</v>
      </c>
      <c r="B37" s="126">
        <v>38812.333333333336</v>
      </c>
      <c r="C37" s="127">
        <v>38818.333333333336</v>
      </c>
      <c r="D37" s="107">
        <f>(C37-B37)*24</f>
        <v>144</v>
      </c>
      <c r="E37" s="139" t="s">
        <v>66</v>
      </c>
      <c r="F37" s="109"/>
      <c r="G37" s="110"/>
      <c r="H37" s="127"/>
      <c r="I37" s="127"/>
      <c r="J37" s="107">
        <f>(I37-H37)*24</f>
        <v>0</v>
      </c>
      <c r="K37" s="107">
        <f>(I37-H37)*24</f>
        <v>0</v>
      </c>
      <c r="L37" s="111" t="s">
        <v>24</v>
      </c>
      <c r="M37" s="112"/>
      <c r="N37" s="112"/>
      <c r="O37" s="113"/>
      <c r="P37" s="128"/>
      <c r="Q37" s="114">
        <f t="shared" si="0"/>
      </c>
      <c r="R37" s="114">
        <f t="shared" si="1"/>
        <v>1</v>
      </c>
      <c r="S37" s="114">
        <f t="shared" si="2"/>
      </c>
      <c r="T37" s="114">
        <f t="shared" si="5"/>
        <v>1</v>
      </c>
      <c r="U37" s="3"/>
      <c r="V37" s="3"/>
      <c r="W37" s="3"/>
    </row>
    <row r="38" spans="1:23" s="64" customFormat="1" ht="12.75">
      <c r="A38" s="129"/>
      <c r="B38" s="130"/>
      <c r="C38" s="130"/>
      <c r="D38" s="131">
        <f>SUM(D37:D37)</f>
        <v>144</v>
      </c>
      <c r="E38" s="132"/>
      <c r="F38" s="133"/>
      <c r="G38" s="134"/>
      <c r="H38" s="130"/>
      <c r="I38" s="130"/>
      <c r="J38" s="131">
        <f>SUM(J37:J37)</f>
        <v>0</v>
      </c>
      <c r="K38" s="131">
        <f>SUM(K37:K37)</f>
        <v>0</v>
      </c>
      <c r="L38" s="135"/>
      <c r="M38" s="136"/>
      <c r="N38" s="136"/>
      <c r="O38" s="137"/>
      <c r="P38" s="132"/>
      <c r="Q38" s="114">
        <f t="shared" si="0"/>
      </c>
      <c r="R38" s="114">
        <f t="shared" si="1"/>
      </c>
      <c r="S38" s="114">
        <f t="shared" si="2"/>
      </c>
      <c r="T38" s="114">
        <f t="shared" si="5"/>
        <v>0</v>
      </c>
      <c r="U38" s="3">
        <f>SUM((D38-J38)/D38*100)</f>
        <v>100</v>
      </c>
      <c r="V38" s="3"/>
      <c r="W38" s="3"/>
    </row>
    <row r="39" spans="1:23" s="64" customFormat="1" ht="12.75">
      <c r="A39" s="115">
        <v>20</v>
      </c>
      <c r="B39" s="166">
        <v>38819.333333333336</v>
      </c>
      <c r="C39" s="187">
        <v>38821.90555555555</v>
      </c>
      <c r="D39" s="122">
        <f>(C39-B39)*24</f>
        <v>61.7333333332208</v>
      </c>
      <c r="E39" s="186" t="s">
        <v>82</v>
      </c>
      <c r="F39" s="151"/>
      <c r="G39" s="152"/>
      <c r="H39" s="187">
        <v>38821.90555555555</v>
      </c>
      <c r="I39" s="182">
        <v>38821.933333333334</v>
      </c>
      <c r="J39" s="122">
        <f>(I39-H39)*24</f>
        <v>0.6666666667442769</v>
      </c>
      <c r="K39" s="122">
        <f>(I39-H39)*24</f>
        <v>0.6666666667442769</v>
      </c>
      <c r="L39" s="123" t="s">
        <v>88</v>
      </c>
      <c r="M39" s="124" t="s">
        <v>88</v>
      </c>
      <c r="N39" s="124" t="s">
        <v>88</v>
      </c>
      <c r="O39" s="125" t="s">
        <v>73</v>
      </c>
      <c r="P39" s="186" t="s">
        <v>85</v>
      </c>
      <c r="Q39" s="114">
        <v>1</v>
      </c>
      <c r="R39" s="114">
        <f t="shared" si="1"/>
      </c>
      <c r="S39" s="114"/>
      <c r="T39" s="114">
        <f t="shared" si="5"/>
        <v>1</v>
      </c>
      <c r="U39" s="3"/>
      <c r="V39" s="3"/>
      <c r="W39" s="3"/>
    </row>
    <row r="40" spans="1:23" s="64" customFormat="1" ht="14.25" customHeight="1">
      <c r="A40" s="105">
        <v>21</v>
      </c>
      <c r="B40" s="106">
        <v>38821.933333333334</v>
      </c>
      <c r="C40" s="127">
        <v>38823.59583333333</v>
      </c>
      <c r="D40" s="107">
        <f>(C40-B40)*24</f>
        <v>39.899999999965075</v>
      </c>
      <c r="E40" s="167" t="s">
        <v>83</v>
      </c>
      <c r="F40" s="109"/>
      <c r="G40" s="110"/>
      <c r="H40" s="127">
        <v>38823.59583333333</v>
      </c>
      <c r="I40" s="106">
        <v>38823.618055555555</v>
      </c>
      <c r="J40" s="107">
        <f>(I40-H40)*24</f>
        <v>0.5333333333255723</v>
      </c>
      <c r="K40" s="107">
        <f>(I40-H40)*24</f>
        <v>0.5333333333255723</v>
      </c>
      <c r="L40" s="111" t="s">
        <v>39</v>
      </c>
      <c r="M40" s="112" t="s">
        <v>39</v>
      </c>
      <c r="N40" s="112" t="s">
        <v>39</v>
      </c>
      <c r="O40" s="113" t="s">
        <v>26</v>
      </c>
      <c r="P40" s="167" t="s">
        <v>86</v>
      </c>
      <c r="Q40" s="114">
        <f>IF($O40="Store Lost",1,"")</f>
        <v>1</v>
      </c>
      <c r="R40" s="114">
        <f>IF($L40="Scheduled",1,"")</f>
      </c>
      <c r="S40" s="114">
        <f>IF($O40="Inhibits beam to user",1,"")</f>
      </c>
      <c r="T40" s="114">
        <f>SUM(Q40:S40)</f>
        <v>1</v>
      </c>
      <c r="U40" s="3"/>
      <c r="V40" s="3"/>
      <c r="W40" s="3"/>
    </row>
    <row r="41" spans="1:23" s="64" customFormat="1" ht="14.25" customHeight="1">
      <c r="A41" s="115">
        <v>22</v>
      </c>
      <c r="B41" s="166">
        <v>38823.618055555555</v>
      </c>
      <c r="C41" s="150">
        <v>38824.55416666667</v>
      </c>
      <c r="D41" s="122">
        <f>(C41-B41)*24</f>
        <v>22.466666666732635</v>
      </c>
      <c r="E41" s="140" t="s">
        <v>84</v>
      </c>
      <c r="F41" s="151"/>
      <c r="G41" s="152"/>
      <c r="H41" s="150"/>
      <c r="I41" s="150"/>
      <c r="J41" s="122"/>
      <c r="K41" s="122"/>
      <c r="L41" s="123"/>
      <c r="M41" s="124"/>
      <c r="N41" s="124"/>
      <c r="O41" s="125"/>
      <c r="P41" s="140" t="s">
        <v>87</v>
      </c>
      <c r="Q41" s="114">
        <f t="shared" si="0"/>
      </c>
      <c r="R41" s="114">
        <f t="shared" si="1"/>
      </c>
      <c r="S41" s="114">
        <f t="shared" si="2"/>
      </c>
      <c r="T41" s="114">
        <f t="shared" si="5"/>
        <v>0</v>
      </c>
      <c r="U41" s="3"/>
      <c r="V41" s="3"/>
      <c r="W41" s="3"/>
    </row>
    <row r="42" spans="1:23" s="64" customFormat="1" ht="14.25" customHeight="1">
      <c r="A42" s="115"/>
      <c r="B42" s="166"/>
      <c r="C42" s="150"/>
      <c r="D42" s="122"/>
      <c r="E42" s="140"/>
      <c r="F42" s="151"/>
      <c r="G42" s="152"/>
      <c r="H42" s="153">
        <v>38824.55416666667</v>
      </c>
      <c r="I42" s="153">
        <v>38824.586805555555</v>
      </c>
      <c r="J42" s="154">
        <f>(I42-H42)*24</f>
        <v>0.7833333332673647</v>
      </c>
      <c r="K42" s="154">
        <f>(I42-H42)*24</f>
        <v>0.7833333332673647</v>
      </c>
      <c r="L42" s="156" t="s">
        <v>89</v>
      </c>
      <c r="M42" s="156" t="s">
        <v>57</v>
      </c>
      <c r="N42" s="156" t="s">
        <v>39</v>
      </c>
      <c r="O42" s="157" t="s">
        <v>26</v>
      </c>
      <c r="P42" s="158"/>
      <c r="Q42" s="114">
        <f t="shared" si="0"/>
        <v>1</v>
      </c>
      <c r="R42" s="114">
        <f t="shared" si="1"/>
      </c>
      <c r="S42" s="114">
        <f t="shared" si="2"/>
      </c>
      <c r="T42" s="114">
        <f t="shared" si="5"/>
        <v>1</v>
      </c>
      <c r="U42" s="3"/>
      <c r="V42" s="3"/>
      <c r="W42" s="3"/>
    </row>
    <row r="43" spans="1:23" s="64" customFormat="1" ht="14.25" customHeight="1">
      <c r="A43" s="115"/>
      <c r="B43" s="166"/>
      <c r="C43" s="150"/>
      <c r="D43" s="122"/>
      <c r="E43" s="140"/>
      <c r="F43" s="151"/>
      <c r="G43" s="152"/>
      <c r="H43" s="160">
        <v>38824.586805555555</v>
      </c>
      <c r="I43" s="160">
        <v>38824.69652777778</v>
      </c>
      <c r="J43" s="161">
        <f>(I43-H43)*24</f>
        <v>2.633333333360497</v>
      </c>
      <c r="K43" s="161">
        <f>(I43-H43)*24</f>
        <v>2.633333333360497</v>
      </c>
      <c r="L43" s="162" t="s">
        <v>69</v>
      </c>
      <c r="M43" s="163" t="s">
        <v>69</v>
      </c>
      <c r="N43" s="163" t="s">
        <v>69</v>
      </c>
      <c r="O43" s="164" t="s">
        <v>73</v>
      </c>
      <c r="P43" s="165"/>
      <c r="Q43" s="114">
        <f t="shared" si="0"/>
      </c>
      <c r="R43" s="114">
        <f t="shared" si="1"/>
      </c>
      <c r="S43" s="114">
        <f t="shared" si="2"/>
        <v>1</v>
      </c>
      <c r="T43" s="114">
        <f>SUM(Q43:S43)</f>
        <v>1</v>
      </c>
      <c r="U43" s="3"/>
      <c r="V43" s="3"/>
      <c r="W43" s="3"/>
    </row>
    <row r="44" spans="1:23" s="64" customFormat="1" ht="15">
      <c r="A44" s="174">
        <v>23</v>
      </c>
      <c r="B44" s="175">
        <v>38824.69652777778</v>
      </c>
      <c r="C44" s="176">
        <v>38825.333333333336</v>
      </c>
      <c r="D44" s="177">
        <f>(C44-B44)*24</f>
        <v>15.28333333338378</v>
      </c>
      <c r="E44" s="139" t="s">
        <v>66</v>
      </c>
      <c r="F44" s="178"/>
      <c r="G44" s="179"/>
      <c r="H44" s="176"/>
      <c r="I44" s="176"/>
      <c r="J44" s="177">
        <f>(I44-H44)*24</f>
        <v>0</v>
      </c>
      <c r="K44" s="177">
        <f>(I44-H44)*24</f>
        <v>0</v>
      </c>
      <c r="L44" s="180" t="s">
        <v>24</v>
      </c>
      <c r="M44" s="181"/>
      <c r="N44" s="181"/>
      <c r="O44" s="113"/>
      <c r="P44" s="128"/>
      <c r="Q44" s="114">
        <f t="shared" si="0"/>
      </c>
      <c r="R44" s="114">
        <f t="shared" si="1"/>
        <v>1</v>
      </c>
      <c r="S44" s="114">
        <f t="shared" si="2"/>
      </c>
      <c r="T44" s="114">
        <f t="shared" si="5"/>
        <v>1</v>
      </c>
      <c r="U44" s="3"/>
      <c r="V44" s="3"/>
      <c r="W44" s="3"/>
    </row>
    <row r="45" spans="1:23" s="64" customFormat="1" ht="12.75">
      <c r="A45" s="129"/>
      <c r="B45" s="130"/>
      <c r="C45" s="130"/>
      <c r="D45" s="131">
        <f>SUM(D39:D44)</f>
        <v>139.3833333333023</v>
      </c>
      <c r="E45" s="132"/>
      <c r="F45" s="133"/>
      <c r="G45" s="134"/>
      <c r="H45" s="130"/>
      <c r="I45" s="130"/>
      <c r="J45" s="131">
        <f>SUM(J39:J44)</f>
        <v>4.616666666697711</v>
      </c>
      <c r="K45" s="131">
        <f>SUM(K39:K44)</f>
        <v>4.616666666697711</v>
      </c>
      <c r="L45" s="135"/>
      <c r="M45" s="136"/>
      <c r="N45" s="136"/>
      <c r="O45" s="137"/>
      <c r="P45" s="132"/>
      <c r="Q45" s="114">
        <f t="shared" si="0"/>
      </c>
      <c r="R45" s="114">
        <f t="shared" si="1"/>
      </c>
      <c r="S45" s="114">
        <f t="shared" si="2"/>
      </c>
      <c r="T45" s="114">
        <f t="shared" si="5"/>
        <v>0</v>
      </c>
      <c r="U45" s="3">
        <f>SUM((D45-J45)/D45*100)</f>
        <v>96.68779146237087</v>
      </c>
      <c r="V45" s="3"/>
      <c r="W45" s="3"/>
    </row>
    <row r="46" spans="1:23" s="64" customFormat="1" ht="14.25" customHeight="1">
      <c r="A46" s="115">
        <v>24</v>
      </c>
      <c r="B46" s="166">
        <v>38826.333333333336</v>
      </c>
      <c r="C46" s="150">
        <v>38828.99097222222</v>
      </c>
      <c r="D46" s="122">
        <f>(C46-B46)*24</f>
        <v>63.783333333267365</v>
      </c>
      <c r="E46" s="140" t="s">
        <v>90</v>
      </c>
      <c r="F46" s="151"/>
      <c r="G46" s="152"/>
      <c r="H46" s="150"/>
      <c r="I46" s="150"/>
      <c r="J46" s="122">
        <f>SUM(I60-H47)*24</f>
        <v>13.33333333331393</v>
      </c>
      <c r="K46" s="122"/>
      <c r="L46" s="123"/>
      <c r="M46" s="124"/>
      <c r="N46" s="124"/>
      <c r="O46" s="125"/>
      <c r="P46" s="140" t="s">
        <v>105</v>
      </c>
      <c r="Q46" s="114">
        <f t="shared" si="0"/>
      </c>
      <c r="R46" s="114">
        <f t="shared" si="1"/>
      </c>
      <c r="S46" s="114">
        <f t="shared" si="2"/>
      </c>
      <c r="T46" s="114">
        <f aca="true" t="shared" si="6" ref="T46:T62">SUM(Q46:S46)</f>
        <v>0</v>
      </c>
      <c r="U46" s="3"/>
      <c r="V46" s="3"/>
      <c r="W46" s="3"/>
    </row>
    <row r="47" spans="1:23" s="64" customFormat="1" ht="14.25" customHeight="1">
      <c r="A47" s="115"/>
      <c r="B47" s="166"/>
      <c r="C47" s="150"/>
      <c r="D47" s="122"/>
      <c r="E47" s="140"/>
      <c r="F47" s="151"/>
      <c r="G47" s="152"/>
      <c r="H47" s="153">
        <v>38828.99097222222</v>
      </c>
      <c r="I47" s="153">
        <v>38829.10972222222</v>
      </c>
      <c r="J47" s="154"/>
      <c r="K47" s="154">
        <f aca="true" t="shared" si="7" ref="K47:K61">(I47-H47)*24</f>
        <v>2.8500000000349246</v>
      </c>
      <c r="L47" s="156" t="s">
        <v>91</v>
      </c>
      <c r="M47" s="156" t="s">
        <v>91</v>
      </c>
      <c r="N47" s="156" t="s">
        <v>91</v>
      </c>
      <c r="O47" s="157" t="s">
        <v>26</v>
      </c>
      <c r="P47" s="158"/>
      <c r="Q47" s="114">
        <f t="shared" si="0"/>
        <v>1</v>
      </c>
      <c r="R47" s="114">
        <f t="shared" si="1"/>
      </c>
      <c r="S47" s="114">
        <f t="shared" si="2"/>
      </c>
      <c r="T47" s="114">
        <f t="shared" si="6"/>
        <v>1</v>
      </c>
      <c r="U47" s="3"/>
      <c r="V47" s="3"/>
      <c r="W47" s="3"/>
    </row>
    <row r="48" spans="1:23" s="64" customFormat="1" ht="14.25" customHeight="1">
      <c r="A48" s="115"/>
      <c r="B48" s="166"/>
      <c r="C48" s="150"/>
      <c r="D48" s="122"/>
      <c r="E48" s="140"/>
      <c r="F48" s="151"/>
      <c r="G48" s="152"/>
      <c r="H48" s="160">
        <v>38829.06805555556</v>
      </c>
      <c r="I48" s="160">
        <v>38829.08472222222</v>
      </c>
      <c r="J48" s="161"/>
      <c r="K48" s="161">
        <f>(I48-H48)*24</f>
        <v>0.39999999990686774</v>
      </c>
      <c r="L48" s="162" t="s">
        <v>69</v>
      </c>
      <c r="M48" s="163" t="s">
        <v>69</v>
      </c>
      <c r="N48" s="163" t="s">
        <v>69</v>
      </c>
      <c r="O48" s="164" t="s">
        <v>73</v>
      </c>
      <c r="P48" s="165" t="s">
        <v>96</v>
      </c>
      <c r="Q48" s="114">
        <f t="shared" si="0"/>
      </c>
      <c r="R48" s="114">
        <f t="shared" si="1"/>
      </c>
      <c r="S48" s="114">
        <f t="shared" si="2"/>
        <v>1</v>
      </c>
      <c r="T48" s="114">
        <f>SUM(Q48:S48)</f>
        <v>1</v>
      </c>
      <c r="U48" s="3"/>
      <c r="V48" s="3"/>
      <c r="W48" s="3"/>
    </row>
    <row r="49" spans="1:23" s="64" customFormat="1" ht="14.25" customHeight="1">
      <c r="A49" s="115"/>
      <c r="B49" s="166"/>
      <c r="C49" s="150"/>
      <c r="D49" s="122"/>
      <c r="E49" s="140"/>
      <c r="F49" s="151"/>
      <c r="G49" s="152"/>
      <c r="H49" s="153">
        <v>38829.10972222222</v>
      </c>
      <c r="I49" s="153">
        <v>38829.20972222222</v>
      </c>
      <c r="J49" s="154"/>
      <c r="K49" s="154">
        <f t="shared" si="7"/>
        <v>2.3999999999650754</v>
      </c>
      <c r="L49" s="155" t="s">
        <v>88</v>
      </c>
      <c r="M49" s="156" t="s">
        <v>88</v>
      </c>
      <c r="N49" s="156" t="s">
        <v>88</v>
      </c>
      <c r="O49" s="157" t="s">
        <v>73</v>
      </c>
      <c r="P49" s="158" t="s">
        <v>97</v>
      </c>
      <c r="Q49" s="114">
        <f t="shared" si="0"/>
      </c>
      <c r="R49" s="114">
        <f t="shared" si="1"/>
      </c>
      <c r="S49" s="114">
        <f t="shared" si="2"/>
        <v>1</v>
      </c>
      <c r="T49" s="114">
        <f t="shared" si="6"/>
        <v>1</v>
      </c>
      <c r="U49" s="3"/>
      <c r="V49" s="3"/>
      <c r="W49" s="3"/>
    </row>
    <row r="50" spans="1:23" s="64" customFormat="1" ht="14.25" customHeight="1">
      <c r="A50" s="115"/>
      <c r="B50" s="166"/>
      <c r="C50" s="150"/>
      <c r="D50" s="122"/>
      <c r="E50" s="140"/>
      <c r="F50" s="151"/>
      <c r="G50" s="152"/>
      <c r="H50" s="160">
        <v>38829.10972222222</v>
      </c>
      <c r="I50" s="160">
        <v>38829.15277777778</v>
      </c>
      <c r="J50" s="161"/>
      <c r="K50" s="161">
        <f>(I50-H50)*24</f>
        <v>1.03333333338378</v>
      </c>
      <c r="L50" s="163" t="s">
        <v>69</v>
      </c>
      <c r="M50" s="163" t="s">
        <v>69</v>
      </c>
      <c r="N50" s="163" t="s">
        <v>69</v>
      </c>
      <c r="O50" s="164" t="s">
        <v>73</v>
      </c>
      <c r="P50" s="165" t="s">
        <v>101</v>
      </c>
      <c r="Q50" s="114">
        <f t="shared" si="0"/>
      </c>
      <c r="R50" s="114">
        <f t="shared" si="1"/>
      </c>
      <c r="S50" s="114">
        <f t="shared" si="2"/>
        <v>1</v>
      </c>
      <c r="T50" s="114">
        <f t="shared" si="6"/>
        <v>1</v>
      </c>
      <c r="U50" s="3"/>
      <c r="V50" s="3"/>
      <c r="W50" s="3"/>
    </row>
    <row r="51" spans="1:23" s="64" customFormat="1" ht="14.25" customHeight="1">
      <c r="A51" s="115"/>
      <c r="B51" s="166"/>
      <c r="C51" s="150"/>
      <c r="D51" s="122"/>
      <c r="E51" s="140"/>
      <c r="F51" s="151"/>
      <c r="G51" s="152"/>
      <c r="H51" s="153">
        <v>38829.20972222222</v>
      </c>
      <c r="I51" s="153">
        <v>38829.24236111111</v>
      </c>
      <c r="J51" s="154"/>
      <c r="K51" s="154">
        <f>(I51-H51)*24</f>
        <v>0.7833333332673647</v>
      </c>
      <c r="L51" s="156" t="s">
        <v>91</v>
      </c>
      <c r="M51" s="156" t="s">
        <v>91</v>
      </c>
      <c r="N51" s="156" t="s">
        <v>91</v>
      </c>
      <c r="O51" s="157" t="s">
        <v>73</v>
      </c>
      <c r="P51" s="158" t="s">
        <v>98</v>
      </c>
      <c r="Q51" s="114">
        <f t="shared" si="0"/>
      </c>
      <c r="R51" s="114">
        <f t="shared" si="1"/>
      </c>
      <c r="S51" s="114">
        <f t="shared" si="2"/>
        <v>1</v>
      </c>
      <c r="T51" s="114">
        <f>SUM(Q51:S51)</f>
        <v>1</v>
      </c>
      <c r="U51" s="3"/>
      <c r="V51" s="3"/>
      <c r="W51" s="3"/>
    </row>
    <row r="52" spans="1:23" s="64" customFormat="1" ht="14.25" customHeight="1">
      <c r="A52" s="115"/>
      <c r="B52" s="166"/>
      <c r="C52" s="150"/>
      <c r="D52" s="122"/>
      <c r="E52" s="140"/>
      <c r="F52" s="151"/>
      <c r="G52" s="152"/>
      <c r="H52" s="160">
        <v>38829.1875</v>
      </c>
      <c r="I52" s="160">
        <v>38829.27361111111</v>
      </c>
      <c r="J52" s="161"/>
      <c r="K52" s="161">
        <f t="shared" si="7"/>
        <v>2.066666666592937</v>
      </c>
      <c r="L52" s="163" t="s">
        <v>38</v>
      </c>
      <c r="M52" s="163" t="s">
        <v>38</v>
      </c>
      <c r="N52" s="163" t="s">
        <v>38</v>
      </c>
      <c r="O52" s="164" t="s">
        <v>73</v>
      </c>
      <c r="P52" s="165" t="s">
        <v>99</v>
      </c>
      <c r="Q52" s="114">
        <f t="shared" si="0"/>
      </c>
      <c r="R52" s="114">
        <f t="shared" si="1"/>
      </c>
      <c r="S52" s="114">
        <f t="shared" si="2"/>
        <v>1</v>
      </c>
      <c r="T52" s="114">
        <f t="shared" si="6"/>
        <v>1</v>
      </c>
      <c r="U52" s="3"/>
      <c r="V52" s="3"/>
      <c r="W52" s="3"/>
    </row>
    <row r="53" spans="1:23" s="64" customFormat="1" ht="14.25" customHeight="1">
      <c r="A53" s="115"/>
      <c r="B53" s="166"/>
      <c r="C53" s="150"/>
      <c r="D53" s="122"/>
      <c r="E53" s="140"/>
      <c r="F53" s="151"/>
      <c r="G53" s="152"/>
      <c r="H53" s="189">
        <v>38829.24236111111</v>
      </c>
      <c r="I53" s="153">
        <v>38829.25833333333</v>
      </c>
      <c r="J53" s="154"/>
      <c r="K53" s="154">
        <f>(I53-H53)*24</f>
        <v>0.3833333333604969</v>
      </c>
      <c r="L53" s="155" t="s">
        <v>91</v>
      </c>
      <c r="M53" s="156" t="s">
        <v>91</v>
      </c>
      <c r="N53" s="156" t="s">
        <v>91</v>
      </c>
      <c r="O53" s="157" t="s">
        <v>73</v>
      </c>
      <c r="P53" s="158" t="s">
        <v>104</v>
      </c>
      <c r="Q53" s="114">
        <f t="shared" si="0"/>
      </c>
      <c r="R53" s="114">
        <f t="shared" si="1"/>
      </c>
      <c r="S53" s="114">
        <f t="shared" si="2"/>
        <v>1</v>
      </c>
      <c r="T53" s="114">
        <f>SUM(Q53:S53)</f>
        <v>1</v>
      </c>
      <c r="U53" s="3"/>
      <c r="V53" s="3"/>
      <c r="W53" s="3"/>
    </row>
    <row r="54" spans="1:23" s="64" customFormat="1" ht="14.25" customHeight="1">
      <c r="A54" s="115"/>
      <c r="B54" s="166"/>
      <c r="C54" s="150"/>
      <c r="D54" s="122"/>
      <c r="E54" s="140"/>
      <c r="F54" s="151"/>
      <c r="G54" s="152"/>
      <c r="H54" s="160">
        <v>38829.25833333333</v>
      </c>
      <c r="I54" s="160">
        <v>38829.3625</v>
      </c>
      <c r="J54" s="161"/>
      <c r="K54" s="161">
        <f>(I54-H54)*24</f>
        <v>2.5000000001164153</v>
      </c>
      <c r="L54" s="162" t="s">
        <v>36</v>
      </c>
      <c r="M54" s="163" t="s">
        <v>36</v>
      </c>
      <c r="N54" s="163" t="s">
        <v>36</v>
      </c>
      <c r="O54" s="164" t="s">
        <v>73</v>
      </c>
      <c r="P54" s="165" t="s">
        <v>94</v>
      </c>
      <c r="Q54" s="114">
        <f t="shared" si="0"/>
      </c>
      <c r="R54" s="114">
        <f t="shared" si="1"/>
      </c>
      <c r="S54" s="114">
        <f t="shared" si="2"/>
        <v>1</v>
      </c>
      <c r="T54" s="114">
        <f t="shared" si="6"/>
        <v>1</v>
      </c>
      <c r="U54" s="3"/>
      <c r="V54" s="3"/>
      <c r="W54" s="3"/>
    </row>
    <row r="55" spans="1:23" s="64" customFormat="1" ht="14.25" customHeight="1">
      <c r="A55" s="115"/>
      <c r="B55" s="166"/>
      <c r="C55" s="150"/>
      <c r="D55" s="122"/>
      <c r="E55" s="140"/>
      <c r="F55" s="151"/>
      <c r="G55" s="152"/>
      <c r="H55" s="153">
        <v>38829.30902777778</v>
      </c>
      <c r="I55" s="153">
        <v>38829.32638888889</v>
      </c>
      <c r="J55" s="154"/>
      <c r="K55" s="154">
        <f t="shared" si="7"/>
        <v>0.41666666662786156</v>
      </c>
      <c r="L55" s="155" t="s">
        <v>69</v>
      </c>
      <c r="M55" s="156" t="s">
        <v>69</v>
      </c>
      <c r="N55" s="156" t="s">
        <v>69</v>
      </c>
      <c r="O55" s="157" t="s">
        <v>73</v>
      </c>
      <c r="P55" s="158" t="s">
        <v>102</v>
      </c>
      <c r="Q55" s="114">
        <f>IF($O55="Store Lost",1,"")</f>
      </c>
      <c r="R55" s="114">
        <f>IF($L55="Scheduled",1,"")</f>
      </c>
      <c r="S55" s="114">
        <f>IF($O55="Inhibits beam to user",1,"")</f>
        <v>1</v>
      </c>
      <c r="T55" s="114">
        <f t="shared" si="6"/>
        <v>1</v>
      </c>
      <c r="U55" s="3"/>
      <c r="V55" s="3"/>
      <c r="W55" s="3"/>
    </row>
    <row r="56" spans="1:23" s="64" customFormat="1" ht="14.25" customHeight="1">
      <c r="A56" s="115"/>
      <c r="B56" s="166"/>
      <c r="C56" s="150"/>
      <c r="D56" s="122"/>
      <c r="E56" s="140"/>
      <c r="F56" s="151"/>
      <c r="G56" s="152"/>
      <c r="H56" s="160">
        <v>38829.32638888889</v>
      </c>
      <c r="I56" s="160">
        <v>38829.44513888889</v>
      </c>
      <c r="J56" s="161"/>
      <c r="K56" s="161">
        <f t="shared" si="7"/>
        <v>2.8500000000349246</v>
      </c>
      <c r="L56" s="162" t="s">
        <v>65</v>
      </c>
      <c r="M56" s="163" t="s">
        <v>65</v>
      </c>
      <c r="N56" s="163" t="s">
        <v>65</v>
      </c>
      <c r="O56" s="164" t="s">
        <v>73</v>
      </c>
      <c r="P56" s="165" t="s">
        <v>93</v>
      </c>
      <c r="Q56" s="114">
        <f t="shared" si="0"/>
      </c>
      <c r="R56" s="114">
        <f t="shared" si="1"/>
      </c>
      <c r="S56" s="114">
        <f t="shared" si="2"/>
        <v>1</v>
      </c>
      <c r="T56" s="114">
        <f t="shared" si="6"/>
        <v>1</v>
      </c>
      <c r="U56" s="3"/>
      <c r="V56" s="3"/>
      <c r="W56" s="3"/>
    </row>
    <row r="57" spans="1:23" s="64" customFormat="1" ht="14.25" customHeight="1">
      <c r="A57" s="115"/>
      <c r="B57" s="166"/>
      <c r="C57" s="150"/>
      <c r="D57" s="122"/>
      <c r="E57" s="140"/>
      <c r="F57" s="151"/>
      <c r="G57" s="152"/>
      <c r="H57" s="153">
        <v>38829.3625</v>
      </c>
      <c r="I57" s="153">
        <v>38829.38333333333</v>
      </c>
      <c r="J57" s="154"/>
      <c r="K57" s="154">
        <f>(I57-H57)*24</f>
        <v>0.4999999998835847</v>
      </c>
      <c r="L57" s="155" t="s">
        <v>91</v>
      </c>
      <c r="M57" s="156" t="s">
        <v>91</v>
      </c>
      <c r="N57" s="156" t="s">
        <v>91</v>
      </c>
      <c r="O57" s="157" t="s">
        <v>73</v>
      </c>
      <c r="P57" s="158" t="s">
        <v>100</v>
      </c>
      <c r="Q57" s="114">
        <f t="shared" si="0"/>
      </c>
      <c r="R57" s="114">
        <f t="shared" si="1"/>
      </c>
      <c r="S57" s="114">
        <f t="shared" si="2"/>
        <v>1</v>
      </c>
      <c r="T57" s="114">
        <f>SUM(Q57:S57)</f>
        <v>1</v>
      </c>
      <c r="U57" s="3"/>
      <c r="V57" s="3"/>
      <c r="W57" s="3"/>
    </row>
    <row r="58" spans="1:23" s="64" customFormat="1" ht="14.25" customHeight="1">
      <c r="A58" s="115"/>
      <c r="B58" s="166"/>
      <c r="C58" s="150"/>
      <c r="D58" s="122"/>
      <c r="E58" s="140"/>
      <c r="F58" s="151"/>
      <c r="G58" s="152"/>
      <c r="H58" s="160">
        <v>38829.44513888889</v>
      </c>
      <c r="I58" s="160">
        <v>38829.50555555556</v>
      </c>
      <c r="J58" s="161"/>
      <c r="K58" s="161">
        <f t="shared" si="7"/>
        <v>1.4500000000116415</v>
      </c>
      <c r="L58" s="162" t="s">
        <v>69</v>
      </c>
      <c r="M58" s="163" t="s">
        <v>69</v>
      </c>
      <c r="N58" s="163" t="s">
        <v>69</v>
      </c>
      <c r="O58" s="164" t="s">
        <v>73</v>
      </c>
      <c r="P58" s="165" t="s">
        <v>95</v>
      </c>
      <c r="Q58" s="114">
        <f t="shared" si="0"/>
      </c>
      <c r="R58" s="114">
        <f t="shared" si="1"/>
      </c>
      <c r="S58" s="114">
        <f t="shared" si="2"/>
        <v>1</v>
      </c>
      <c r="T58" s="114">
        <f t="shared" si="6"/>
        <v>1</v>
      </c>
      <c r="U58" s="3"/>
      <c r="V58" s="3"/>
      <c r="W58" s="3"/>
    </row>
    <row r="59" spans="1:23" s="64" customFormat="1" ht="14.25" customHeight="1">
      <c r="A59" s="115"/>
      <c r="B59" s="166"/>
      <c r="C59" s="150"/>
      <c r="D59" s="122"/>
      <c r="E59" s="140"/>
      <c r="F59" s="151"/>
      <c r="G59" s="152"/>
      <c r="H59" s="153">
        <v>38829.50555555556</v>
      </c>
      <c r="I59" s="153">
        <v>38829.51388888889</v>
      </c>
      <c r="J59" s="154"/>
      <c r="K59" s="154">
        <f>(I59-H59)*24</f>
        <v>0.19999999995343387</v>
      </c>
      <c r="L59" s="155" t="s">
        <v>39</v>
      </c>
      <c r="M59" s="156" t="s">
        <v>39</v>
      </c>
      <c r="N59" s="156" t="s">
        <v>39</v>
      </c>
      <c r="O59" s="157" t="s">
        <v>73</v>
      </c>
      <c r="P59" s="158"/>
      <c r="Q59" s="114">
        <f t="shared" si="0"/>
      </c>
      <c r="R59" s="114">
        <f t="shared" si="1"/>
      </c>
      <c r="S59" s="114">
        <f t="shared" si="2"/>
        <v>1</v>
      </c>
      <c r="T59" s="114">
        <f>SUM(Q59:S59)</f>
        <v>1</v>
      </c>
      <c r="U59" s="3"/>
      <c r="V59" s="3"/>
      <c r="W59" s="3"/>
    </row>
    <row r="60" spans="1:23" s="64" customFormat="1" ht="14.25" customHeight="1">
      <c r="A60" s="115"/>
      <c r="B60" s="166"/>
      <c r="C60" s="150"/>
      <c r="D60" s="122"/>
      <c r="E60" s="140"/>
      <c r="F60" s="151"/>
      <c r="G60" s="152"/>
      <c r="H60" s="160">
        <v>38829.51388888889</v>
      </c>
      <c r="I60" s="160">
        <v>38829.54652777778</v>
      </c>
      <c r="J60" s="161"/>
      <c r="K60" s="161">
        <f t="shared" si="7"/>
        <v>0.7833333332673647</v>
      </c>
      <c r="L60" s="162" t="s">
        <v>92</v>
      </c>
      <c r="M60" s="163" t="s">
        <v>92</v>
      </c>
      <c r="N60" s="163" t="s">
        <v>92</v>
      </c>
      <c r="O60" s="164" t="s">
        <v>73</v>
      </c>
      <c r="P60" s="165" t="s">
        <v>103</v>
      </c>
      <c r="Q60" s="114">
        <f t="shared" si="0"/>
      </c>
      <c r="R60" s="114">
        <f t="shared" si="1"/>
      </c>
      <c r="S60" s="114">
        <f t="shared" si="2"/>
        <v>1</v>
      </c>
      <c r="T60" s="114">
        <f t="shared" si="6"/>
        <v>1</v>
      </c>
      <c r="U60" s="3"/>
      <c r="V60" s="3"/>
      <c r="W60" s="3"/>
    </row>
    <row r="61" spans="1:23" s="64" customFormat="1" ht="15">
      <c r="A61" s="105">
        <v>25</v>
      </c>
      <c r="B61" s="126">
        <v>38829.54652777778</v>
      </c>
      <c r="C61" s="127">
        <v>38831.33263888889</v>
      </c>
      <c r="D61" s="107">
        <f>(C61-B61)*24</f>
        <v>42.86666666669771</v>
      </c>
      <c r="E61" s="139" t="s">
        <v>66</v>
      </c>
      <c r="F61" s="109"/>
      <c r="G61" s="110"/>
      <c r="H61" s="127"/>
      <c r="I61" s="127"/>
      <c r="J61" s="107">
        <f>(I61-H61)*24</f>
        <v>0</v>
      </c>
      <c r="K61" s="107">
        <f t="shared" si="7"/>
        <v>0</v>
      </c>
      <c r="L61" s="111" t="s">
        <v>24</v>
      </c>
      <c r="M61" s="112"/>
      <c r="N61" s="112"/>
      <c r="O61" s="113"/>
      <c r="P61" s="128"/>
      <c r="Q61" s="114">
        <f t="shared" si="0"/>
      </c>
      <c r="R61" s="114">
        <f t="shared" si="1"/>
        <v>1</v>
      </c>
      <c r="S61" s="114">
        <f t="shared" si="2"/>
      </c>
      <c r="T61" s="114">
        <f t="shared" si="6"/>
        <v>1</v>
      </c>
      <c r="U61" s="3"/>
      <c r="V61" s="3"/>
      <c r="W61" s="3"/>
    </row>
    <row r="62" spans="1:23" s="64" customFormat="1" ht="12.75">
      <c r="A62" s="129"/>
      <c r="B62" s="130"/>
      <c r="C62" s="130"/>
      <c r="D62" s="131">
        <f>SUM(D46:D61)</f>
        <v>106.64999999996508</v>
      </c>
      <c r="E62" s="132"/>
      <c r="F62" s="133"/>
      <c r="G62" s="134"/>
      <c r="H62" s="130"/>
      <c r="I62" s="130"/>
      <c r="J62" s="131">
        <f>SUM(J46:J61)</f>
        <v>13.33333333331393</v>
      </c>
      <c r="K62" s="131">
        <f>SUM(K46:K61)</f>
        <v>18.616666666406672</v>
      </c>
      <c r="L62" s="135"/>
      <c r="M62" s="136"/>
      <c r="N62" s="136"/>
      <c r="O62" s="137"/>
      <c r="P62" s="132"/>
      <c r="Q62" s="114">
        <f t="shared" si="0"/>
      </c>
      <c r="R62" s="114">
        <f t="shared" si="1"/>
      </c>
      <c r="S62" s="114">
        <f t="shared" si="2"/>
      </c>
      <c r="T62" s="114">
        <f t="shared" si="6"/>
        <v>0</v>
      </c>
      <c r="U62" s="3">
        <f>SUM((D62-J62)/D62*100)</f>
        <v>87.49804656979062</v>
      </c>
      <c r="V62" s="3"/>
      <c r="W62" s="3"/>
    </row>
    <row r="63" spans="1:23" s="64" customFormat="1" ht="12.75">
      <c r="A63" s="65"/>
      <c r="B63" s="53"/>
      <c r="C63" s="53"/>
      <c r="D63" s="66"/>
      <c r="E63" s="67"/>
      <c r="F63" s="68"/>
      <c r="G63" s="69"/>
      <c r="H63" s="53"/>
      <c r="I63" s="53"/>
      <c r="J63" s="66"/>
      <c r="K63" s="66"/>
      <c r="L63" s="70"/>
      <c r="M63" s="71"/>
      <c r="N63" s="71"/>
      <c r="O63" s="72"/>
      <c r="P63" s="67"/>
      <c r="Q63" s="138"/>
      <c r="R63" s="138"/>
      <c r="S63" s="138"/>
      <c r="T63" s="3"/>
      <c r="U63" s="3"/>
      <c r="V63" s="3"/>
      <c r="W63" s="3"/>
    </row>
    <row r="64" spans="1:23" s="64" customFormat="1" ht="12.75">
      <c r="A64" s="28"/>
      <c r="B64" s="15"/>
      <c r="C64" s="12" t="s">
        <v>15</v>
      </c>
      <c r="D64" s="39">
        <f>Q65</f>
        <v>13</v>
      </c>
      <c r="E64" s="13"/>
      <c r="F64" s="49"/>
      <c r="G64" s="47"/>
      <c r="H64" s="30"/>
      <c r="I64" s="30"/>
      <c r="J64" s="44" t="s">
        <v>8</v>
      </c>
      <c r="K64" s="54"/>
      <c r="L64" s="70"/>
      <c r="M64" s="71"/>
      <c r="N64" s="71"/>
      <c r="O64" s="72"/>
      <c r="P64" s="67"/>
      <c r="Q64" s="138"/>
      <c r="R64" s="138"/>
      <c r="S64" s="138"/>
      <c r="T64" s="3"/>
      <c r="U64" s="3"/>
      <c r="V64" s="3"/>
      <c r="W64" s="3"/>
    </row>
    <row r="65" spans="1:20" ht="13.5" thickBot="1">
      <c r="A65" s="28"/>
      <c r="B65" s="15"/>
      <c r="C65" s="12" t="s">
        <v>18</v>
      </c>
      <c r="D65" s="39">
        <f>D66-D64</f>
        <v>12</v>
      </c>
      <c r="E65" s="13"/>
      <c r="F65" s="49"/>
      <c r="G65" s="47"/>
      <c r="H65" s="30"/>
      <c r="I65" s="30"/>
      <c r="J65" s="7" t="s">
        <v>9</v>
      </c>
      <c r="K65" s="33" t="s">
        <v>10</v>
      </c>
      <c r="L65" s="55"/>
      <c r="M65" s="188"/>
      <c r="N65" s="188"/>
      <c r="O65" s="63"/>
      <c r="P65" s="8"/>
      <c r="Q65" s="40">
        <f>SUM(Q6:Q63)</f>
        <v>13</v>
      </c>
      <c r="R65" s="40">
        <f>SUM(R6:R63)</f>
        <v>12</v>
      </c>
      <c r="S65" s="40">
        <f>SUM(S6:S63)</f>
        <v>16</v>
      </c>
      <c r="T65" s="41">
        <f>SUM(Q65:S65)</f>
        <v>41</v>
      </c>
    </row>
    <row r="66" spans="1:19" ht="14.25" thickBot="1" thickTop="1">
      <c r="A66" s="65"/>
      <c r="B66" s="15"/>
      <c r="C66" s="12" t="s">
        <v>14</v>
      </c>
      <c r="D66" s="40">
        <f>COUNT(A6:A66)</f>
        <v>25</v>
      </c>
      <c r="E66" s="13"/>
      <c r="F66" s="49"/>
      <c r="G66" s="47"/>
      <c r="H66" s="30"/>
      <c r="I66" s="30"/>
      <c r="J66" s="24">
        <f>SUM(J6:J65)/2</f>
        <v>27.38333333353512</v>
      </c>
      <c r="K66" s="24">
        <f>SUM(K6:K65)/2</f>
        <v>32.66666666662786</v>
      </c>
      <c r="L66" s="55"/>
      <c r="M66" s="56"/>
      <c r="N66" s="56"/>
      <c r="O66" s="55"/>
      <c r="P66" s="8"/>
      <c r="Q66" s="1" t="s">
        <v>27</v>
      </c>
      <c r="R66" s="2" t="s">
        <v>24</v>
      </c>
      <c r="S66" s="1" t="s">
        <v>28</v>
      </c>
    </row>
    <row r="67" spans="1:20" ht="13.5" thickTop="1">
      <c r="A67" s="28"/>
      <c r="B67" s="15"/>
      <c r="C67" s="12"/>
      <c r="D67" s="7"/>
      <c r="E67" s="13"/>
      <c r="F67" s="49"/>
      <c r="G67" s="47"/>
      <c r="H67" s="30"/>
      <c r="I67" s="30"/>
      <c r="J67" s="7"/>
      <c r="K67" s="32"/>
      <c r="L67" s="55"/>
      <c r="M67" s="56"/>
      <c r="N67" s="56"/>
      <c r="O67" s="55"/>
      <c r="P67" s="8"/>
      <c r="Q67" s="1">
        <f>IF($O69="Store Lost",1,"")</f>
      </c>
      <c r="T67" s="41"/>
    </row>
    <row r="68" spans="1:17" ht="12.75">
      <c r="A68" s="28"/>
      <c r="B68" s="15"/>
      <c r="C68" s="12" t="s">
        <v>11</v>
      </c>
      <c r="D68" s="7">
        <f>SUM(D6:D63)/2</f>
        <v>1627.5833333331975</v>
      </c>
      <c r="E68" s="17">
        <f>D68/24</f>
        <v>67.81597222221656</v>
      </c>
      <c r="F68" s="51" t="s">
        <v>35</v>
      </c>
      <c r="G68" s="47"/>
      <c r="H68" s="30"/>
      <c r="I68" s="30"/>
      <c r="J68" s="7"/>
      <c r="K68" s="32"/>
      <c r="L68" s="55"/>
      <c r="M68" s="56"/>
      <c r="N68" s="56"/>
      <c r="O68" s="55"/>
      <c r="P68" s="8"/>
      <c r="Q68" s="1">
        <f>IF($O70="Store Lost",1,"")</f>
      </c>
    </row>
    <row r="69" spans="1:29" ht="12.75">
      <c r="A69" s="28"/>
      <c r="B69" s="15"/>
      <c r="C69" s="12" t="s">
        <v>12</v>
      </c>
      <c r="D69" s="7">
        <f>J66</f>
        <v>27.38333333353512</v>
      </c>
      <c r="E69" s="13" t="s">
        <v>31</v>
      </c>
      <c r="F69" s="49"/>
      <c r="G69" s="47"/>
      <c r="H69" s="30"/>
      <c r="I69" s="30"/>
      <c r="J69" s="7"/>
      <c r="K69" s="32"/>
      <c r="L69" s="55"/>
      <c r="M69" s="56"/>
      <c r="N69" s="56"/>
      <c r="O69" s="55"/>
      <c r="P69" s="8"/>
      <c r="Q69" s="1">
        <f>IF($O71="Store Lost",1,"")</f>
      </c>
      <c r="AA69" s="3"/>
      <c r="AB69" s="3"/>
      <c r="AC69" s="3"/>
    </row>
    <row r="70" spans="1:18" ht="13.5" thickBot="1">
      <c r="A70" s="28"/>
      <c r="B70" s="15"/>
      <c r="C70" s="12" t="s">
        <v>13</v>
      </c>
      <c r="D70" s="40">
        <f>SUM(D68:D69)</f>
        <v>1654.9666666667326</v>
      </c>
      <c r="E70" s="17"/>
      <c r="F70" s="49"/>
      <c r="G70" s="47"/>
      <c r="H70" s="30"/>
      <c r="I70" s="30"/>
      <c r="J70" s="7"/>
      <c r="K70" s="32"/>
      <c r="L70" s="55"/>
      <c r="M70" s="56"/>
      <c r="N70" s="56"/>
      <c r="O70" s="55"/>
      <c r="P70" s="8"/>
      <c r="Q70" s="42">
        <f>Q65+R65</f>
        <v>25</v>
      </c>
      <c r="R70" s="1">
        <f aca="true" t="shared" si="8" ref="R70:R84">IF($P72="Store Lost",1,"")</f>
      </c>
    </row>
    <row r="71" spans="1:26" ht="13.5" thickTop="1">
      <c r="A71" s="28"/>
      <c r="B71" s="15"/>
      <c r="C71" s="12"/>
      <c r="D71" s="25"/>
      <c r="E71" s="46"/>
      <c r="F71" s="49"/>
      <c r="G71" s="47"/>
      <c r="H71" s="7"/>
      <c r="I71" s="30"/>
      <c r="J71" s="7"/>
      <c r="K71" s="32"/>
      <c r="L71" s="55"/>
      <c r="M71" s="56"/>
      <c r="N71" s="56"/>
      <c r="O71" s="55"/>
      <c r="P71" s="8"/>
      <c r="Q71" s="8"/>
      <c r="R71" s="1">
        <f t="shared" si="8"/>
      </c>
      <c r="S71" s="3"/>
      <c r="T71" s="3"/>
      <c r="U71" s="3"/>
      <c r="V71" s="3"/>
      <c r="W71" s="3"/>
      <c r="X71" s="3"/>
      <c r="Y71" s="3"/>
      <c r="Z71" s="3"/>
    </row>
    <row r="72" spans="1:18" ht="12.75">
      <c r="A72" s="28"/>
      <c r="B72" s="15"/>
      <c r="C72" s="12"/>
      <c r="D72" s="25"/>
      <c r="E72" s="13"/>
      <c r="F72" s="49"/>
      <c r="G72" s="47"/>
      <c r="H72" s="30"/>
      <c r="I72" s="30"/>
      <c r="J72" s="7"/>
      <c r="K72" s="32"/>
      <c r="Q72" s="8"/>
      <c r="R72" s="1">
        <f t="shared" si="8"/>
      </c>
    </row>
    <row r="73" spans="1:18" ht="12.75">
      <c r="A73" s="28"/>
      <c r="B73" s="15"/>
      <c r="C73" s="12" t="s">
        <v>29</v>
      </c>
      <c r="D73" s="26">
        <f>IF(D64,D68/D64,D68)</f>
        <v>125.1987179487075</v>
      </c>
      <c r="E73" s="13"/>
      <c r="F73" s="49"/>
      <c r="G73" s="47"/>
      <c r="J73" s="31"/>
      <c r="K73" s="19"/>
      <c r="Q73" s="8"/>
      <c r="R73" s="1" t="e">
        <f>IF(#REF!="Store Lost",1,"")</f>
        <v>#REF!</v>
      </c>
    </row>
    <row r="74" spans="1:18" ht="12.75">
      <c r="A74" s="28"/>
      <c r="B74" s="15"/>
      <c r="C74" s="12" t="s">
        <v>16</v>
      </c>
      <c r="D74" s="25">
        <f>IF(D66,24/D73,0)</f>
        <v>0.19169525369926335</v>
      </c>
      <c r="E74" s="73"/>
      <c r="F74" s="75"/>
      <c r="G74" s="74"/>
      <c r="K74" s="19"/>
      <c r="Q74" s="8"/>
      <c r="R74" s="1" t="e">
        <f>IF(#REF!="Store Lost",1,"")</f>
        <v>#REF!</v>
      </c>
    </row>
    <row r="75" spans="1:18" ht="12.75">
      <c r="A75" s="28"/>
      <c r="B75" s="15"/>
      <c r="C75" s="12" t="s">
        <v>17</v>
      </c>
      <c r="D75" s="35">
        <f>D68/D70</f>
        <v>0.983453845998791</v>
      </c>
      <c r="E75" s="20"/>
      <c r="F75" s="49"/>
      <c r="G75" s="47"/>
      <c r="K75" s="19"/>
      <c r="Q75" s="8"/>
      <c r="R75" s="1">
        <f t="shared" si="8"/>
      </c>
    </row>
    <row r="76" spans="1:18" ht="12.75">
      <c r="A76" s="28"/>
      <c r="B76" s="15"/>
      <c r="C76" s="15"/>
      <c r="D76" s="7"/>
      <c r="E76" s="13"/>
      <c r="F76" s="49"/>
      <c r="G76" s="47"/>
      <c r="K76" s="19"/>
      <c r="Q76" s="8"/>
      <c r="R76" s="1">
        <f t="shared" si="8"/>
      </c>
    </row>
    <row r="77" spans="1:18" ht="12.75">
      <c r="A77" s="28"/>
      <c r="B77" s="15"/>
      <c r="C77" s="15"/>
      <c r="D77" s="7"/>
      <c r="E77" s="13"/>
      <c r="F77" s="49"/>
      <c r="G77" s="47"/>
      <c r="K77" s="19"/>
      <c r="Q77" s="8"/>
      <c r="R77" s="1">
        <f t="shared" si="8"/>
      </c>
    </row>
    <row r="78" spans="1:18" ht="12.75">
      <c r="A78" s="28"/>
      <c r="B78" s="15"/>
      <c r="C78" s="15"/>
      <c r="D78" s="7"/>
      <c r="E78" s="13"/>
      <c r="F78" s="49"/>
      <c r="G78" s="47"/>
      <c r="K78" s="19"/>
      <c r="Q78" s="8"/>
      <c r="R78" s="1">
        <f t="shared" si="8"/>
      </c>
    </row>
    <row r="79" spans="1:18" ht="12.75">
      <c r="A79" s="28"/>
      <c r="B79" s="15"/>
      <c r="C79" s="15"/>
      <c r="D79" s="7"/>
      <c r="E79" s="13"/>
      <c r="F79" s="49"/>
      <c r="G79" s="47"/>
      <c r="K79" s="19"/>
      <c r="Q79" s="8"/>
      <c r="R79" s="1">
        <f t="shared" si="8"/>
      </c>
    </row>
    <row r="80" spans="1:29" s="5" customFormat="1" ht="13.5" thickBot="1">
      <c r="A80" s="28"/>
      <c r="B80" s="15"/>
      <c r="C80" s="15"/>
      <c r="D80" s="7"/>
      <c r="E80" s="13"/>
      <c r="F80" s="49"/>
      <c r="G80" s="47"/>
      <c r="H80" s="31"/>
      <c r="I80" s="31"/>
      <c r="J80" s="21"/>
      <c r="K80" s="19"/>
      <c r="L80" s="61"/>
      <c r="M80" s="62"/>
      <c r="N80" s="62"/>
      <c r="O80" s="61"/>
      <c r="P80" s="9"/>
      <c r="Q80" s="8"/>
      <c r="R80" s="1">
        <f t="shared" si="8"/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18" ht="12.75">
      <c r="A81" s="28"/>
      <c r="B81" s="15"/>
      <c r="C81" s="15"/>
      <c r="D81" s="7"/>
      <c r="E81" s="13"/>
      <c r="F81" s="49"/>
      <c r="G81" s="47"/>
      <c r="K81" s="19"/>
      <c r="Q81" s="8"/>
      <c r="R81" s="1">
        <f t="shared" si="8"/>
      </c>
    </row>
    <row r="82" spans="1:18" ht="12.75">
      <c r="A82" s="28"/>
      <c r="B82" s="15"/>
      <c r="C82" s="15"/>
      <c r="D82" s="7"/>
      <c r="E82" s="13"/>
      <c r="F82" s="49"/>
      <c r="G82" s="47"/>
      <c r="K82" s="19"/>
      <c r="Q82" s="8"/>
      <c r="R82" s="1">
        <f t="shared" si="8"/>
      </c>
    </row>
    <row r="83" spans="1:18" ht="12.75">
      <c r="A83" s="28"/>
      <c r="B83" s="15"/>
      <c r="C83" s="15"/>
      <c r="D83" s="7"/>
      <c r="E83" s="13"/>
      <c r="F83" s="49"/>
      <c r="G83" s="47"/>
      <c r="K83" s="19"/>
      <c r="Q83" s="8"/>
      <c r="R83" s="1">
        <f t="shared" si="8"/>
      </c>
    </row>
    <row r="84" spans="1:18" ht="12.75">
      <c r="A84" s="28"/>
      <c r="B84" s="15"/>
      <c r="C84" s="15"/>
      <c r="D84" s="7"/>
      <c r="E84" s="13"/>
      <c r="F84" s="49"/>
      <c r="G84" s="47"/>
      <c r="K84" s="19"/>
      <c r="Q84" s="8"/>
      <c r="R84" s="1">
        <f t="shared" si="8"/>
      </c>
    </row>
    <row r="85" spans="1:11" ht="12.75">
      <c r="A85" s="28"/>
      <c r="B85" s="15"/>
      <c r="C85" s="15"/>
      <c r="D85" s="7"/>
      <c r="E85" s="13"/>
      <c r="F85" s="49"/>
      <c r="G85" s="47"/>
      <c r="K85" s="19"/>
    </row>
    <row r="86" spans="1:11" ht="12.75">
      <c r="A86" s="28"/>
      <c r="B86" s="15"/>
      <c r="C86" s="15"/>
      <c r="D86" s="7"/>
      <c r="E86" s="13"/>
      <c r="F86" s="49"/>
      <c r="G86" s="47"/>
      <c r="K86" s="19"/>
    </row>
    <row r="87" spans="1:16" ht="12.75">
      <c r="A87" s="28"/>
      <c r="B87" s="15"/>
      <c r="C87" s="15"/>
      <c r="D87" s="7"/>
      <c r="E87" s="13"/>
      <c r="F87" s="49"/>
      <c r="G87" s="47"/>
      <c r="K87" s="19"/>
      <c r="L87" s="55"/>
      <c r="M87" s="56"/>
      <c r="N87" s="56"/>
      <c r="O87" s="55"/>
      <c r="P87" s="8"/>
    </row>
    <row r="88" spans="1:16" ht="12.75">
      <c r="A88" s="28"/>
      <c r="B88" s="15"/>
      <c r="C88" s="15"/>
      <c r="D88" s="7"/>
      <c r="E88" s="13"/>
      <c r="F88" s="49"/>
      <c r="G88" s="47"/>
      <c r="H88" s="30"/>
      <c r="I88" s="30"/>
      <c r="J88" s="7"/>
      <c r="K88" s="32"/>
      <c r="L88" s="55"/>
      <c r="M88" s="56"/>
      <c r="N88" s="56"/>
      <c r="O88" s="55"/>
      <c r="P88" s="8"/>
    </row>
    <row r="89" spans="1:29" s="4" customFormat="1" ht="13.5" thickBot="1">
      <c r="A89" s="28"/>
      <c r="B89" s="15"/>
      <c r="C89" s="15"/>
      <c r="D89" s="21"/>
      <c r="E89" s="13"/>
      <c r="F89" s="49"/>
      <c r="G89" s="47"/>
      <c r="H89" s="30"/>
      <c r="I89" s="30"/>
      <c r="J89" s="21"/>
      <c r="K89" s="34"/>
      <c r="L89" s="55"/>
      <c r="M89" s="56"/>
      <c r="N89" s="56"/>
      <c r="O89" s="55"/>
      <c r="P89" s="8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3" customFormat="1" ht="14.25" thickBot="1" thickTop="1">
      <c r="A90" s="28"/>
      <c r="B90" s="15"/>
      <c r="C90" s="15"/>
      <c r="D90" s="21"/>
      <c r="E90" s="13"/>
      <c r="F90" s="49"/>
      <c r="G90" s="47"/>
      <c r="H90" s="30"/>
      <c r="I90" s="30"/>
      <c r="J90" s="21"/>
      <c r="K90" s="34"/>
      <c r="L90" s="55"/>
      <c r="M90" s="56"/>
      <c r="N90" s="56"/>
      <c r="O90" s="55"/>
      <c r="P90" s="8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5"/>
      <c r="AC90" s="5"/>
    </row>
    <row r="91" spans="1:16" ht="12.75">
      <c r="A91" s="28"/>
      <c r="B91" s="15"/>
      <c r="C91" s="15"/>
      <c r="E91" s="13"/>
      <c r="F91" s="49"/>
      <c r="G91" s="47"/>
      <c r="H91" s="30"/>
      <c r="I91" s="30"/>
      <c r="L91" s="55"/>
      <c r="M91" s="56"/>
      <c r="N91" s="56"/>
      <c r="O91" s="55"/>
      <c r="P91" s="8"/>
    </row>
    <row r="92" spans="1:26" ht="13.5" thickBot="1">
      <c r="A92" s="28"/>
      <c r="B92" s="15"/>
      <c r="C92" s="15"/>
      <c r="F92" s="49"/>
      <c r="G92" s="47"/>
      <c r="H92" s="30"/>
      <c r="I92" s="30"/>
      <c r="L92" s="55"/>
      <c r="M92" s="56"/>
      <c r="N92" s="56"/>
      <c r="O92" s="55"/>
      <c r="P92" s="8"/>
      <c r="R92" s="5"/>
      <c r="S92" s="5"/>
      <c r="T92" s="5"/>
      <c r="U92" s="5"/>
      <c r="V92" s="5"/>
      <c r="W92" s="5"/>
      <c r="X92" s="5"/>
      <c r="Y92" s="5"/>
      <c r="Z92" s="5"/>
    </row>
    <row r="93" spans="1:16" ht="12.75">
      <c r="A93" s="28"/>
      <c r="B93" s="15"/>
      <c r="C93" s="15"/>
      <c r="F93" s="49"/>
      <c r="G93" s="47"/>
      <c r="H93" s="30"/>
      <c r="I93" s="30"/>
      <c r="L93" s="55"/>
      <c r="M93" s="56"/>
      <c r="N93" s="56"/>
      <c r="O93" s="55"/>
      <c r="P93" s="8"/>
    </row>
    <row r="94" spans="2:17" ht="12.75">
      <c r="B94" s="15"/>
      <c r="C94" s="15"/>
      <c r="F94" s="49"/>
      <c r="G94" s="47"/>
      <c r="H94" s="30"/>
      <c r="I94" s="30"/>
      <c r="L94" s="55"/>
      <c r="M94" s="56"/>
      <c r="N94" s="56"/>
      <c r="O94" s="55"/>
      <c r="P94" s="8"/>
      <c r="Q94" s="1">
        <f aca="true" t="shared" si="9" ref="Q94:Q151">IF($O96="Store Lost",1,"")</f>
      </c>
    </row>
    <row r="95" spans="2:17" ht="12.75">
      <c r="B95" s="15"/>
      <c r="C95" s="15"/>
      <c r="F95" s="49"/>
      <c r="G95" s="47"/>
      <c r="H95" s="30"/>
      <c r="I95" s="30"/>
      <c r="L95" s="55"/>
      <c r="M95" s="56"/>
      <c r="N95" s="56"/>
      <c r="O95" s="55"/>
      <c r="P95" s="8"/>
      <c r="Q95" s="1">
        <f t="shared" si="9"/>
      </c>
    </row>
    <row r="96" spans="2:17" ht="12.75">
      <c r="B96" s="15"/>
      <c r="C96" s="15"/>
      <c r="F96" s="49"/>
      <c r="G96" s="47"/>
      <c r="H96" s="30"/>
      <c r="I96" s="30"/>
      <c r="Q96" s="1">
        <f t="shared" si="9"/>
      </c>
    </row>
    <row r="97" spans="2:17" ht="12.75">
      <c r="B97" s="15"/>
      <c r="C97" s="15"/>
      <c r="Q97" s="1">
        <f t="shared" si="9"/>
      </c>
    </row>
    <row r="98" ht="12.75">
      <c r="Q98" s="1">
        <f t="shared" si="9"/>
      </c>
    </row>
    <row r="99" spans="17:29" ht="13.5" thickBot="1">
      <c r="Q99" s="1">
        <f t="shared" si="9"/>
      </c>
      <c r="AA99" s="4"/>
      <c r="AB99" s="4"/>
      <c r="AC99" s="4"/>
    </row>
    <row r="100" spans="17:29" ht="13.5" thickTop="1">
      <c r="Q100" s="1">
        <f t="shared" si="9"/>
      </c>
      <c r="AA100" s="3"/>
      <c r="AB100" s="3"/>
      <c r="AC100" s="3"/>
    </row>
    <row r="101" spans="17:26" ht="13.5" thickBot="1">
      <c r="Q101" s="1">
        <f t="shared" si="9"/>
      </c>
      <c r="R101" s="4"/>
      <c r="S101" s="4"/>
      <c r="T101" s="4"/>
      <c r="U101" s="4"/>
      <c r="V101" s="4"/>
      <c r="W101" s="4"/>
      <c r="X101" s="4"/>
      <c r="Y101" s="4"/>
      <c r="Z101" s="4"/>
    </row>
    <row r="102" spans="17:26" ht="13.5" thickTop="1">
      <c r="Q102" s="1">
        <f t="shared" si="9"/>
      </c>
      <c r="R102" s="3"/>
      <c r="S102" s="3"/>
      <c r="T102" s="3"/>
      <c r="U102" s="3"/>
      <c r="V102" s="3"/>
      <c r="W102" s="3"/>
      <c r="X102" s="3"/>
      <c r="Y102" s="3"/>
      <c r="Z102" s="3"/>
    </row>
    <row r="103" spans="1:29" s="5" customFormat="1" ht="13.5" thickBot="1">
      <c r="A103" s="29"/>
      <c r="B103" s="18"/>
      <c r="C103" s="18"/>
      <c r="D103" s="21"/>
      <c r="E103" s="22"/>
      <c r="F103" s="50"/>
      <c r="G103" s="48"/>
      <c r="H103" s="31"/>
      <c r="I103" s="31"/>
      <c r="J103" s="21"/>
      <c r="K103" s="34"/>
      <c r="L103" s="61"/>
      <c r="M103" s="62"/>
      <c r="N103" s="62"/>
      <c r="O103" s="61"/>
      <c r="P103" s="9"/>
      <c r="Q103" s="1">
        <f t="shared" si="9"/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2.75">
      <c r="Q104" s="1">
        <f t="shared" si="9"/>
      </c>
    </row>
    <row r="105" ht="12.75">
      <c r="Q105" s="1">
        <f t="shared" si="9"/>
      </c>
    </row>
    <row r="106" ht="12.75">
      <c r="Q106" s="1">
        <f t="shared" si="9"/>
      </c>
    </row>
    <row r="107" ht="12.75">
      <c r="Q107" s="1">
        <f t="shared" si="9"/>
      </c>
    </row>
    <row r="108" ht="12.75">
      <c r="Q108" s="1">
        <f t="shared" si="9"/>
      </c>
    </row>
    <row r="109" ht="12.75">
      <c r="Q109" s="1">
        <f t="shared" si="9"/>
      </c>
    </row>
    <row r="110" ht="12.75">
      <c r="Q110" s="1">
        <f t="shared" si="9"/>
      </c>
    </row>
    <row r="111" ht="12.75">
      <c r="Q111" s="1">
        <f t="shared" si="9"/>
      </c>
    </row>
    <row r="112" ht="12.75">
      <c r="Q112" s="1">
        <f t="shared" si="9"/>
      </c>
    </row>
    <row r="113" spans="17:29" ht="13.5" thickBot="1">
      <c r="Q113" s="1">
        <f t="shared" si="9"/>
      </c>
      <c r="AA113" s="5"/>
      <c r="AB113" s="5"/>
      <c r="AC113" s="5"/>
    </row>
    <row r="114" ht="12.75">
      <c r="Q114" s="1">
        <f t="shared" si="9"/>
      </c>
    </row>
    <row r="115" spans="17:26" ht="13.5" thickBot="1">
      <c r="Q115" s="1">
        <f t="shared" si="9"/>
      </c>
      <c r="R115" s="5"/>
      <c r="S115" s="5"/>
      <c r="T115" s="5"/>
      <c r="U115" s="5"/>
      <c r="V115" s="5"/>
      <c r="W115" s="5"/>
      <c r="X115" s="5"/>
      <c r="Y115" s="5"/>
      <c r="Z115" s="5"/>
    </row>
    <row r="116" spans="1:29" s="5" customFormat="1" ht="13.5" thickBot="1">
      <c r="A116" s="29"/>
      <c r="B116" s="18"/>
      <c r="C116" s="18"/>
      <c r="D116" s="21"/>
      <c r="E116" s="22"/>
      <c r="F116" s="50"/>
      <c r="G116" s="48"/>
      <c r="H116" s="31"/>
      <c r="I116" s="31"/>
      <c r="J116" s="21"/>
      <c r="K116" s="34"/>
      <c r="L116" s="61"/>
      <c r="M116" s="62"/>
      <c r="N116" s="62"/>
      <c r="O116" s="61"/>
      <c r="P116" s="9"/>
      <c r="Q116" s="1">
        <f t="shared" si="9"/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3" customFormat="1" ht="12.75">
      <c r="A117" s="29"/>
      <c r="B117" s="18"/>
      <c r="C117" s="18"/>
      <c r="D117" s="21"/>
      <c r="E117" s="22"/>
      <c r="F117" s="50"/>
      <c r="G117" s="48"/>
      <c r="H117" s="31"/>
      <c r="I117" s="31"/>
      <c r="J117" s="21"/>
      <c r="K117" s="34"/>
      <c r="L117" s="61"/>
      <c r="M117" s="62"/>
      <c r="N117" s="62"/>
      <c r="O117" s="61"/>
      <c r="P117" s="9"/>
      <c r="Q117" s="1">
        <f t="shared" si="9"/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s="5" customFormat="1" ht="13.5" thickBot="1">
      <c r="A118" s="29"/>
      <c r="B118" s="18"/>
      <c r="C118" s="18"/>
      <c r="D118" s="21"/>
      <c r="E118" s="22"/>
      <c r="F118" s="50"/>
      <c r="G118" s="48"/>
      <c r="H118" s="31"/>
      <c r="I118" s="31"/>
      <c r="J118" s="21"/>
      <c r="K118" s="34"/>
      <c r="L118" s="61"/>
      <c r="M118" s="62"/>
      <c r="N118" s="62"/>
      <c r="O118" s="61"/>
      <c r="P118" s="9"/>
      <c r="Q118" s="1">
        <f t="shared" si="9"/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2.75">
      <c r="Q119" s="1">
        <f t="shared" si="9"/>
      </c>
    </row>
    <row r="120" ht="12.75">
      <c r="Q120" s="1">
        <f t="shared" si="9"/>
      </c>
    </row>
    <row r="121" ht="12.75">
      <c r="Q121" s="1">
        <f t="shared" si="9"/>
      </c>
    </row>
    <row r="122" ht="12.75">
      <c r="Q122" s="1">
        <f t="shared" si="9"/>
      </c>
    </row>
    <row r="123" ht="12.75">
      <c r="Q123" s="1">
        <f t="shared" si="9"/>
      </c>
    </row>
    <row r="124" ht="12.75">
      <c r="Q124" s="1">
        <f t="shared" si="9"/>
      </c>
    </row>
    <row r="125" ht="12.75">
      <c r="Q125" s="1">
        <f t="shared" si="9"/>
      </c>
    </row>
    <row r="126" spans="17:29" ht="13.5" thickBot="1">
      <c r="Q126" s="1">
        <f t="shared" si="9"/>
      </c>
      <c r="AA126" s="5"/>
      <c r="AB126" s="5"/>
      <c r="AC126" s="5"/>
    </row>
    <row r="127" spans="17:29" ht="12.75">
      <c r="Q127" s="1">
        <f t="shared" si="9"/>
      </c>
      <c r="AA127" s="3"/>
      <c r="AB127" s="3"/>
      <c r="AC127" s="3"/>
    </row>
    <row r="128" spans="17:29" ht="13.5" thickBot="1">
      <c r="Q128" s="1">
        <f t="shared" si="9"/>
      </c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7:26" ht="12.75">
      <c r="Q129" s="1">
        <f t="shared" si="9"/>
      </c>
      <c r="R129" s="3"/>
      <c r="S129" s="3"/>
      <c r="T129" s="3"/>
      <c r="U129" s="3"/>
      <c r="V129" s="3"/>
      <c r="W129" s="3"/>
      <c r="X129" s="3"/>
      <c r="Y129" s="3"/>
      <c r="Z129" s="3"/>
    </row>
    <row r="130" spans="17:26" ht="13.5" thickBot="1">
      <c r="Q130" s="1">
        <f t="shared" si="9"/>
      </c>
      <c r="R130" s="5"/>
      <c r="S130" s="5"/>
      <c r="T130" s="5"/>
      <c r="U130" s="5"/>
      <c r="V130" s="5"/>
      <c r="W130" s="5"/>
      <c r="X130" s="5"/>
      <c r="Y130" s="5"/>
      <c r="Z130" s="5"/>
    </row>
    <row r="131" ht="12.75">
      <c r="Q131" s="1">
        <f t="shared" si="9"/>
      </c>
    </row>
    <row r="132" ht="12.75">
      <c r="Q132" s="1">
        <f t="shared" si="9"/>
      </c>
    </row>
    <row r="133" ht="12.75">
      <c r="Q133" s="1">
        <f t="shared" si="9"/>
      </c>
    </row>
    <row r="134" ht="12.75">
      <c r="Q134" s="1">
        <f t="shared" si="9"/>
      </c>
    </row>
    <row r="135" ht="12.75">
      <c r="Q135" s="1">
        <f t="shared" si="9"/>
      </c>
    </row>
    <row r="136" ht="12.75">
      <c r="Q136" s="1">
        <f t="shared" si="9"/>
      </c>
    </row>
    <row r="137" ht="12.75">
      <c r="Q137" s="1">
        <f t="shared" si="9"/>
      </c>
    </row>
    <row r="138" ht="12.75">
      <c r="Q138" s="1">
        <f t="shared" si="9"/>
      </c>
    </row>
    <row r="139" spans="1:29" s="5" customFormat="1" ht="13.5" thickBot="1">
      <c r="A139" s="29"/>
      <c r="B139" s="18"/>
      <c r="C139" s="18"/>
      <c r="D139" s="21"/>
      <c r="E139" s="22"/>
      <c r="F139" s="50"/>
      <c r="G139" s="48"/>
      <c r="H139" s="31"/>
      <c r="I139" s="31"/>
      <c r="J139" s="21"/>
      <c r="K139" s="34"/>
      <c r="L139" s="61"/>
      <c r="M139" s="62"/>
      <c r="N139" s="62"/>
      <c r="O139" s="61"/>
      <c r="P139" s="9"/>
      <c r="Q139" s="1">
        <f t="shared" si="9"/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t="12.75">
      <c r="Q140" s="1">
        <f t="shared" si="9"/>
      </c>
    </row>
    <row r="141" ht="12.75">
      <c r="Q141" s="1">
        <f t="shared" si="9"/>
      </c>
    </row>
    <row r="142" ht="12.75">
      <c r="Q142" s="1">
        <f t="shared" si="9"/>
      </c>
    </row>
    <row r="143" ht="12.75">
      <c r="Q143" s="1">
        <f t="shared" si="9"/>
      </c>
    </row>
    <row r="144" ht="12.75">
      <c r="Q144" s="1">
        <f t="shared" si="9"/>
      </c>
    </row>
    <row r="145" ht="12.75">
      <c r="Q145" s="1">
        <f t="shared" si="9"/>
      </c>
    </row>
    <row r="146" ht="12.75">
      <c r="Q146" s="1">
        <f t="shared" si="9"/>
      </c>
    </row>
    <row r="147" ht="12.75">
      <c r="Q147" s="1">
        <f t="shared" si="9"/>
      </c>
    </row>
    <row r="148" ht="12.75">
      <c r="Q148" s="1">
        <f t="shared" si="9"/>
      </c>
    </row>
    <row r="149" spans="17:29" ht="13.5" thickBot="1">
      <c r="Q149" s="1">
        <f t="shared" si="9"/>
      </c>
      <c r="AA149" s="5"/>
      <c r="AB149" s="5"/>
      <c r="AC149" s="5"/>
    </row>
    <row r="150" ht="12.75">
      <c r="Q150" s="1">
        <f t="shared" si="9"/>
      </c>
    </row>
    <row r="151" spans="17:26" ht="13.5" thickBot="1">
      <c r="Q151" s="1">
        <f t="shared" si="9"/>
      </c>
      <c r="R151" s="5"/>
      <c r="S151" s="5"/>
      <c r="T151" s="5"/>
      <c r="U151" s="5"/>
      <c r="V151" s="5"/>
      <c r="W151" s="5"/>
      <c r="X151" s="5"/>
      <c r="Y151" s="5"/>
      <c r="Z151" s="5"/>
    </row>
    <row r="155" ht="12.75">
      <c r="Q155" s="1">
        <f>COUNT(Q7:Q151)</f>
        <v>14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9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8"/>
  <sheetViews>
    <sheetView workbookViewId="0" topLeftCell="A1">
      <selection activeCell="A14" sqref="A14:IV14"/>
    </sheetView>
  </sheetViews>
  <sheetFormatPr defaultColWidth="9.140625" defaultRowHeight="12.75"/>
  <cols>
    <col min="1" max="1" width="21.140625" style="0" customWidth="1"/>
    <col min="2" max="12" width="8.28125" style="0" customWidth="1"/>
    <col min="13" max="13" width="10.57421875" style="0" customWidth="1"/>
    <col min="14" max="14" width="8.28125" style="0" customWidth="1"/>
    <col min="15" max="15" width="10.57421875" style="0" customWidth="1"/>
    <col min="16" max="16" width="17.7109375" style="0" customWidth="1"/>
    <col min="17" max="17" width="12.140625" style="0" customWidth="1"/>
    <col min="18" max="18" width="13.57421875" style="0" customWidth="1"/>
    <col min="19" max="19" width="9.421875" style="0" customWidth="1"/>
    <col min="20" max="20" width="7.421875" style="0" customWidth="1"/>
    <col min="21" max="21" width="9.00390625" style="0" customWidth="1"/>
    <col min="22" max="24" width="6.57421875" style="0" customWidth="1"/>
    <col min="25" max="25" width="11.140625" style="0" bestFit="1" customWidth="1"/>
    <col min="26" max="26" width="10.57421875" style="0" bestFit="1" customWidth="1"/>
  </cols>
  <sheetData>
    <row r="3" spans="1:13" ht="12.75">
      <c r="A3" s="77"/>
      <c r="B3" s="76" t="s">
        <v>37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3" ht="12.75">
      <c r="A4" s="76" t="s">
        <v>41</v>
      </c>
      <c r="B4" s="77" t="s">
        <v>65</v>
      </c>
      <c r="C4" s="143" t="s">
        <v>69</v>
      </c>
      <c r="D4" s="143" t="s">
        <v>39</v>
      </c>
      <c r="E4" s="143" t="s">
        <v>36</v>
      </c>
      <c r="F4" s="143" t="s">
        <v>38</v>
      </c>
      <c r="G4" s="143" t="s">
        <v>81</v>
      </c>
      <c r="H4" s="143" t="s">
        <v>74</v>
      </c>
      <c r="I4" s="143" t="s">
        <v>80</v>
      </c>
      <c r="J4" s="143" t="s">
        <v>88</v>
      </c>
      <c r="K4" s="143" t="s">
        <v>91</v>
      </c>
      <c r="L4" s="143" t="s">
        <v>92</v>
      </c>
      <c r="M4" s="78" t="s">
        <v>40</v>
      </c>
    </row>
    <row r="5" spans="1:13" ht="12.75">
      <c r="A5" s="77" t="s">
        <v>43</v>
      </c>
      <c r="B5" s="144">
        <v>1</v>
      </c>
      <c r="C5" s="145">
        <v>5</v>
      </c>
      <c r="D5" s="145">
        <v>1</v>
      </c>
      <c r="E5" s="145">
        <v>1</v>
      </c>
      <c r="F5" s="145">
        <v>1</v>
      </c>
      <c r="G5" s="145">
        <v>1</v>
      </c>
      <c r="H5" s="145">
        <v>1</v>
      </c>
      <c r="I5" s="145">
        <v>0</v>
      </c>
      <c r="J5" s="145">
        <v>1</v>
      </c>
      <c r="K5" s="145">
        <v>3</v>
      </c>
      <c r="L5" s="145">
        <v>1</v>
      </c>
      <c r="M5" s="79">
        <v>16</v>
      </c>
    </row>
    <row r="6" spans="1:13" ht="12.75">
      <c r="A6" s="80" t="s">
        <v>42</v>
      </c>
      <c r="B6" s="146">
        <v>0</v>
      </c>
      <c r="C6" s="147">
        <v>0</v>
      </c>
      <c r="D6" s="147">
        <v>0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147">
        <v>0</v>
      </c>
      <c r="M6" s="81">
        <v>0</v>
      </c>
    </row>
    <row r="7" spans="1:13" ht="12.75">
      <c r="A7" s="80" t="s">
        <v>44</v>
      </c>
      <c r="B7" s="146">
        <v>2</v>
      </c>
      <c r="C7" s="147">
        <v>1</v>
      </c>
      <c r="D7" s="147">
        <v>2</v>
      </c>
      <c r="E7" s="147">
        <v>1</v>
      </c>
      <c r="F7" s="147">
        <v>4</v>
      </c>
      <c r="G7" s="147">
        <v>0</v>
      </c>
      <c r="H7" s="147">
        <v>0</v>
      </c>
      <c r="I7" s="147">
        <v>1</v>
      </c>
      <c r="J7" s="147">
        <v>1</v>
      </c>
      <c r="K7" s="147">
        <v>1</v>
      </c>
      <c r="L7" s="147">
        <v>0</v>
      </c>
      <c r="M7" s="81">
        <v>13</v>
      </c>
    </row>
    <row r="8" spans="1:13" ht="12.75">
      <c r="A8" s="82" t="s">
        <v>45</v>
      </c>
      <c r="B8" s="148">
        <v>3.916666666686069</v>
      </c>
      <c r="C8" s="149">
        <v>6.650000000023283</v>
      </c>
      <c r="D8" s="149">
        <v>1.5166666665463708</v>
      </c>
      <c r="E8" s="149">
        <v>3.4166666668024845</v>
      </c>
      <c r="F8" s="149">
        <v>4.183333333348855</v>
      </c>
      <c r="G8" s="149">
        <v>2.3999999999650754</v>
      </c>
      <c r="H8" s="149">
        <v>1.5</v>
      </c>
      <c r="I8" s="149">
        <v>0.7166666667326353</v>
      </c>
      <c r="J8" s="149">
        <v>3.0666666667093523</v>
      </c>
      <c r="K8" s="149">
        <v>4.516666666546371</v>
      </c>
      <c r="L8" s="149">
        <v>0.7833333332673647</v>
      </c>
      <c r="M8" s="83">
        <v>32.66666666662786</v>
      </c>
    </row>
    <row r="12" ht="13.5" thickBot="1"/>
    <row r="13" spans="2:21" ht="12.75">
      <c r="B13" s="85" t="s">
        <v>38</v>
      </c>
      <c r="C13" s="86" t="s">
        <v>46</v>
      </c>
      <c r="D13" s="86" t="s">
        <v>36</v>
      </c>
      <c r="E13" s="86" t="s">
        <v>47</v>
      </c>
      <c r="F13" s="86" t="s">
        <v>48</v>
      </c>
      <c r="G13" s="86" t="s">
        <v>49</v>
      </c>
      <c r="H13" s="86" t="s">
        <v>50</v>
      </c>
      <c r="I13" s="86" t="s">
        <v>51</v>
      </c>
      <c r="J13" s="86" t="s">
        <v>52</v>
      </c>
      <c r="K13" s="86" t="s">
        <v>53</v>
      </c>
      <c r="L13" s="86" t="s">
        <v>54</v>
      </c>
      <c r="M13" s="86" t="s">
        <v>107</v>
      </c>
      <c r="N13" s="86" t="s">
        <v>55</v>
      </c>
      <c r="O13" s="86" t="s">
        <v>56</v>
      </c>
      <c r="P13" s="86" t="s">
        <v>57</v>
      </c>
      <c r="Q13" s="86" t="s">
        <v>58</v>
      </c>
      <c r="R13" s="86" t="s">
        <v>39</v>
      </c>
      <c r="S13" s="87" t="s">
        <v>59</v>
      </c>
      <c r="T13" s="87" t="s">
        <v>40</v>
      </c>
      <c r="U13" s="88" t="s">
        <v>60</v>
      </c>
    </row>
    <row r="14" spans="1:21" s="95" customFormat="1" ht="12.75" hidden="1">
      <c r="A14" s="89" t="s">
        <v>62</v>
      </c>
      <c r="B14" s="92">
        <f>GETPIVOTDATA("Sum of System
Length",$A$3,"Group","RF")</f>
        <v>4.183333333348855</v>
      </c>
      <c r="C14" s="92">
        <f>GETPIVOTDATA("Sum of System
Length",$A$3,"Group","DIA")</f>
        <v>0.7833333332673647</v>
      </c>
      <c r="D14" s="92">
        <f>GETPIVOTDATA("Sum of System
Length",$A$3,"Group","PS")</f>
        <v>3.4166666668024845</v>
      </c>
      <c r="E14" s="92">
        <f>GETPIVOTDATA("Sum of System
Length",$A$3,"Group","CTL")</f>
        <v>3.916666666686069</v>
      </c>
      <c r="F14" s="92">
        <f>GETPIVOTDATA("Sum of System
Length",$A$3,"Group","SI")</f>
        <v>3.0666666667093523</v>
      </c>
      <c r="G14" s="92"/>
      <c r="H14" s="92"/>
      <c r="I14" s="92"/>
      <c r="J14" s="92"/>
      <c r="K14" s="92">
        <f>GETPIVOTDATA("Sum of System
Length",$A$3,"Group","OAG")</f>
        <v>6.650000000023283</v>
      </c>
      <c r="L14" s="92"/>
      <c r="M14" s="92">
        <f>GETPIVOTDATA("Sum of System
Length",$A$3,"Group","IT")</f>
        <v>4.516666666546371</v>
      </c>
      <c r="N14" s="92"/>
      <c r="O14" s="92"/>
      <c r="P14" s="92">
        <f>GETPIVOTDATA("Sum of System
Length",$A$3,"Group","Other")</f>
        <v>1.5166666665463708</v>
      </c>
      <c r="Q14" s="92"/>
      <c r="R14" s="92">
        <f>SUM(GETPIVOTDATA("Sum of System
Length",$A$3,"Group","Other"),GETPIVOTDATA("Sum of System
Length",$A$3,"Group","EOS"))</f>
        <v>2.233333333279006</v>
      </c>
      <c r="S14" s="93">
        <f>GETPIVOTDATA("Sum of System
Length",$A$3,"Group","UNK")</f>
        <v>2.3999999999650754</v>
      </c>
      <c r="T14" s="93">
        <f>SUM(B14:S14)</f>
        <v>32.68333333317423</v>
      </c>
      <c r="U14" s="94"/>
    </row>
    <row r="15" spans="1:22" s="95" customFormat="1" ht="12.75">
      <c r="A15" s="89" t="s">
        <v>106</v>
      </c>
      <c r="B15" s="98">
        <f>IF(B14,SUM(B14/B24),"")</f>
        <v>0.0025277447682825567</v>
      </c>
      <c r="C15" s="98">
        <f>IF(C14,SUM(C14/B24),"")</f>
        <v>0.00047332272549336344</v>
      </c>
      <c r="D15" s="98">
        <f>IF(D14,SUM(D14/B24),"")</f>
        <v>0.002064492739109961</v>
      </c>
      <c r="E15" s="98">
        <f>IF(E14,SUM(E14/B24),"")</f>
        <v>0.0023666136276778464</v>
      </c>
      <c r="F15" s="98">
        <f>IF(F14,SUM(F14/B24),"")</f>
        <v>0.0018530081170069267</v>
      </c>
      <c r="G15" s="98">
        <f>IF(G14,SUM(G14/B24),"")</f>
      </c>
      <c r="H15" s="98">
        <f>IF(H14,SUM(H14/B24),"")</f>
      </c>
      <c r="I15" s="98">
        <f>IF(I14,SUM(I14/B24),"")</f>
      </c>
      <c r="J15" s="98">
        <f>IF(J14,SUM(J14/B24),"")</f>
      </c>
      <c r="K15" s="98">
        <f>IF(K14,SUM(K14/B24),"")</f>
        <v>0.004018207818902507</v>
      </c>
      <c r="L15" s="98">
        <f>IF(L14,SUM(L14/B24),"")</f>
      </c>
      <c r="M15" s="98">
        <f>IF(M14,SUM(M14/B24),"")</f>
        <v>0.0027291586939593086</v>
      </c>
      <c r="N15" s="98">
        <f>IF(N14,SUM(N14/B24),"")</f>
      </c>
      <c r="O15" s="98">
        <f>IF(O14,SUM(O14/B24),"")</f>
      </c>
      <c r="P15" s="98">
        <f>IF(P14,SUM(P14/B24),"")</f>
        <v>0.0009164333621299384</v>
      </c>
      <c r="Q15" s="98">
        <f>IF(Q14,SUM(Q14/B24),"")</f>
      </c>
      <c r="R15" s="98">
        <f>IF(R14,SUM(R14/B24),"")</f>
        <v>0.0013494733025512602</v>
      </c>
      <c r="S15" s="98">
        <f>IF(S14,SUM(S14/B24),"")</f>
        <v>0.0014501802654423935</v>
      </c>
      <c r="T15" s="98">
        <f>IF(T14,SUM(T14/B24),"")</f>
        <v>0.019748635420556063</v>
      </c>
      <c r="U15" s="92">
        <f>IF(U14,SUM(U14/O13),"")</f>
      </c>
      <c r="V15" s="97">
        <f>IF(V14,SUM(V14/O13),"")</f>
      </c>
    </row>
    <row r="16" spans="1:21" ht="12.75">
      <c r="A16" s="89" t="s">
        <v>61</v>
      </c>
      <c r="B16" s="90">
        <v>0.009</v>
      </c>
      <c r="C16" s="90">
        <v>0.002</v>
      </c>
      <c r="D16" s="90">
        <v>0.009</v>
      </c>
      <c r="E16" s="90">
        <v>0.005</v>
      </c>
      <c r="F16" s="90">
        <v>0.001</v>
      </c>
      <c r="G16" s="90">
        <v>0.001</v>
      </c>
      <c r="H16" s="90">
        <v>0.001</v>
      </c>
      <c r="I16" s="90">
        <v>0.003</v>
      </c>
      <c r="J16" s="90">
        <v>0.003</v>
      </c>
      <c r="K16" s="90">
        <v>0.002</v>
      </c>
      <c r="L16" s="90">
        <v>0</v>
      </c>
      <c r="M16" s="90">
        <v>0.002</v>
      </c>
      <c r="N16" s="90">
        <v>0.001</v>
      </c>
      <c r="O16" s="90">
        <v>0.001</v>
      </c>
      <c r="P16" s="90">
        <v>0.003</v>
      </c>
      <c r="Q16" s="90">
        <v>0.001</v>
      </c>
      <c r="R16" s="90">
        <v>0.003</v>
      </c>
      <c r="S16" s="90">
        <v>0.001</v>
      </c>
      <c r="T16" s="90">
        <v>0.04600000000000001</v>
      </c>
      <c r="U16" s="91"/>
    </row>
    <row r="18" spans="1:20" ht="13.5" thickBot="1">
      <c r="A18" s="99" t="s">
        <v>63</v>
      </c>
      <c r="B18">
        <f>GETPIVOTDATA("Sum of Store Lost",$A$3,"Group","RF")</f>
        <v>4</v>
      </c>
      <c r="C18">
        <f>GETPIVOTDATA("Sum of Store Lost",$A$3,"Group","DIA")</f>
        <v>0</v>
      </c>
      <c r="D18">
        <f>GETPIVOTDATA("Sum of Store Lost",$A$3,"Group","PS")</f>
        <v>1</v>
      </c>
      <c r="E18">
        <f>GETPIVOTDATA("Sum of Store Lost",$A$3,"Group","CTL")</f>
        <v>2</v>
      </c>
      <c r="F18">
        <f>GETPIVOTDATA("Sum of Store Lost",$A$3,"Group","SI")</f>
        <v>1</v>
      </c>
      <c r="K18">
        <f>GETPIVOTDATA("Sum of Store Lost",$A$3,"Group","OAG")</f>
        <v>1</v>
      </c>
      <c r="M18">
        <f>GETPIVOTDATA("Sum of Store Lost",$A$3,"Group","SI")</f>
        <v>1</v>
      </c>
      <c r="Q18">
        <f>SUM(GETPIVOTDATA("Sum of Store Lost",$A$3,"Group","Other"),GETPIVOTDATA("Sum of Store Lost",$A$3,"Group","EOS"))</f>
        <v>3</v>
      </c>
      <c r="S18">
        <f>GETPIVOTDATA("Sum of Store Lost",$A$3,"Group","UNK")</f>
        <v>0</v>
      </c>
      <c r="T18" s="93">
        <f>SUM(B18:S18)</f>
        <v>13</v>
      </c>
    </row>
    <row r="19" spans="2:20" ht="12.75">
      <c r="B19" s="85" t="s">
        <v>38</v>
      </c>
      <c r="C19" s="86" t="s">
        <v>46</v>
      </c>
      <c r="D19" s="86" t="s">
        <v>36</v>
      </c>
      <c r="E19" s="86" t="s">
        <v>47</v>
      </c>
      <c r="F19" s="86" t="s">
        <v>48</v>
      </c>
      <c r="G19" s="86" t="s">
        <v>49</v>
      </c>
      <c r="H19" s="86" t="s">
        <v>50</v>
      </c>
      <c r="I19" s="86" t="s">
        <v>51</v>
      </c>
      <c r="J19" s="86" t="s">
        <v>52</v>
      </c>
      <c r="K19" s="86" t="s">
        <v>53</v>
      </c>
      <c r="L19" s="86" t="s">
        <v>54</v>
      </c>
      <c r="M19" s="86" t="s">
        <v>107</v>
      </c>
      <c r="N19" s="86" t="s">
        <v>55</v>
      </c>
      <c r="O19" s="86" t="s">
        <v>56</v>
      </c>
      <c r="P19" s="86" t="s">
        <v>57</v>
      </c>
      <c r="Q19" s="86" t="s">
        <v>58</v>
      </c>
      <c r="R19" s="86" t="s">
        <v>39</v>
      </c>
      <c r="S19" s="87" t="s">
        <v>59</v>
      </c>
      <c r="T19" s="93"/>
    </row>
    <row r="20" spans="1:20" ht="12.75">
      <c r="A20" s="89" t="s">
        <v>106</v>
      </c>
      <c r="B20" s="102">
        <f aca="true" t="shared" si="0" ref="B20:K20">B18/($B23/24)</f>
        <v>0.058983154984388726</v>
      </c>
      <c r="C20" s="102">
        <f t="shared" si="0"/>
        <v>0</v>
      </c>
      <c r="D20" s="102">
        <f t="shared" si="0"/>
        <v>0.014745788746097182</v>
      </c>
      <c r="E20" s="102">
        <f t="shared" si="0"/>
        <v>0.029491577492194363</v>
      </c>
      <c r="F20" s="102">
        <f t="shared" si="0"/>
        <v>0.014745788746097182</v>
      </c>
      <c r="G20" s="102">
        <f t="shared" si="0"/>
        <v>0</v>
      </c>
      <c r="H20" s="102">
        <f t="shared" si="0"/>
        <v>0</v>
      </c>
      <c r="I20" s="102">
        <f t="shared" si="0"/>
        <v>0</v>
      </c>
      <c r="J20" s="102">
        <f t="shared" si="0"/>
        <v>0</v>
      </c>
      <c r="K20" s="102">
        <f t="shared" si="0"/>
        <v>0.014745788746097182</v>
      </c>
      <c r="L20" s="103"/>
      <c r="M20" s="102">
        <f>M18/($B23/24)</f>
        <v>0.014745788746097182</v>
      </c>
      <c r="N20" s="102">
        <f>N18/($B23/24)</f>
        <v>0</v>
      </c>
      <c r="O20" s="103"/>
      <c r="P20" s="102">
        <f>P18/($B23/24)</f>
        <v>0</v>
      </c>
      <c r="Q20" s="103"/>
      <c r="R20" s="103"/>
      <c r="S20" s="102">
        <f>S18/($B23/24)</f>
        <v>0</v>
      </c>
      <c r="T20" s="102">
        <f>T18/($B23/24)</f>
        <v>0.19169525369926335</v>
      </c>
    </row>
    <row r="21" spans="1:21" ht="12.75">
      <c r="A21" s="100" t="s">
        <v>61</v>
      </c>
      <c r="B21" s="101">
        <v>0.12</v>
      </c>
      <c r="C21" s="101">
        <v>0.03</v>
      </c>
      <c r="D21" s="101">
        <v>0.1</v>
      </c>
      <c r="E21" s="101">
        <v>0.05</v>
      </c>
      <c r="F21" s="101">
        <v>0.01</v>
      </c>
      <c r="G21" s="101">
        <v>0.01</v>
      </c>
      <c r="H21" s="101">
        <v>0.02</v>
      </c>
      <c r="I21" s="101">
        <v>0.05</v>
      </c>
      <c r="J21" s="101">
        <v>0.01</v>
      </c>
      <c r="K21" s="101">
        <v>0.02</v>
      </c>
      <c r="L21" s="96">
        <v>0</v>
      </c>
      <c r="M21" s="96">
        <v>0.01</v>
      </c>
      <c r="N21" s="96">
        <v>0.01</v>
      </c>
      <c r="O21" s="96">
        <v>0.01</v>
      </c>
      <c r="P21" s="96">
        <v>0.01</v>
      </c>
      <c r="Q21" s="96">
        <v>0.01</v>
      </c>
      <c r="R21" s="96">
        <v>0.02</v>
      </c>
      <c r="S21" s="96">
        <v>0.02</v>
      </c>
      <c r="T21" s="96">
        <f>SUM(B21:S21)</f>
        <v>0.5100000000000001</v>
      </c>
      <c r="U21" s="84"/>
    </row>
    <row r="23" spans="1:2" ht="12.75">
      <c r="A23" s="12" t="s">
        <v>11</v>
      </c>
      <c r="B23" s="95">
        <f>'Main Data'!D68</f>
        <v>1627.5833333331975</v>
      </c>
    </row>
    <row r="24" spans="1:2" ht="12.75">
      <c r="A24" s="104" t="s">
        <v>13</v>
      </c>
      <c r="B24" s="96">
        <f>'Main Data'!D70</f>
        <v>1654.9666666667326</v>
      </c>
    </row>
    <row r="28" ht="12.75">
      <c r="A28" s="7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8">
      <selection activeCell="V67" sqref="V6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3">
      <selection activeCell="T66" sqref="T6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2005-04-21T12:54:46Z</cp:lastPrinted>
  <dcterms:created xsi:type="dcterms:W3CDTF">1998-01-15T00:06:45Z</dcterms:created>
  <dcterms:modified xsi:type="dcterms:W3CDTF">2007-12-04T14:51:27Z</dcterms:modified>
  <cp:category>Downtime</cp:category>
  <cp:version/>
  <cp:contentType/>
  <cp:contentStatus/>
</cp:coreProperties>
</file>