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225" windowWidth="15150" windowHeight="990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<sst xmlns="http://schemas.openxmlformats.org/spreadsheetml/2006/main" count="269" uniqueCount="199">
  <si>
    <t>Commodity CPU</t>
  </si>
  <si>
    <t>$/Si95</t>
  </si>
  <si>
    <t>SMP CPU</t>
  </si>
  <si>
    <t>Commodity Disks</t>
  </si>
  <si>
    <t>$/GB</t>
  </si>
  <si>
    <t>Data Center Disks</t>
  </si>
  <si>
    <t>Tapes</t>
  </si>
  <si>
    <t>$/TB</t>
  </si>
  <si>
    <t>Tape Drives</t>
  </si>
  <si>
    <t>$/MB/s</t>
  </si>
  <si>
    <t>Total Capability</t>
  </si>
  <si>
    <t>Efficiency Factor</t>
  </si>
  <si>
    <t>#boxes</t>
  </si>
  <si>
    <t>Hardware Infrastructure costs</t>
  </si>
  <si>
    <t>disk</t>
  </si>
  <si>
    <t>Total</t>
  </si>
  <si>
    <t>Operations</t>
  </si>
  <si>
    <t>online disk</t>
  </si>
  <si>
    <t>(comm)</t>
  </si>
  <si>
    <t>Tape Media</t>
  </si>
  <si>
    <t>Robotics</t>
  </si>
  <si>
    <t>$80/slot</t>
  </si>
  <si>
    <t>Video Rooms</t>
  </si>
  <si>
    <t>total</t>
  </si>
  <si>
    <t>Cost/room</t>
  </si>
  <si>
    <t>Web Servers</t>
  </si>
  <si>
    <t>$/server</t>
  </si>
  <si>
    <t>desktop/port</t>
  </si>
  <si>
    <t>central sys</t>
  </si>
  <si>
    <t>$/port</t>
  </si>
  <si>
    <t>#desktops</t>
  </si>
  <si>
    <t>#ports</t>
  </si>
  <si>
    <t>Switch Fabric</t>
  </si>
  <si>
    <t>CMS Core</t>
  </si>
  <si>
    <t>Offsite Access H/w</t>
  </si>
  <si>
    <t>Leased Line Cost</t>
  </si>
  <si>
    <t>Grid Network Support</t>
  </si>
  <si>
    <t>Network Security Hardware</t>
  </si>
  <si>
    <t>Grid security</t>
  </si>
  <si>
    <t>support servers</t>
  </si>
  <si>
    <t>s/w&amp;h/w</t>
  </si>
  <si>
    <t>GRID WAN perf</t>
  </si>
  <si>
    <t>Monitor servers</t>
  </si>
  <si>
    <t>hardware</t>
  </si>
  <si>
    <t>$/box</t>
  </si>
  <si>
    <t>For T1/T2</t>
  </si>
  <si>
    <t>#boxes(cheap)</t>
  </si>
  <si>
    <t>$/box + int</t>
  </si>
  <si>
    <t>Intensive Computing</t>
  </si>
  <si>
    <t>and Dist. Servers</t>
  </si>
  <si>
    <t>$/TB disk</t>
  </si>
  <si>
    <t>50%/50%</t>
  </si>
  <si>
    <t>#TB</t>
  </si>
  <si>
    <t>$/drive</t>
  </si>
  <si>
    <t>integration</t>
  </si>
  <si>
    <t>Function RC</t>
  </si>
  <si>
    <t>Totals By L3 WBS</t>
  </si>
  <si>
    <t>2007OPS</t>
  </si>
  <si>
    <t>1.3 O&amp;M</t>
  </si>
  <si>
    <t>Total Networking</t>
  </si>
  <si>
    <t xml:space="preserve">Total </t>
  </si>
  <si>
    <t>1.8.1</t>
  </si>
  <si>
    <t>Total Cost/</t>
  </si>
  <si>
    <t>Year</t>
  </si>
  <si>
    <t>Overhead</t>
  </si>
  <si>
    <t>Total w/oh</t>
  </si>
  <si>
    <t>1.4 Tier 2 Regional Centers</t>
  </si>
  <si>
    <t>1.5 Networking</t>
  </si>
  <si>
    <t>1.5.1 Onsite Networking</t>
  </si>
  <si>
    <t>1.5.2 Offsite Networking</t>
  </si>
  <si>
    <t>1.5.3 Network Security</t>
  </si>
  <si>
    <t>1.5.4 Network Performance Monitoring</t>
  </si>
  <si>
    <t>1.6.1 Distributed Data and Computing Testbeds</t>
  </si>
  <si>
    <t>1.6.2 R&amp;D in H/W</t>
  </si>
  <si>
    <t>1.6.2.2.1 Data Intensive Computing</t>
  </si>
  <si>
    <t xml:space="preserve">1.6.2.2.2 CPU </t>
  </si>
  <si>
    <t>1.6.2.2.3 Data Access</t>
  </si>
  <si>
    <t>1.6.2 Total</t>
  </si>
  <si>
    <t>1.6.3 Prototype Fully</t>
  </si>
  <si>
    <t xml:space="preserve">1.7 Construction </t>
  </si>
  <si>
    <t>Phase</t>
  </si>
  <si>
    <t>1.7.1 Computing</t>
  </si>
  <si>
    <t>1.7.2 Data Storage</t>
  </si>
  <si>
    <t># new tapes</t>
  </si>
  <si>
    <t># new drives</t>
  </si>
  <si>
    <t>#slots</t>
  </si>
  <si>
    <t>$/tape</t>
  </si>
  <si>
    <t>$/slot(Main)</t>
  </si>
  <si>
    <t>costs</t>
  </si>
  <si>
    <t>tape</t>
  </si>
  <si>
    <t>drives</t>
  </si>
  <si>
    <t>maint</t>
  </si>
  <si>
    <t>1.7.3 Network</t>
  </si>
  <si>
    <t>Interchange</t>
  </si>
  <si>
    <t>1.7.4 Tape in/out</t>
  </si>
  <si>
    <t>R&amp;D</t>
  </si>
  <si>
    <t>1.8 FNAL Computing</t>
  </si>
  <si>
    <t>1.8.1.1.2 Host Server</t>
  </si>
  <si>
    <t>Full System</t>
  </si>
  <si>
    <t>1.8.1.1.3 Backup</t>
  </si>
  <si>
    <t>1.8.1.3 User data backup</t>
  </si>
  <si>
    <t>1.8.2 Remote CR</t>
  </si>
  <si>
    <t>1.1.1 Development and Test Systems</t>
  </si>
  <si>
    <t>1.1.2 Simulation and Reconstruction systems</t>
  </si>
  <si>
    <t>1.1.3 Analysis Systems</t>
  </si>
  <si>
    <t>1.1.4 Data Access and Distribution Servers</t>
  </si>
  <si>
    <t>1.1.5 Calibration and Non-Event DB Servers</t>
  </si>
  <si>
    <t>1.1.6 Data Storage Systems</t>
  </si>
  <si>
    <t>1.1.7 Data Import/Export</t>
  </si>
  <si>
    <t>Total/Year</t>
  </si>
  <si>
    <t>1.1.2 Simulation and Reconstruction Systems</t>
  </si>
  <si>
    <t>1.1.5 Calibration and Non-Event Database Servers</t>
  </si>
  <si>
    <t>1.1.7 Serial Media Copy and Distribution</t>
  </si>
  <si>
    <t>1.1.1 Development and Test Stands</t>
  </si>
  <si>
    <t>1.2.2 Video Conferencing</t>
  </si>
  <si>
    <t>1.2 System and User Support</t>
  </si>
  <si>
    <t>1.3.2.1 Video Conference Rooms</t>
  </si>
  <si>
    <t>1.4 T2 Regional Centers</t>
  </si>
  <si>
    <t>1.1 T1 Regional Center</t>
  </si>
  <si>
    <t>1.5.1 Onsite network infrastructure</t>
  </si>
  <si>
    <t>1.5.2 Offsite network support</t>
  </si>
  <si>
    <t>1.5.3 Network security</t>
  </si>
  <si>
    <t>1.5.4 Network performance monitoring</t>
  </si>
  <si>
    <t>1.6 Computing and Software R&amp;D</t>
  </si>
  <si>
    <t>1.6.1 Distributed Data &amp; Computing testbeds</t>
  </si>
  <si>
    <t>1.6.2 R&amp;D in Computing Hardware for T1/T2</t>
  </si>
  <si>
    <t>1.6.3 Prototype Fully Functional RC</t>
  </si>
  <si>
    <t>1.6.7 Data Import/Export</t>
  </si>
  <si>
    <t>1.6.7 Data in/out</t>
  </si>
  <si>
    <t>1.7 Detector Construction Phase Computing</t>
  </si>
  <si>
    <t>1.8 Support for FNAL based computing</t>
  </si>
  <si>
    <t>1.8.1 Desktop Machines</t>
  </si>
  <si>
    <t>1.8.2 Remote Control Room</t>
  </si>
  <si>
    <t>1.7.1 CMS computing facility</t>
  </si>
  <si>
    <t>1.7.2 Data Storage System</t>
  </si>
  <si>
    <t>1.7.3 Network based file interchange</t>
  </si>
  <si>
    <t>1.7.4 Tape Import/Export</t>
  </si>
  <si>
    <t>1.1.1.1 Modular Test Stands</t>
  </si>
  <si>
    <t>1.1.1.2 Integration Test Stand</t>
  </si>
  <si>
    <t>These costs are a wild guess</t>
  </si>
  <si>
    <t>Also a wild guess</t>
  </si>
  <si>
    <t>These are upgrades to</t>
  </si>
  <si>
    <t>the fully functional RC</t>
  </si>
  <si>
    <t>to use as s/w, h/w devel and test stand</t>
  </si>
  <si>
    <t>Maintenance</t>
  </si>
  <si>
    <t>$/slot</t>
  </si>
  <si>
    <t>1.1.7.1 Tape Import/Export</t>
  </si>
  <si>
    <t>#tapes in/out</t>
  </si>
  <si>
    <t>per year</t>
  </si>
  <si>
    <t>60 TB/300GB/tape</t>
  </si>
  <si>
    <t>Maintenance of AML/J</t>
  </si>
  <si>
    <t>$75/tape</t>
  </si>
  <si>
    <t>Refitting AML/J, drives, etc</t>
  </si>
  <si>
    <t>Media</t>
  </si>
  <si>
    <t>$/tapes</t>
  </si>
  <si>
    <t># tapes</t>
  </si>
  <si>
    <t>#drives</t>
  </si>
  <si>
    <t>cost/drive</t>
  </si>
  <si>
    <t>See info from Don</t>
  </si>
  <si>
    <t>Center 1</t>
  </si>
  <si>
    <t>$/center</t>
  </si>
  <si>
    <t>Center 2</t>
  </si>
  <si>
    <t>Center 3</t>
  </si>
  <si>
    <t>Center 4</t>
  </si>
  <si>
    <t>Center 5</t>
  </si>
  <si>
    <t>%</t>
  </si>
  <si>
    <t>$</t>
  </si>
  <si>
    <t>Funding counter proposal by DOE/NSF</t>
  </si>
  <si>
    <t>User Facility People Costs</t>
  </si>
  <si>
    <t>CAS People and costs</t>
  </si>
  <si>
    <t>Totally encumbered salary/year</t>
  </si>
  <si>
    <t>Escalation factor/year</t>
  </si>
  <si>
    <t>Escalation/year</t>
  </si>
  <si>
    <t>Total with escalation</t>
  </si>
  <si>
    <t>NSF funding profile</t>
  </si>
  <si>
    <t>Total from Funding Agencies</t>
  </si>
  <si>
    <t>Management reserve</t>
  </si>
  <si>
    <t>Management Reserve (Personnel)</t>
  </si>
  <si>
    <t>UF Personnel Reserve</t>
  </si>
  <si>
    <t>Networking costs</t>
  </si>
  <si>
    <t>Total w/o networking</t>
  </si>
  <si>
    <t>CAS</t>
  </si>
  <si>
    <t>Mgmt res.</t>
  </si>
  <si>
    <t>CAS total</t>
  </si>
  <si>
    <t>CAS from Lucas</t>
  </si>
  <si>
    <t>Total wo Tier2</t>
  </si>
  <si>
    <t>Total w/oh wo Tier2</t>
  </si>
  <si>
    <t>1/3 CAS</t>
  </si>
  <si>
    <t>2/3 CAS</t>
  </si>
  <si>
    <t>(UF + CAS) FTE</t>
  </si>
  <si>
    <t>(UF+ 1/3CAS) FTE</t>
  </si>
  <si>
    <t>Tier 2</t>
  </si>
  <si>
    <t>without Tier2</t>
  </si>
  <si>
    <t>at Tier2</t>
  </si>
  <si>
    <t>Tier2 wo Networking</t>
  </si>
  <si>
    <t>Tier2 networking</t>
  </si>
  <si>
    <t>Funds - Requests: All</t>
  </si>
  <si>
    <t>Funds - Requests: NSF</t>
  </si>
  <si>
    <t>Funds - Requests: DOE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</si>
</sst>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mmmmm"/>
    <numFmt numFmtId="166" formatCode="\200\1"/>
    <numFmt numFmtId="167" formatCode="\2000"/>
  </numFmts>
  <fonts count="11">
    <font>
      <sz val="10"/>
      <name val="Arial"/>
      <family val="0"/>
    </font>
    <font>
      <b/>
      <sz val="10"/>
      <name val="Arial"/>
      <family val="0"/>
    </font>
    <font>
      <b/>
      <sz val="10.75"/>
      <name val="Arial"/>
      <family val="0"/>
    </font>
    <font>
      <b/>
      <sz val="12"/>
      <name val="Arial"/>
      <family val="0"/>
    </font>
    <font>
      <sz val="10.7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2"/>
      <color indexed="48"/>
      <name val="Arial"/>
      <family val="2"/>
    </font>
    <font>
      <sz val="10"/>
      <color indexed="37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1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User Facility Hardware Cost by Year</a:t>
            </a:r>
          </a:p>
        </c:rich>
      </c:tx>
      <c:layout>
        <c:manualLayout>
          <c:xMode val="factor"/>
          <c:yMode val="factor"/>
          <c:x val="-0.002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26125"/>
          <c:w val="0.75725"/>
          <c:h val="0.622"/>
        </c:manualLayout>
      </c:layout>
      <c:areaChart>
        <c:grouping val="stacked"/>
        <c:varyColors val="0"/>
        <c:ser>
          <c:idx val="0"/>
          <c:order val="0"/>
          <c:tx>
            <c:v>Total Hardware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Sheet1!$G$97:$M$97</c:f>
              <c:numCache>
                <c:ptCount val="7"/>
                <c:pt idx="0">
                  <c:v>1134163.9</c:v>
                </c:pt>
                <c:pt idx="1">
                  <c:v>2130851.0812878045</c:v>
                </c:pt>
                <c:pt idx="2">
                  <c:v>2087958.2060158956</c:v>
                </c:pt>
                <c:pt idx="3">
                  <c:v>4926639.369518329</c:v>
                </c:pt>
                <c:pt idx="4">
                  <c:v>4736423.282209146</c:v>
                </c:pt>
                <c:pt idx="5">
                  <c:v>6074439.027634293</c:v>
                </c:pt>
                <c:pt idx="6">
                  <c:v>5931767.035398926</c:v>
                </c:pt>
              </c:numCache>
            </c:numRef>
          </c:val>
        </c:ser>
        <c:axId val="61567167"/>
        <c:axId val="17233592"/>
      </c:areaChart>
      <c:catAx>
        <c:axId val="61567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2000" sourceLinked="0"/>
        <c:majorTickMark val="out"/>
        <c:minorTickMark val="none"/>
        <c:tickLblPos val="nextTo"/>
        <c:crossAx val="17233592"/>
        <c:crosses val="autoZero"/>
        <c:auto val="1"/>
        <c:lblOffset val="100"/>
        <c:noMultiLvlLbl val="0"/>
      </c:catAx>
      <c:valAx>
        <c:axId val="17233592"/>
        <c:scaling>
          <c:orientation val="minMax"/>
          <c:max val="8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in Thousands of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67167"/>
        <c:crossesAt val="1"/>
        <c:crossBetween val="midCat"/>
        <c:dispUnits>
          <c:builtInUnit val="thousands"/>
        </c:dispUnits>
      </c:valAx>
      <c:spPr>
        <a:solidFill>
          <a:srgbClr val="C0C0C0"/>
        </a:solidFill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Sheet1!$G$104:$M$104</c:f>
              <c:numCache>
                <c:ptCount val="7"/>
                <c:pt idx="0">
                  <c:v>-1610163.9000000004</c:v>
                </c:pt>
                <c:pt idx="1">
                  <c:v>-2785215.081287805</c:v>
                </c:pt>
                <c:pt idx="2">
                  <c:v>-2119490.8060158957</c:v>
                </c:pt>
                <c:pt idx="3">
                  <c:v>-4593025.331318328</c:v>
                </c:pt>
                <c:pt idx="4">
                  <c:v>-1017094.8411091454</c:v>
                </c:pt>
                <c:pt idx="5">
                  <c:v>142578.26201866567</c:v>
                </c:pt>
                <c:pt idx="6">
                  <c:v>361813.35121710226</c:v>
                </c:pt>
              </c:numCache>
            </c:numRef>
          </c:val>
          <c:smooth val="0"/>
        </c:ser>
        <c:ser>
          <c:idx val="1"/>
          <c:order val="1"/>
          <c:tx>
            <c:v>DOE part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Sheet1!$G$105:$M$105</c:f>
              <c:numCache>
                <c:ptCount val="7"/>
                <c:pt idx="0">
                  <c:v>-1091097.2333333334</c:v>
                </c:pt>
                <c:pt idx="1">
                  <c:v>-1808275.8879544716</c:v>
                </c:pt>
                <c:pt idx="2">
                  <c:v>-1409544.8204158954</c:v>
                </c:pt>
                <c:pt idx="3">
                  <c:v>-3109318.7655316647</c:v>
                </c:pt>
                <c:pt idx="4">
                  <c:v>-540776.7270784415</c:v>
                </c:pt>
                <c:pt idx="5">
                  <c:v>1373753.6963194516</c:v>
                </c:pt>
                <c:pt idx="6">
                  <c:v>1423260.6275737006</c:v>
                </c:pt>
              </c:numCache>
            </c:numRef>
          </c:val>
          <c:smooth val="0"/>
        </c:ser>
        <c:ser>
          <c:idx val="2"/>
          <c:order val="2"/>
          <c:tx>
            <c:v>NSF part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Sheet1!$G$106:$M$106</c:f>
              <c:numCache>
                <c:ptCount val="7"/>
                <c:pt idx="0">
                  <c:v>-519066.6666666665</c:v>
                </c:pt>
                <c:pt idx="1">
                  <c:v>-976939.1933333334</c:v>
                </c:pt>
                <c:pt idx="2">
                  <c:v>-709945.9856000002</c:v>
                </c:pt>
                <c:pt idx="3">
                  <c:v>-1483706.5657866653</c:v>
                </c:pt>
                <c:pt idx="4">
                  <c:v>-476318.11403070576</c:v>
                </c:pt>
                <c:pt idx="5">
                  <c:v>-1231175.434300786</c:v>
                </c:pt>
                <c:pt idx="6">
                  <c:v>-1061447.2763565993</c:v>
                </c:pt>
              </c:numCache>
            </c:numRef>
          </c:val>
          <c:smooth val="0"/>
        </c:ser>
        <c:axId val="42704291"/>
        <c:axId val="48794300"/>
      </c:lineChart>
      <c:catAx>
        <c:axId val="42704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48794300"/>
        <c:crosses val="autoZero"/>
        <c:auto val="1"/>
        <c:lblOffset val="100"/>
        <c:tickLblSkip val="1"/>
        <c:noMultiLvlLbl val="0"/>
      </c:catAx>
      <c:valAx>
        <c:axId val="48794300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4270429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of User Facility Hardware by SubCategory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45"/>
          <c:w val="0.608"/>
          <c:h val="0.72475"/>
        </c:manualLayout>
      </c:layout>
      <c:areaChart>
        <c:grouping val="stacked"/>
        <c:varyColors val="0"/>
        <c:ser>
          <c:idx val="0"/>
          <c:order val="0"/>
          <c:tx>
            <c:v>Tier 1 Regional Center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Sheet1!$G$17:$M$17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1046445.922041856</c:v>
                </c:pt>
                <c:pt idx="4">
                  <c:v>1217538.2153407624</c:v>
                </c:pt>
                <c:pt idx="5">
                  <c:v>1042407.8050245577</c:v>
                </c:pt>
                <c:pt idx="6">
                  <c:v>991501.8020826414</c:v>
                </c:pt>
              </c:numCache>
            </c:numRef>
          </c:val>
        </c:ser>
        <c:ser>
          <c:idx val="1"/>
          <c:order val="1"/>
          <c:tx>
            <c:v>System and User Support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Sheet1!$G$26:$M$26</c:f>
              <c:numCache>
                <c:ptCount val="7"/>
                <c:pt idx="0">
                  <c:v>0</c:v>
                </c:pt>
                <c:pt idx="1">
                  <c:v>25000</c:v>
                </c:pt>
                <c:pt idx="2">
                  <c:v>20000</c:v>
                </c:pt>
                <c:pt idx="3">
                  <c:v>0</c:v>
                </c:pt>
                <c:pt idx="4">
                  <c:v>30000</c:v>
                </c:pt>
                <c:pt idx="5">
                  <c:v>0</c:v>
                </c:pt>
                <c:pt idx="6">
                  <c:v>13300</c:v>
                </c:pt>
              </c:numCache>
            </c:numRef>
          </c:val>
        </c:ser>
        <c:ser>
          <c:idx val="2"/>
          <c:order val="2"/>
          <c:tx>
            <c:v>Ops and Infrastructure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Sheet1!$G$36:$M$36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3"/>
          <c:tx>
            <c:v>Networking for Tier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Sheet1!$G$61:$M$61</c:f>
              <c:numCache>
                <c:ptCount val="7"/>
                <c:pt idx="0">
                  <c:v>21250</c:v>
                </c:pt>
                <c:pt idx="1">
                  <c:v>22500</c:v>
                </c:pt>
                <c:pt idx="2">
                  <c:v>56250</c:v>
                </c:pt>
                <c:pt idx="3">
                  <c:v>436050</c:v>
                </c:pt>
                <c:pt idx="4">
                  <c:v>339600</c:v>
                </c:pt>
                <c:pt idx="5">
                  <c:v>343150</c:v>
                </c:pt>
                <c:pt idx="6">
                  <c:v>371266.6666666667</c:v>
                </c:pt>
              </c:numCache>
            </c:numRef>
          </c:val>
        </c:ser>
        <c:ser>
          <c:idx val="5"/>
          <c:order val="4"/>
          <c:tx>
            <c:v>S&amp;C R&amp;D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Sheet1!$G$69:$M$69</c:f>
              <c:numCache>
                <c:ptCount val="7"/>
                <c:pt idx="0">
                  <c:v>282500</c:v>
                </c:pt>
                <c:pt idx="1">
                  <c:v>522492.68292682926</c:v>
                </c:pt>
                <c:pt idx="2">
                  <c:v>427472.01492537314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6"/>
          <c:order val="5"/>
          <c:tx>
            <c:v>Const. Phase Computing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Sheet1!$G$78:$M$78</c:f>
              <c:numCache>
                <c:ptCount val="7"/>
                <c:pt idx="0">
                  <c:v>135500</c:v>
                </c:pt>
                <c:pt idx="1">
                  <c:v>34500</c:v>
                </c:pt>
                <c:pt idx="2">
                  <c:v>48500</c:v>
                </c:pt>
                <c:pt idx="3">
                  <c:v>6000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7"/>
          <c:order val="6"/>
          <c:tx>
            <c:v>FNAL based computing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Sheet1!$G$83:$M$83</c:f>
              <c:numCache>
                <c:ptCount val="7"/>
                <c:pt idx="0">
                  <c:v>10000</c:v>
                </c:pt>
                <c:pt idx="1">
                  <c:v>62000</c:v>
                </c:pt>
                <c:pt idx="2">
                  <c:v>15000</c:v>
                </c:pt>
                <c:pt idx="3">
                  <c:v>85000</c:v>
                </c:pt>
                <c:pt idx="4">
                  <c:v>105000</c:v>
                </c:pt>
                <c:pt idx="5">
                  <c:v>0</c:v>
                </c:pt>
                <c:pt idx="6">
                  <c:v>31750</c:v>
                </c:pt>
              </c:numCache>
            </c:numRef>
          </c:val>
        </c:ser>
        <c:ser>
          <c:idx val="3"/>
          <c:order val="7"/>
          <c:tx>
            <c:v>Tier 2 Regional Centers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Sheet1!$G$52:$M$52</c:f>
              <c:numCache>
                <c:ptCount val="7"/>
                <c:pt idx="0">
                  <c:v>500000</c:v>
                </c:pt>
                <c:pt idx="1">
                  <c:v>315000</c:v>
                </c:pt>
                <c:pt idx="2">
                  <c:v>180000</c:v>
                </c:pt>
                <c:pt idx="3">
                  <c:v>1000000</c:v>
                </c:pt>
                <c:pt idx="4">
                  <c:v>480000</c:v>
                </c:pt>
                <c:pt idx="5">
                  <c:v>1500000</c:v>
                </c:pt>
                <c:pt idx="6">
                  <c:v>1250000</c:v>
                </c:pt>
              </c:numCache>
            </c:numRef>
          </c:val>
        </c:ser>
        <c:ser>
          <c:idx val="8"/>
          <c:order val="8"/>
          <c:tx>
            <c:v>Networking for Tier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Sheet1!$G$50:$M$50</c:f>
              <c:numCache>
                <c:ptCount val="7"/>
                <c:pt idx="0">
                  <c:v>0</c:v>
                </c:pt>
                <c:pt idx="1">
                  <c:v>750000</c:v>
                </c:pt>
                <c:pt idx="2">
                  <c:v>900000</c:v>
                </c:pt>
                <c:pt idx="3">
                  <c:v>1200000</c:v>
                </c:pt>
                <c:pt idx="4">
                  <c:v>1350000</c:v>
                </c:pt>
                <c:pt idx="5">
                  <c:v>1500000</c:v>
                </c:pt>
                <c:pt idx="6">
                  <c:v>1500000</c:v>
                </c:pt>
              </c:numCache>
            </c:numRef>
          </c:val>
        </c:ser>
        <c:axId val="20884601"/>
        <c:axId val="53743682"/>
      </c:areaChart>
      <c:catAx>
        <c:axId val="20884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43682"/>
        <c:crosses val="autoZero"/>
        <c:auto val="1"/>
        <c:lblOffset val="100"/>
        <c:noMultiLvlLbl val="0"/>
      </c:catAx>
      <c:valAx>
        <c:axId val="53743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Cost in Thousand of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84601"/>
        <c:crossesAt val="1"/>
        <c:crossBetween val="midCat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"/>
          <c:y val="0.19925"/>
          <c:w val="0.30775"/>
          <c:h val="0.71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User Facility Costs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Hardware Costs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Sheet1!$G$97:$M$97</c:f>
              <c:numCache>
                <c:ptCount val="7"/>
                <c:pt idx="0">
                  <c:v>1134163.9</c:v>
                </c:pt>
                <c:pt idx="1">
                  <c:v>2130851.0812878045</c:v>
                </c:pt>
                <c:pt idx="2">
                  <c:v>2087958.2060158956</c:v>
                </c:pt>
                <c:pt idx="3">
                  <c:v>4926639.369518329</c:v>
                </c:pt>
                <c:pt idx="4">
                  <c:v>4736423.282209146</c:v>
                </c:pt>
                <c:pt idx="5">
                  <c:v>6074439.027634293</c:v>
                </c:pt>
                <c:pt idx="6">
                  <c:v>5931767.035398926</c:v>
                </c:pt>
              </c:numCache>
            </c:numRef>
          </c:val>
        </c:ser>
        <c:ser>
          <c:idx val="1"/>
          <c:order val="1"/>
          <c:tx>
            <c:v>Personnel Costs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Sheet1!$A$118:$G$118</c:f>
              <c:numCache>
                <c:ptCount val="7"/>
                <c:pt idx="0">
                  <c:v>1580000</c:v>
                </c:pt>
                <c:pt idx="1">
                  <c:v>2441100</c:v>
                </c:pt>
                <c:pt idx="2">
                  <c:v>3017199.6</c:v>
                </c:pt>
                <c:pt idx="3">
                  <c:v>5179525.98</c:v>
                </c:pt>
                <c:pt idx="4">
                  <c:v>6579724.503260001</c:v>
                </c:pt>
                <c:pt idx="5">
                  <c:v>7876108.060794201</c:v>
                </c:pt>
                <c:pt idx="6">
                  <c:v>7735070.776914863</c:v>
                </c:pt>
              </c:numCache>
            </c:numRef>
          </c:val>
        </c:ser>
        <c:axId val="13931091"/>
        <c:axId val="58270956"/>
      </c:areaChart>
      <c:catAx>
        <c:axId val="13931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70956"/>
        <c:crosses val="autoZero"/>
        <c:auto val="1"/>
        <c:lblOffset val="100"/>
        <c:noMultiLvlLbl val="0"/>
      </c:catAx>
      <c:valAx>
        <c:axId val="58270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in Thousands of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31091"/>
        <c:crossesAt val="1"/>
        <c:crossBetween val="midCat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S&amp;C Costs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User Facility Hardware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Sheet1!$G$97:$M$97</c:f>
              <c:numCache>
                <c:ptCount val="7"/>
                <c:pt idx="0">
                  <c:v>1134163.9</c:v>
                </c:pt>
                <c:pt idx="1">
                  <c:v>2130851.0812878045</c:v>
                </c:pt>
                <c:pt idx="2">
                  <c:v>2087958.2060158956</c:v>
                </c:pt>
                <c:pt idx="3">
                  <c:v>4926639.369518329</c:v>
                </c:pt>
                <c:pt idx="4">
                  <c:v>4736423.282209146</c:v>
                </c:pt>
                <c:pt idx="5">
                  <c:v>6074439.027634293</c:v>
                </c:pt>
                <c:pt idx="6">
                  <c:v>5931767.035398926</c:v>
                </c:pt>
              </c:numCache>
            </c:numRef>
          </c:val>
        </c:ser>
        <c:ser>
          <c:idx val="1"/>
          <c:order val="1"/>
          <c:tx>
            <c:v>User Facility Personnel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Sheet1!$A$118:$G$118</c:f>
              <c:numCache>
                <c:ptCount val="7"/>
                <c:pt idx="0">
                  <c:v>1580000</c:v>
                </c:pt>
                <c:pt idx="1">
                  <c:v>2441100</c:v>
                </c:pt>
                <c:pt idx="2">
                  <c:v>3017199.6</c:v>
                </c:pt>
                <c:pt idx="3">
                  <c:v>5179525.98</c:v>
                </c:pt>
                <c:pt idx="4">
                  <c:v>6579724.503260001</c:v>
                </c:pt>
                <c:pt idx="5">
                  <c:v>7876108.060794201</c:v>
                </c:pt>
                <c:pt idx="6">
                  <c:v>7735070.776914863</c:v>
                </c:pt>
              </c:numCache>
            </c:numRef>
          </c:val>
        </c:ser>
        <c:ser>
          <c:idx val="2"/>
          <c:order val="2"/>
          <c:tx>
            <c:v>Core Application S/W People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Sheet1!$A$126:$G$126</c:f>
              <c:numCache>
                <c:ptCount val="7"/>
                <c:pt idx="0">
                  <c:v>1580000</c:v>
                </c:pt>
                <c:pt idx="1">
                  <c:v>1790140</c:v>
                </c:pt>
                <c:pt idx="2">
                  <c:v>2011466.4000000001</c:v>
                </c:pt>
                <c:pt idx="3">
                  <c:v>2244461.258</c:v>
                </c:pt>
                <c:pt idx="4">
                  <c:v>2311795.0957400003</c:v>
                </c:pt>
                <c:pt idx="5">
                  <c:v>2381148.9486122006</c:v>
                </c:pt>
                <c:pt idx="6">
                  <c:v>2452583.417070566</c:v>
                </c:pt>
              </c:numCache>
            </c:numRef>
          </c:val>
        </c:ser>
        <c:ser>
          <c:idx val="4"/>
          <c:order val="4"/>
          <c:tx>
            <c:v>Management Reserve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Sheet1!$A$137:$G$137</c:f>
              <c:numCache>
                <c:ptCount val="7"/>
                <c:pt idx="0">
                  <c:v>316000</c:v>
                </c:pt>
                <c:pt idx="1">
                  <c:v>423124</c:v>
                </c:pt>
                <c:pt idx="2">
                  <c:v>502866.60000000003</c:v>
                </c:pt>
                <c:pt idx="3">
                  <c:v>742398.7238</c:v>
                </c:pt>
                <c:pt idx="4">
                  <c:v>889151.9599000001</c:v>
                </c:pt>
                <c:pt idx="5">
                  <c:v>1025725.7009406402</c:v>
                </c:pt>
                <c:pt idx="6">
                  <c:v>1018765.419398543</c:v>
                </c:pt>
              </c:numCache>
            </c:numRef>
          </c:val>
        </c:ser>
        <c:axId val="54676557"/>
        <c:axId val="22326966"/>
      </c:areaChart>
      <c:areaChart>
        <c:grouping val="stacked"/>
        <c:varyColors val="0"/>
        <c:ser>
          <c:idx val="3"/>
          <c:order val="3"/>
          <c:tx>
            <c:v>DOE +NSF Profile</c:v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percentage"/>
            <c:val val="5"/>
            <c:noEndCap val="0"/>
          </c:errBars>
          <c:val>
            <c:numRef>
              <c:f>Sheet1!$A$113:$G$113</c:f>
              <c:numCache>
                <c:ptCount val="7"/>
                <c:pt idx="0">
                  <c:v>3000000</c:v>
                </c:pt>
                <c:pt idx="1">
                  <c:v>4000000</c:v>
                </c:pt>
                <c:pt idx="2">
                  <c:v>5500000</c:v>
                </c:pt>
                <c:pt idx="3">
                  <c:v>8500000</c:v>
                </c:pt>
                <c:pt idx="4">
                  <c:v>13500000</c:v>
                </c:pt>
                <c:pt idx="5">
                  <c:v>17500000</c:v>
                </c:pt>
                <c:pt idx="6">
                  <c:v>17500000</c:v>
                </c:pt>
              </c:numCache>
            </c:numRef>
          </c:val>
        </c:ser>
        <c:axId val="66724967"/>
        <c:axId val="63653792"/>
      </c:areaChart>
      <c:catAx>
        <c:axId val="54676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26966"/>
        <c:crosses val="autoZero"/>
        <c:auto val="1"/>
        <c:lblOffset val="100"/>
        <c:noMultiLvlLbl val="0"/>
      </c:catAx>
      <c:valAx>
        <c:axId val="22326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in Thousands of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76557"/>
        <c:crossesAt val="1"/>
        <c:crossBetween val="midCat"/>
        <c:dispUnits>
          <c:builtInUnit val="thousands"/>
        </c:dispUnits>
      </c:valAx>
      <c:catAx>
        <c:axId val="66724967"/>
        <c:scaling>
          <c:orientation val="minMax"/>
        </c:scaling>
        <c:axPos val="b"/>
        <c:delete val="1"/>
        <c:majorTickMark val="in"/>
        <c:minorTickMark val="none"/>
        <c:tickLblPos val="nextTo"/>
        <c:crossAx val="63653792"/>
        <c:crosses val="autoZero"/>
        <c:auto val="1"/>
        <c:lblOffset val="100"/>
        <c:noMultiLvlLbl val="0"/>
      </c:catAx>
      <c:valAx>
        <c:axId val="63653792"/>
        <c:scaling>
          <c:orientation val="minMax"/>
        </c:scaling>
        <c:axPos val="l"/>
        <c:delete val="1"/>
        <c:majorTickMark val="in"/>
        <c:minorTickMark val="none"/>
        <c:tickLblPos val="nextTo"/>
        <c:crossAx val="66724967"/>
        <c:crosses val="max"/>
        <c:crossBetween val="midCat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User Facility Personnel Costs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User Facility Personnel Costs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Sheet1!$A$118:$G$118</c:f>
              <c:numCache>
                <c:ptCount val="7"/>
                <c:pt idx="0">
                  <c:v>1580000</c:v>
                </c:pt>
                <c:pt idx="1">
                  <c:v>2441100</c:v>
                </c:pt>
                <c:pt idx="2">
                  <c:v>3017199.6</c:v>
                </c:pt>
                <c:pt idx="3">
                  <c:v>5179525.98</c:v>
                </c:pt>
                <c:pt idx="4">
                  <c:v>6579724.503260001</c:v>
                </c:pt>
                <c:pt idx="5">
                  <c:v>7876108.060794201</c:v>
                </c:pt>
                <c:pt idx="6">
                  <c:v>7735070.776914863</c:v>
                </c:pt>
              </c:numCache>
            </c:numRef>
          </c:val>
        </c:ser>
        <c:ser>
          <c:idx val="1"/>
          <c:order val="1"/>
          <c:tx>
            <c:v>Management Reserve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Sheet1!$A$123:$G$123</c:f>
              <c:numCache>
                <c:ptCount val="7"/>
                <c:pt idx="0">
                  <c:v>158000</c:v>
                </c:pt>
                <c:pt idx="1">
                  <c:v>244110</c:v>
                </c:pt>
                <c:pt idx="2">
                  <c:v>301719.96</c:v>
                </c:pt>
                <c:pt idx="3">
                  <c:v>517952.59800000006</c:v>
                </c:pt>
                <c:pt idx="4">
                  <c:v>657972.4503260001</c:v>
                </c:pt>
                <c:pt idx="5">
                  <c:v>787610.8060794201</c:v>
                </c:pt>
                <c:pt idx="6">
                  <c:v>773507.0776914863</c:v>
                </c:pt>
              </c:numCache>
            </c:numRef>
          </c:val>
        </c:ser>
        <c:axId val="36013217"/>
        <c:axId val="55683498"/>
      </c:areaChart>
      <c:catAx>
        <c:axId val="3601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83498"/>
        <c:crosses val="autoZero"/>
        <c:auto val="1"/>
        <c:lblOffset val="100"/>
        <c:noMultiLvlLbl val="0"/>
      </c:catAx>
      <c:valAx>
        <c:axId val="55683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13217"/>
        <c:crossesAt val="1"/>
        <c:crossBetween val="midCat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of User Facility Hardware by SubCategory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64"/>
          <c:w val="0.6015"/>
          <c:h val="0.713"/>
        </c:manualLayout>
      </c:layout>
      <c:areaChart>
        <c:grouping val="stacked"/>
        <c:varyColors val="0"/>
        <c:ser>
          <c:idx val="0"/>
          <c:order val="0"/>
          <c:tx>
            <c:v>Tier 1 Regional Center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Sheet1!$G$17:$M$17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1046445.922041856</c:v>
                </c:pt>
                <c:pt idx="4">
                  <c:v>1217538.2153407624</c:v>
                </c:pt>
                <c:pt idx="5">
                  <c:v>1042407.8050245577</c:v>
                </c:pt>
                <c:pt idx="6">
                  <c:v>991501.8020826414</c:v>
                </c:pt>
              </c:numCache>
            </c:numRef>
          </c:val>
        </c:ser>
        <c:ser>
          <c:idx val="1"/>
          <c:order val="1"/>
          <c:tx>
            <c:v>System and User Support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Sheet1!$G$26:$M$26</c:f>
              <c:numCache>
                <c:ptCount val="7"/>
                <c:pt idx="0">
                  <c:v>0</c:v>
                </c:pt>
                <c:pt idx="1">
                  <c:v>25000</c:v>
                </c:pt>
                <c:pt idx="2">
                  <c:v>20000</c:v>
                </c:pt>
                <c:pt idx="3">
                  <c:v>0</c:v>
                </c:pt>
                <c:pt idx="4">
                  <c:v>30000</c:v>
                </c:pt>
                <c:pt idx="5">
                  <c:v>0</c:v>
                </c:pt>
                <c:pt idx="6">
                  <c:v>13300</c:v>
                </c:pt>
              </c:numCache>
            </c:numRef>
          </c:val>
        </c:ser>
        <c:ser>
          <c:idx val="2"/>
          <c:order val="2"/>
          <c:tx>
            <c:v>Ops and Infrastructure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Sheet1!$G$36:$M$36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3"/>
          <c:tx>
            <c:v>Networking for Tier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Sheet1!$G$61:$M$61</c:f>
              <c:numCache>
                <c:ptCount val="7"/>
                <c:pt idx="0">
                  <c:v>21250</c:v>
                </c:pt>
                <c:pt idx="1">
                  <c:v>22500</c:v>
                </c:pt>
                <c:pt idx="2">
                  <c:v>56250</c:v>
                </c:pt>
                <c:pt idx="3">
                  <c:v>436050</c:v>
                </c:pt>
                <c:pt idx="4">
                  <c:v>339600</c:v>
                </c:pt>
                <c:pt idx="5">
                  <c:v>343150</c:v>
                </c:pt>
                <c:pt idx="6">
                  <c:v>371266.6666666667</c:v>
                </c:pt>
              </c:numCache>
            </c:numRef>
          </c:val>
        </c:ser>
        <c:ser>
          <c:idx val="5"/>
          <c:order val="4"/>
          <c:tx>
            <c:v>S&amp;C R&amp;D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Sheet1!$G$69:$M$69</c:f>
              <c:numCache>
                <c:ptCount val="7"/>
                <c:pt idx="0">
                  <c:v>282500</c:v>
                </c:pt>
                <c:pt idx="1">
                  <c:v>522492.68292682926</c:v>
                </c:pt>
                <c:pt idx="2">
                  <c:v>427472.01492537314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6"/>
          <c:order val="5"/>
          <c:tx>
            <c:v>Const. Phase Computing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Sheet1!$G$78:$M$78</c:f>
              <c:numCache>
                <c:ptCount val="7"/>
                <c:pt idx="0">
                  <c:v>135500</c:v>
                </c:pt>
                <c:pt idx="1">
                  <c:v>34500</c:v>
                </c:pt>
                <c:pt idx="2">
                  <c:v>48500</c:v>
                </c:pt>
                <c:pt idx="3">
                  <c:v>6000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7"/>
          <c:order val="6"/>
          <c:tx>
            <c:v>FNAL based computing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Sheet1!$G$83:$M$83</c:f>
              <c:numCache>
                <c:ptCount val="7"/>
                <c:pt idx="0">
                  <c:v>10000</c:v>
                </c:pt>
                <c:pt idx="1">
                  <c:v>62000</c:v>
                </c:pt>
                <c:pt idx="2">
                  <c:v>15000</c:v>
                </c:pt>
                <c:pt idx="3">
                  <c:v>85000</c:v>
                </c:pt>
                <c:pt idx="4">
                  <c:v>105000</c:v>
                </c:pt>
                <c:pt idx="5">
                  <c:v>0</c:v>
                </c:pt>
                <c:pt idx="6">
                  <c:v>31750</c:v>
                </c:pt>
              </c:numCache>
            </c:numRef>
          </c:val>
        </c:ser>
        <c:axId val="31389435"/>
        <c:axId val="14069460"/>
      </c:areaChart>
      <c:catAx>
        <c:axId val="31389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69460"/>
        <c:crosses val="autoZero"/>
        <c:auto val="1"/>
        <c:lblOffset val="100"/>
        <c:noMultiLvlLbl val="0"/>
      </c:catAx>
      <c:valAx>
        <c:axId val="14069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Cost in Thousand of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89435"/>
        <c:crossesAt val="1"/>
        <c:crossBetween val="midCat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5"/>
          <c:y val="0.186"/>
          <c:w val="0.30725"/>
          <c:h val="0.70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S&amp;C Costs</a:t>
            </a:r>
          </a:p>
        </c:rich>
      </c:tx>
      <c:layout>
        <c:manualLayout>
          <c:xMode val="factor"/>
          <c:yMode val="factor"/>
          <c:x val="0.058"/>
          <c:y val="-0.006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55"/>
          <c:y val="0.0205"/>
          <c:w val="0.79875"/>
          <c:h val="0.9555"/>
        </c:manualLayout>
      </c:layout>
      <c:areaChart>
        <c:grouping val="stacked"/>
        <c:varyColors val="0"/>
        <c:ser>
          <c:idx val="0"/>
          <c:order val="0"/>
          <c:tx>
            <c:v>UF Hardware Costs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Sheet1!$G$97:$M$97</c:f>
              <c:numCache>
                <c:ptCount val="7"/>
                <c:pt idx="0">
                  <c:v>1134163.9</c:v>
                </c:pt>
                <c:pt idx="1">
                  <c:v>2130851.0812878045</c:v>
                </c:pt>
                <c:pt idx="2">
                  <c:v>2087958.2060158956</c:v>
                </c:pt>
                <c:pt idx="3">
                  <c:v>4926639.369518329</c:v>
                </c:pt>
                <c:pt idx="4">
                  <c:v>4736423.282209146</c:v>
                </c:pt>
                <c:pt idx="5">
                  <c:v>6074439.027634293</c:v>
                </c:pt>
                <c:pt idx="6">
                  <c:v>5931767.035398926</c:v>
                </c:pt>
              </c:numCache>
            </c:numRef>
          </c:val>
        </c:ser>
        <c:ser>
          <c:idx val="1"/>
          <c:order val="1"/>
          <c:tx>
            <c:v>UF Personnel Costs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Sheet1!$A$118:$G$118</c:f>
              <c:numCache>
                <c:ptCount val="7"/>
                <c:pt idx="0">
                  <c:v>1580000</c:v>
                </c:pt>
                <c:pt idx="1">
                  <c:v>2441100</c:v>
                </c:pt>
                <c:pt idx="2">
                  <c:v>3017199.6</c:v>
                </c:pt>
                <c:pt idx="3">
                  <c:v>5179525.98</c:v>
                </c:pt>
                <c:pt idx="4">
                  <c:v>6579724.503260001</c:v>
                </c:pt>
                <c:pt idx="5">
                  <c:v>7876108.060794201</c:v>
                </c:pt>
                <c:pt idx="6">
                  <c:v>7735070.776914863</c:v>
                </c:pt>
              </c:numCache>
            </c:numRef>
          </c:val>
        </c:ser>
        <c:ser>
          <c:idx val="2"/>
          <c:order val="2"/>
          <c:tx>
            <c:v>CAS Personnel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Sheet1!$A$126:$G$126</c:f>
              <c:numCache>
                <c:ptCount val="7"/>
                <c:pt idx="0">
                  <c:v>1580000</c:v>
                </c:pt>
                <c:pt idx="1">
                  <c:v>1790140</c:v>
                </c:pt>
                <c:pt idx="2">
                  <c:v>2011466.4000000001</c:v>
                </c:pt>
                <c:pt idx="3">
                  <c:v>2244461.258</c:v>
                </c:pt>
                <c:pt idx="4">
                  <c:v>2311795.0957400003</c:v>
                </c:pt>
                <c:pt idx="5">
                  <c:v>2381148.9486122006</c:v>
                </c:pt>
                <c:pt idx="6">
                  <c:v>2452583.417070566</c:v>
                </c:pt>
              </c:numCache>
            </c:numRef>
          </c:val>
        </c:ser>
        <c:ser>
          <c:idx val="3"/>
          <c:order val="3"/>
          <c:tx>
            <c:v>Management Reserve (Personnel)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Sheet1!$A$137:$G$137</c:f>
              <c:numCache>
                <c:ptCount val="7"/>
                <c:pt idx="0">
                  <c:v>316000</c:v>
                </c:pt>
                <c:pt idx="1">
                  <c:v>423124</c:v>
                </c:pt>
                <c:pt idx="2">
                  <c:v>502866.60000000003</c:v>
                </c:pt>
                <c:pt idx="3">
                  <c:v>742398.7238</c:v>
                </c:pt>
                <c:pt idx="4">
                  <c:v>889151.9599000001</c:v>
                </c:pt>
                <c:pt idx="5">
                  <c:v>1025725.7009406402</c:v>
                </c:pt>
                <c:pt idx="6">
                  <c:v>1018765.419398543</c:v>
                </c:pt>
              </c:numCache>
            </c:numRef>
          </c:val>
        </c:ser>
        <c:axId val="59516277"/>
        <c:axId val="65884446"/>
      </c:areaChart>
      <c:lineChart>
        <c:grouping val="standard"/>
        <c:varyColors val="0"/>
        <c:ser>
          <c:idx val="5"/>
          <c:order val="4"/>
          <c:tx>
            <c:v>DOE funding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Sheet1!$A$109:$G$109</c:f>
              <c:numCache>
                <c:ptCount val="7"/>
                <c:pt idx="0">
                  <c:v>2000000</c:v>
                </c:pt>
                <c:pt idx="1">
                  <c:v>2500000</c:v>
                </c:pt>
                <c:pt idx="2">
                  <c:v>3500000</c:v>
                </c:pt>
                <c:pt idx="3">
                  <c:v>5500000</c:v>
                </c:pt>
                <c:pt idx="4">
                  <c:v>9500000</c:v>
                </c:pt>
                <c:pt idx="5">
                  <c:v>12500000</c:v>
                </c:pt>
                <c:pt idx="6">
                  <c:v>12500000</c:v>
                </c:pt>
              </c:numCache>
            </c:numRef>
          </c:val>
          <c:smooth val="0"/>
        </c:ser>
        <c:ser>
          <c:idx val="4"/>
          <c:order val="5"/>
          <c:tx>
            <c:v>NSF Funding (assumed)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Sheet1!$A$113:$G$113</c:f>
              <c:numCache>
                <c:ptCount val="7"/>
                <c:pt idx="0">
                  <c:v>3000000</c:v>
                </c:pt>
                <c:pt idx="1">
                  <c:v>4000000</c:v>
                </c:pt>
                <c:pt idx="2">
                  <c:v>5500000</c:v>
                </c:pt>
                <c:pt idx="3">
                  <c:v>8500000</c:v>
                </c:pt>
                <c:pt idx="4">
                  <c:v>13500000</c:v>
                </c:pt>
                <c:pt idx="5">
                  <c:v>17500000</c:v>
                </c:pt>
                <c:pt idx="6">
                  <c:v>17500000</c:v>
                </c:pt>
              </c:numCache>
            </c:numRef>
          </c:val>
          <c:smooth val="0"/>
        </c:ser>
        <c:axId val="59516277"/>
        <c:axId val="65884446"/>
      </c:lineChart>
      <c:catAx>
        <c:axId val="59516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18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84446"/>
        <c:crosses val="autoZero"/>
        <c:auto val="1"/>
        <c:lblOffset val="100"/>
        <c:noMultiLvlLbl val="0"/>
      </c:catAx>
      <c:valAx>
        <c:axId val="65884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 in $M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16277"/>
        <c:crossesAt val="1"/>
        <c:crossBetween val="midCat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UF (Tier 1) cost + 2/3 CAS</a:t>
            </a:r>
          </a:p>
        </c:rich>
      </c:tx>
      <c:layout>
        <c:manualLayout>
          <c:xMode val="factor"/>
          <c:yMode val="factor"/>
          <c:x val="-0.0615"/>
          <c:y val="-0.006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525"/>
          <c:y val="0.02025"/>
          <c:w val="0.8075"/>
          <c:h val="0.9595"/>
        </c:manualLayout>
      </c:layout>
      <c:areaChart>
        <c:grouping val="stacked"/>
        <c:varyColors val="0"/>
        <c:ser>
          <c:idx val="0"/>
          <c:order val="0"/>
          <c:tx>
            <c:v>UF Hardware Costs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Sheet1!$G$98:$M$98</c:f>
              <c:numCache>
                <c:ptCount val="7"/>
                <c:pt idx="0">
                  <c:v>536763.8999999999</c:v>
                </c:pt>
                <c:pt idx="1">
                  <c:v>820215.2212878047</c:v>
                </c:pt>
                <c:pt idx="2">
                  <c:v>718989.8204158955</c:v>
                </c:pt>
                <c:pt idx="3">
                  <c:v>2054340.8863983308</c:v>
                </c:pt>
                <c:pt idx="4">
                  <c:v>2275516.2772851065</c:v>
                </c:pt>
                <c:pt idx="5">
                  <c:v>1919137.0357133737</c:v>
                </c:pt>
                <c:pt idx="6">
                  <c:v>2008469.40469359</c:v>
                </c:pt>
              </c:numCache>
            </c:numRef>
          </c:val>
        </c:ser>
        <c:ser>
          <c:idx val="1"/>
          <c:order val="1"/>
          <c:tx>
            <c:v>Tier1 Personnel Costs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Sheet1!$A$119:$G$119</c:f>
              <c:numCache>
                <c:ptCount val="7"/>
                <c:pt idx="0">
                  <c:v>1185000</c:v>
                </c:pt>
                <c:pt idx="1">
                  <c:v>1871510</c:v>
                </c:pt>
                <c:pt idx="2">
                  <c:v>2346710.8000000003</c:v>
                </c:pt>
                <c:pt idx="3">
                  <c:v>4316271.65</c:v>
                </c:pt>
                <c:pt idx="4">
                  <c:v>5334911.759400001</c:v>
                </c:pt>
                <c:pt idx="5">
                  <c:v>6593950.934618401</c:v>
                </c:pt>
                <c:pt idx="6">
                  <c:v>6414448.936953789</c:v>
                </c:pt>
              </c:numCache>
            </c:numRef>
          </c:val>
        </c:ser>
        <c:ser>
          <c:idx val="2"/>
          <c:order val="3"/>
          <c:tx>
            <c:v>2/3 CAS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Sheet1!$A$127:$G$127</c:f>
              <c:numCache>
                <c:ptCount val="7"/>
                <c:pt idx="0">
                  <c:v>1053333.3333333333</c:v>
                </c:pt>
                <c:pt idx="1">
                  <c:v>1193426.6666666667</c:v>
                </c:pt>
                <c:pt idx="2">
                  <c:v>1340977.6</c:v>
                </c:pt>
                <c:pt idx="3">
                  <c:v>1496307.5053333333</c:v>
                </c:pt>
                <c:pt idx="4">
                  <c:v>1541196.7304933334</c:v>
                </c:pt>
                <c:pt idx="5">
                  <c:v>1587432.6324081337</c:v>
                </c:pt>
                <c:pt idx="6">
                  <c:v>1635055.6113803776</c:v>
                </c:pt>
              </c:numCache>
            </c:numRef>
          </c:val>
        </c:ser>
        <c:ser>
          <c:idx val="3"/>
          <c:order val="4"/>
          <c:tx>
            <c:v>Management Reserve (Personnel)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Sheet1!$A$137:$G$137</c:f>
              <c:numCache>
                <c:ptCount val="7"/>
                <c:pt idx="0">
                  <c:v>316000</c:v>
                </c:pt>
                <c:pt idx="1">
                  <c:v>423124</c:v>
                </c:pt>
                <c:pt idx="2">
                  <c:v>502866.60000000003</c:v>
                </c:pt>
                <c:pt idx="3">
                  <c:v>742398.7238</c:v>
                </c:pt>
                <c:pt idx="4">
                  <c:v>889151.9599000001</c:v>
                </c:pt>
                <c:pt idx="5">
                  <c:v>1025725.7009406402</c:v>
                </c:pt>
                <c:pt idx="6">
                  <c:v>1018765.419398543</c:v>
                </c:pt>
              </c:numCache>
            </c:numRef>
          </c:val>
        </c:ser>
        <c:axId val="56089103"/>
        <c:axId val="35039880"/>
      </c:areaChart>
      <c:lineChart>
        <c:grouping val="standard"/>
        <c:varyColors val="0"/>
        <c:ser>
          <c:idx val="5"/>
          <c:order val="2"/>
          <c:tx>
            <c:v>DOE funding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Sheet1!$A$109:$G$109</c:f>
              <c:numCache>
                <c:ptCount val="7"/>
                <c:pt idx="0">
                  <c:v>2000000</c:v>
                </c:pt>
                <c:pt idx="1">
                  <c:v>2500000</c:v>
                </c:pt>
                <c:pt idx="2">
                  <c:v>3500000</c:v>
                </c:pt>
                <c:pt idx="3">
                  <c:v>5500000</c:v>
                </c:pt>
                <c:pt idx="4">
                  <c:v>9500000</c:v>
                </c:pt>
                <c:pt idx="5">
                  <c:v>12500000</c:v>
                </c:pt>
                <c:pt idx="6">
                  <c:v>12500000</c:v>
                </c:pt>
              </c:numCache>
            </c:numRef>
          </c:val>
          <c:smooth val="0"/>
        </c:ser>
        <c:axId val="56089103"/>
        <c:axId val="35039880"/>
      </c:lineChart>
      <c:catAx>
        <c:axId val="56089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18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39880"/>
        <c:crosses val="autoZero"/>
        <c:auto val="1"/>
        <c:lblOffset val="100"/>
        <c:noMultiLvlLbl val="0"/>
      </c:catAx>
      <c:valAx>
        <c:axId val="35039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in $M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89103"/>
        <c:crossesAt val="1"/>
        <c:crossBetween val="midCat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UF (Tier 2) + 1/3 CAS cost</a:t>
            </a:r>
          </a:p>
        </c:rich>
      </c:tx>
      <c:layout>
        <c:manualLayout>
          <c:xMode val="factor"/>
          <c:yMode val="factor"/>
          <c:x val="-0.0615"/>
          <c:y val="-0.006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525"/>
          <c:y val="0.02"/>
          <c:w val="0.8075"/>
          <c:h val="0.95975"/>
        </c:manualLayout>
      </c:layout>
      <c:areaChart>
        <c:grouping val="stacked"/>
        <c:varyColors val="0"/>
        <c:ser>
          <c:idx val="0"/>
          <c:order val="0"/>
          <c:tx>
            <c:v>Tier2 Hardware Costs wo Network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Sheet1!$G$100:$M$100</c:f>
              <c:numCache>
                <c:ptCount val="7"/>
                <c:pt idx="0">
                  <c:v>597400</c:v>
                </c:pt>
                <c:pt idx="1">
                  <c:v>387652.86</c:v>
                </c:pt>
                <c:pt idx="2">
                  <c:v>228161.3976</c:v>
                </c:pt>
                <c:pt idx="3">
                  <c:v>1305590.2195999997</c:v>
                </c:pt>
                <c:pt idx="4">
                  <c:v>645483.8045702399</c:v>
                </c:pt>
                <c:pt idx="5">
                  <c:v>2077650.9959604596</c:v>
                </c:pt>
                <c:pt idx="6">
                  <c:v>1783317.1048660614</c:v>
                </c:pt>
              </c:numCache>
            </c:numRef>
          </c:val>
        </c:ser>
        <c:ser>
          <c:idx val="3"/>
          <c:order val="2"/>
          <c:tx>
            <c:v>Tier2 Networking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Sheet1!$G$101:$M$101</c:f>
              <c:numCache>
                <c:ptCount val="7"/>
                <c:pt idx="0">
                  <c:v>0</c:v>
                </c:pt>
                <c:pt idx="1">
                  <c:v>922982.9999999999</c:v>
                </c:pt>
                <c:pt idx="2">
                  <c:v>1140806.9880000001</c:v>
                </c:pt>
                <c:pt idx="3">
                  <c:v>1566708.2635199989</c:v>
                </c:pt>
                <c:pt idx="4">
                  <c:v>1815423.2003537994</c:v>
                </c:pt>
                <c:pt idx="5">
                  <c:v>2077650.9959604596</c:v>
                </c:pt>
                <c:pt idx="6">
                  <c:v>2139980.5258392743</c:v>
                </c:pt>
              </c:numCache>
            </c:numRef>
          </c:val>
        </c:ser>
        <c:ser>
          <c:idx val="1"/>
          <c:order val="3"/>
          <c:tx>
            <c:v>Tier 2 personnel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Sheet1!$A$120:$G$120</c:f>
              <c:numCache>
                <c:ptCount val="7"/>
                <c:pt idx="0">
                  <c:v>395000</c:v>
                </c:pt>
                <c:pt idx="1">
                  <c:v>569590</c:v>
                </c:pt>
                <c:pt idx="2">
                  <c:v>670488.8</c:v>
                </c:pt>
                <c:pt idx="3">
                  <c:v>863254.3300000001</c:v>
                </c:pt>
                <c:pt idx="4">
                  <c:v>1244812.74386</c:v>
                </c:pt>
                <c:pt idx="5">
                  <c:v>1282157.1261758</c:v>
                </c:pt>
                <c:pt idx="6">
                  <c:v>1320621.8399610743</c:v>
                </c:pt>
              </c:numCache>
            </c:numRef>
          </c:val>
        </c:ser>
        <c:ser>
          <c:idx val="2"/>
          <c:order val="4"/>
          <c:tx>
            <c:v>1/3 CAS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Sheet1!$A$128:$G$128</c:f>
              <c:numCache>
                <c:ptCount val="7"/>
                <c:pt idx="0">
                  <c:v>526666.6666666666</c:v>
                </c:pt>
                <c:pt idx="1">
                  <c:v>596713.3333333334</c:v>
                </c:pt>
                <c:pt idx="2">
                  <c:v>670488.8</c:v>
                </c:pt>
                <c:pt idx="3">
                  <c:v>748153.7526666666</c:v>
                </c:pt>
                <c:pt idx="4">
                  <c:v>770598.3652466667</c:v>
                </c:pt>
                <c:pt idx="5">
                  <c:v>793716.3162040669</c:v>
                </c:pt>
                <c:pt idx="6">
                  <c:v>817527.8056901888</c:v>
                </c:pt>
              </c:numCache>
            </c:numRef>
          </c:val>
        </c:ser>
        <c:axId val="46923465"/>
        <c:axId val="19658002"/>
      </c:areaChart>
      <c:lineChart>
        <c:grouping val="standard"/>
        <c:varyColors val="0"/>
        <c:ser>
          <c:idx val="5"/>
          <c:order val="1"/>
          <c:tx>
            <c:v>NSF funding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Sheet1!$A$111:$G$111</c:f>
              <c:numCache>
                <c:ptCount val="7"/>
                <c:pt idx="0">
                  <c:v>1000000</c:v>
                </c:pt>
                <c:pt idx="1">
                  <c:v>1500000</c:v>
                </c:pt>
                <c:pt idx="2">
                  <c:v>2000000</c:v>
                </c:pt>
                <c:pt idx="3">
                  <c:v>3000000</c:v>
                </c:pt>
                <c:pt idx="4">
                  <c:v>4000000</c:v>
                </c:pt>
                <c:pt idx="5">
                  <c:v>5000000</c:v>
                </c:pt>
                <c:pt idx="6">
                  <c:v>5000000</c:v>
                </c:pt>
              </c:numCache>
            </c:numRef>
          </c:val>
          <c:smooth val="0"/>
        </c:ser>
        <c:axId val="46923465"/>
        <c:axId val="19658002"/>
      </c:lineChart>
      <c:catAx>
        <c:axId val="46923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18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58002"/>
        <c:crosses val="autoZero"/>
        <c:auto val="1"/>
        <c:lblOffset val="100"/>
        <c:noMultiLvlLbl val="0"/>
      </c:catAx>
      <c:valAx>
        <c:axId val="19658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in $M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23465"/>
        <c:crossesAt val="1"/>
        <c:crossBetween val="midCat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0.7995</cdr:x>
      <cdr:y>0.703</cdr:y>
    </cdr:from>
    <cdr:to>
      <cdr:x>0.95825</cdr:x>
      <cdr:y>0.776</cdr:y>
    </cdr:to>
    <cdr:sp>
      <cdr:nvSpPr>
        <cdr:cNvPr id="1" name="TextBox 1"/>
        <cdr:cNvSpPr txBox="1">
          <a:spLocks noChangeArrowheads="1"/>
        </cdr:cNvSpPr>
      </cdr:nvSpPr>
      <cdr:spPr>
        <a:xfrm>
          <a:off x="4019550" y="2009775"/>
          <a:ext cx="8001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 Hardware</a:t>
          </a:r>
        </a:p>
      </cdr:txBody>
    </cdr:sp>
  </cdr:relSizeAnchor>
  <cdr:relSizeAnchor xmlns:cdr="http://schemas.openxmlformats.org/drawingml/2006/chartDrawing">
    <cdr:from>
      <cdr:x>0.8155</cdr:x>
      <cdr:y>0.45575</cdr:y>
    </cdr:from>
    <cdr:to>
      <cdr:x>0.978</cdr:x>
      <cdr:y>0.52875</cdr:y>
    </cdr:to>
    <cdr:sp>
      <cdr:nvSpPr>
        <cdr:cNvPr id="2" name="TextBox 2"/>
        <cdr:cNvSpPr txBox="1">
          <a:spLocks noChangeArrowheads="1"/>
        </cdr:cNvSpPr>
      </cdr:nvSpPr>
      <cdr:spPr>
        <a:xfrm>
          <a:off x="4105275" y="1304925"/>
          <a:ext cx="8191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 personnel</a:t>
          </a:r>
        </a:p>
      </cdr:txBody>
    </cdr:sp>
  </cdr:relSizeAnchor>
  <cdr:relSizeAnchor xmlns:cdr="http://schemas.openxmlformats.org/drawingml/2006/chartDrawing">
    <cdr:from>
      <cdr:x>0.35775</cdr:x>
      <cdr:y>0.2075</cdr:y>
    </cdr:from>
    <cdr:to>
      <cdr:x>0.6035</cdr:x>
      <cdr:y>0.2805</cdr:y>
    </cdr:to>
    <cdr:sp>
      <cdr:nvSpPr>
        <cdr:cNvPr id="3" name="TextBox 3"/>
        <cdr:cNvSpPr txBox="1">
          <a:spLocks noChangeArrowheads="1"/>
        </cdr:cNvSpPr>
      </cdr:nvSpPr>
      <cdr:spPr>
        <a:xfrm>
          <a:off x="1800225" y="590550"/>
          <a:ext cx="12382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Management reserve</a:t>
          </a:r>
        </a:p>
      </cdr:txBody>
    </cdr:sp>
  </cdr:relSizeAnchor>
  <cdr:relSizeAnchor xmlns:cdr="http://schemas.openxmlformats.org/drawingml/2006/chartDrawing">
    <cdr:from>
      <cdr:x>0.78975</cdr:x>
      <cdr:y>0.22425</cdr:y>
    </cdr:from>
    <cdr:to>
      <cdr:x>0.977</cdr:x>
      <cdr:y>0.29725</cdr:y>
    </cdr:to>
    <cdr:sp>
      <cdr:nvSpPr>
        <cdr:cNvPr id="4" name="TextBox 4"/>
        <cdr:cNvSpPr txBox="1">
          <a:spLocks noChangeArrowheads="1"/>
        </cdr:cNvSpPr>
      </cdr:nvSpPr>
      <cdr:spPr>
        <a:xfrm>
          <a:off x="3971925" y="638175"/>
          <a:ext cx="9429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CAS Personnel</a:t>
          </a:r>
        </a:p>
      </cdr:txBody>
    </cdr:sp>
  </cdr:relSizeAnchor>
  <cdr:relSizeAnchor xmlns:cdr="http://schemas.openxmlformats.org/drawingml/2006/chartDrawing">
    <cdr:from>
      <cdr:x>0.83275</cdr:x>
      <cdr:y>0.31475</cdr:y>
    </cdr:from>
    <cdr:to>
      <cdr:x>0.999</cdr:x>
      <cdr:y>0.38775</cdr:y>
    </cdr:to>
    <cdr:sp>
      <cdr:nvSpPr>
        <cdr:cNvPr id="5" name="TextBox 5"/>
        <cdr:cNvSpPr txBox="1">
          <a:spLocks noChangeArrowheads="1"/>
        </cdr:cNvSpPr>
      </cdr:nvSpPr>
      <cdr:spPr>
        <a:xfrm>
          <a:off x="4191000" y="895350"/>
          <a:ext cx="838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DOE funding</a:t>
          </a:r>
        </a:p>
      </cdr:txBody>
    </cdr:sp>
  </cdr:relSizeAnchor>
  <cdr:relSizeAnchor xmlns:cdr="http://schemas.openxmlformats.org/drawingml/2006/chartDrawing">
    <cdr:from>
      <cdr:x>0.852</cdr:x>
      <cdr:y>0.12025</cdr:y>
    </cdr:from>
    <cdr:to>
      <cdr:x>0.9995</cdr:x>
      <cdr:y>0.19325</cdr:y>
    </cdr:to>
    <cdr:sp>
      <cdr:nvSpPr>
        <cdr:cNvPr id="6" name="TextBox 6"/>
        <cdr:cNvSpPr txBox="1">
          <a:spLocks noChangeArrowheads="1"/>
        </cdr:cNvSpPr>
      </cdr:nvSpPr>
      <cdr:spPr>
        <a:xfrm>
          <a:off x="4286250" y="342900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DOE + NSF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0.82375</cdr:x>
      <cdr:y>0.775</cdr:y>
    </cdr:from>
    <cdr:to>
      <cdr:x>1</cdr:x>
      <cdr:y>0.84775</cdr:y>
    </cdr:to>
    <cdr:sp>
      <cdr:nvSpPr>
        <cdr:cNvPr id="1" name="TextBox 1"/>
        <cdr:cNvSpPr txBox="1">
          <a:spLocks noChangeArrowheads="1"/>
        </cdr:cNvSpPr>
      </cdr:nvSpPr>
      <cdr:spPr>
        <a:xfrm>
          <a:off x="4152900" y="222885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Tier1 Hardware</a:t>
          </a:r>
        </a:p>
      </cdr:txBody>
    </cdr:sp>
  </cdr:relSizeAnchor>
  <cdr:relSizeAnchor xmlns:cdr="http://schemas.openxmlformats.org/drawingml/2006/chartDrawing">
    <cdr:from>
      <cdr:x>0.82375</cdr:x>
      <cdr:y>0.55975</cdr:y>
    </cdr:from>
    <cdr:to>
      <cdr:x>1</cdr:x>
      <cdr:y>0.6325</cdr:y>
    </cdr:to>
    <cdr:sp>
      <cdr:nvSpPr>
        <cdr:cNvPr id="2" name="TextBox 2"/>
        <cdr:cNvSpPr txBox="1">
          <a:spLocks noChangeArrowheads="1"/>
        </cdr:cNvSpPr>
      </cdr:nvSpPr>
      <cdr:spPr>
        <a:xfrm>
          <a:off x="4152900" y="1609725"/>
          <a:ext cx="9525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Tier1 Personnel</a:t>
          </a:r>
        </a:p>
      </cdr:txBody>
    </cdr:sp>
  </cdr:relSizeAnchor>
  <cdr:relSizeAnchor xmlns:cdr="http://schemas.openxmlformats.org/drawingml/2006/chartDrawing">
    <cdr:from>
      <cdr:x>0.35725</cdr:x>
      <cdr:y>0.1845</cdr:y>
    </cdr:from>
    <cdr:to>
      <cdr:x>0.6025</cdr:x>
      <cdr:y>0.25725</cdr:y>
    </cdr:to>
    <cdr:sp>
      <cdr:nvSpPr>
        <cdr:cNvPr id="3" name="TextBox 3"/>
        <cdr:cNvSpPr txBox="1">
          <a:spLocks noChangeArrowheads="1"/>
        </cdr:cNvSpPr>
      </cdr:nvSpPr>
      <cdr:spPr>
        <a:xfrm>
          <a:off x="1800225" y="523875"/>
          <a:ext cx="12382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Management reserve</a:t>
          </a:r>
        </a:p>
      </cdr:txBody>
    </cdr:sp>
  </cdr:relSizeAnchor>
  <cdr:relSizeAnchor xmlns:cdr="http://schemas.openxmlformats.org/drawingml/2006/chartDrawing">
    <cdr:from>
      <cdr:x>0.7715</cdr:x>
      <cdr:y>0.29375</cdr:y>
    </cdr:from>
    <cdr:to>
      <cdr:x>0.99975</cdr:x>
      <cdr:y>0.3665</cdr:y>
    </cdr:to>
    <cdr:sp>
      <cdr:nvSpPr>
        <cdr:cNvPr id="4" name="TextBox 4"/>
        <cdr:cNvSpPr txBox="1">
          <a:spLocks noChangeArrowheads="1"/>
        </cdr:cNvSpPr>
      </cdr:nvSpPr>
      <cdr:spPr>
        <a:xfrm>
          <a:off x="3886200" y="838200"/>
          <a:ext cx="11525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2/3 CAS Personnel</a:t>
          </a:r>
        </a:p>
      </cdr:txBody>
    </cdr:sp>
  </cdr:relSizeAnchor>
  <cdr:relSizeAnchor xmlns:cdr="http://schemas.openxmlformats.org/drawingml/2006/chartDrawing">
    <cdr:from>
      <cdr:x>0.833</cdr:x>
      <cdr:y>0.11275</cdr:y>
    </cdr:from>
    <cdr:to>
      <cdr:x>1</cdr:x>
      <cdr:y>0.1855</cdr:y>
    </cdr:to>
    <cdr:sp>
      <cdr:nvSpPr>
        <cdr:cNvPr id="5" name="TextBox 5"/>
        <cdr:cNvSpPr txBox="1">
          <a:spLocks noChangeArrowheads="1"/>
        </cdr:cNvSpPr>
      </cdr:nvSpPr>
      <cdr:spPr>
        <a:xfrm>
          <a:off x="4200525" y="323850"/>
          <a:ext cx="847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DOE funding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0.7755</cdr:y>
    </cdr:from>
    <cdr:to>
      <cdr:x>1</cdr:x>
      <cdr:y>0.848</cdr:y>
    </cdr:to>
    <cdr:sp>
      <cdr:nvSpPr>
        <cdr:cNvPr id="1" name="TextBox 1"/>
        <cdr:cNvSpPr txBox="1">
          <a:spLocks noChangeArrowheads="1"/>
        </cdr:cNvSpPr>
      </cdr:nvSpPr>
      <cdr:spPr>
        <a:xfrm>
          <a:off x="4162425" y="222885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Tier2 Hardware</a:t>
          </a:r>
        </a:p>
      </cdr:txBody>
    </cdr:sp>
  </cdr:relSizeAnchor>
  <cdr:relSizeAnchor xmlns:cdr="http://schemas.openxmlformats.org/drawingml/2006/chartDrawing">
    <cdr:from>
      <cdr:x>0.8145</cdr:x>
      <cdr:y>0.32</cdr:y>
    </cdr:from>
    <cdr:to>
      <cdr:x>1</cdr:x>
      <cdr:y>0.3925</cdr:y>
    </cdr:to>
    <cdr:sp>
      <cdr:nvSpPr>
        <cdr:cNvPr id="2" name="TextBox 2"/>
        <cdr:cNvSpPr txBox="1">
          <a:spLocks noChangeArrowheads="1"/>
        </cdr:cNvSpPr>
      </cdr:nvSpPr>
      <cdr:spPr>
        <a:xfrm>
          <a:off x="4114800" y="914400"/>
          <a:ext cx="9525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Tier2 Personnel</a:t>
          </a:r>
        </a:p>
      </cdr:txBody>
    </cdr:sp>
  </cdr:relSizeAnchor>
  <cdr:relSizeAnchor xmlns:cdr="http://schemas.openxmlformats.org/drawingml/2006/chartDrawing">
    <cdr:from>
      <cdr:x>0.3345</cdr:x>
      <cdr:y>0.20575</cdr:y>
    </cdr:from>
    <cdr:to>
      <cdr:x>0.57925</cdr:x>
      <cdr:y>0.27825</cdr:y>
    </cdr:to>
    <cdr:sp>
      <cdr:nvSpPr>
        <cdr:cNvPr id="3" name="TextBox 3"/>
        <cdr:cNvSpPr txBox="1">
          <a:spLocks noChangeArrowheads="1"/>
        </cdr:cNvSpPr>
      </cdr:nvSpPr>
      <cdr:spPr>
        <a:xfrm>
          <a:off x="1685925" y="590550"/>
          <a:ext cx="12382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Management reserve</a:t>
          </a:r>
        </a:p>
      </cdr:txBody>
    </cdr:sp>
  </cdr:relSizeAnchor>
  <cdr:relSizeAnchor xmlns:cdr="http://schemas.openxmlformats.org/drawingml/2006/chartDrawing">
    <cdr:from>
      <cdr:x>0.77</cdr:x>
      <cdr:y>0.18375</cdr:y>
    </cdr:from>
    <cdr:to>
      <cdr:x>0.99775</cdr:x>
      <cdr:y>0.25625</cdr:y>
    </cdr:to>
    <cdr:sp>
      <cdr:nvSpPr>
        <cdr:cNvPr id="4" name="TextBox 4"/>
        <cdr:cNvSpPr txBox="1">
          <a:spLocks noChangeArrowheads="1"/>
        </cdr:cNvSpPr>
      </cdr:nvSpPr>
      <cdr:spPr>
        <a:xfrm>
          <a:off x="3886200" y="523875"/>
          <a:ext cx="11525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1/3 CAS Personnel</a:t>
          </a:r>
        </a:p>
      </cdr:txBody>
    </cdr:sp>
  </cdr:relSizeAnchor>
  <cdr:relSizeAnchor xmlns:cdr="http://schemas.openxmlformats.org/drawingml/2006/chartDrawing">
    <cdr:from>
      <cdr:x>0.8335</cdr:x>
      <cdr:y>0.11175</cdr:y>
    </cdr:from>
    <cdr:to>
      <cdr:x>0.99725</cdr:x>
      <cdr:y>0.18425</cdr:y>
    </cdr:to>
    <cdr:sp>
      <cdr:nvSpPr>
        <cdr:cNvPr id="5" name="TextBox 5"/>
        <cdr:cNvSpPr txBox="1">
          <a:spLocks noChangeArrowheads="1"/>
        </cdr:cNvSpPr>
      </cdr:nvSpPr>
      <cdr:spPr>
        <a:xfrm>
          <a:off x="4210050" y="314325"/>
          <a:ext cx="828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NSF funding</a:t>
          </a:r>
        </a:p>
      </cdr:txBody>
    </cdr:sp>
  </cdr:relSizeAnchor>
  <cdr:relSizeAnchor xmlns:cdr="http://schemas.openxmlformats.org/drawingml/2006/chartDrawing">
    <cdr:from>
      <cdr:x>0.81825</cdr:x>
      <cdr:y>0.524</cdr:y>
    </cdr:from>
    <cdr:to>
      <cdr:x>1</cdr:x>
      <cdr:y>0.5965</cdr:y>
    </cdr:to>
    <cdr:sp>
      <cdr:nvSpPr>
        <cdr:cNvPr id="6" name="TextBox 6"/>
        <cdr:cNvSpPr txBox="1">
          <a:spLocks noChangeArrowheads="1"/>
        </cdr:cNvSpPr>
      </cdr:nvSpPr>
      <cdr:spPr>
        <a:xfrm>
          <a:off x="4133850" y="1504950"/>
          <a:ext cx="10096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Tier2 Networking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28575</xdr:rowOff>
    </xdr:from>
    <xdr:to>
      <xdr:col>8</xdr:col>
      <xdr:colOff>304800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666750" y="514350"/>
        <a:ext cx="45148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123825</xdr:rowOff>
    </xdr:from>
    <xdr:to>
      <xdr:col>10</xdr:col>
      <xdr:colOff>85725</xdr:colOff>
      <xdr:row>41</xdr:row>
      <xdr:rowOff>142875</xdr:rowOff>
    </xdr:to>
    <xdr:graphicFrame>
      <xdr:nvGraphicFramePr>
        <xdr:cNvPr id="2" name="Chart 3"/>
        <xdr:cNvGraphicFramePr/>
      </xdr:nvGraphicFramePr>
      <xdr:xfrm>
        <a:off x="647700" y="3686175"/>
        <a:ext cx="55340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44</xdr:row>
      <xdr:rowOff>76200</xdr:rowOff>
    </xdr:from>
    <xdr:to>
      <xdr:col>8</xdr:col>
      <xdr:colOff>276225</xdr:colOff>
      <xdr:row>62</xdr:row>
      <xdr:rowOff>19050</xdr:rowOff>
    </xdr:to>
    <xdr:graphicFrame>
      <xdr:nvGraphicFramePr>
        <xdr:cNvPr id="3" name="Chart 4"/>
        <xdr:cNvGraphicFramePr/>
      </xdr:nvGraphicFramePr>
      <xdr:xfrm>
        <a:off x="638175" y="7200900"/>
        <a:ext cx="45148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44</xdr:row>
      <xdr:rowOff>104775</xdr:rowOff>
    </xdr:from>
    <xdr:to>
      <xdr:col>18</xdr:col>
      <xdr:colOff>66675</xdr:colOff>
      <xdr:row>62</xdr:row>
      <xdr:rowOff>47625</xdr:rowOff>
    </xdr:to>
    <xdr:graphicFrame>
      <xdr:nvGraphicFramePr>
        <xdr:cNvPr id="4" name="Chart 5"/>
        <xdr:cNvGraphicFramePr/>
      </xdr:nvGraphicFramePr>
      <xdr:xfrm>
        <a:off x="5486400" y="7229475"/>
        <a:ext cx="555307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152400</xdr:colOff>
      <xdr:row>64</xdr:row>
      <xdr:rowOff>85725</xdr:rowOff>
    </xdr:from>
    <xdr:to>
      <xdr:col>8</xdr:col>
      <xdr:colOff>257175</xdr:colOff>
      <xdr:row>82</xdr:row>
      <xdr:rowOff>28575</xdr:rowOff>
    </xdr:to>
    <xdr:graphicFrame>
      <xdr:nvGraphicFramePr>
        <xdr:cNvPr id="5" name="Chart 7"/>
        <xdr:cNvGraphicFramePr/>
      </xdr:nvGraphicFramePr>
      <xdr:xfrm>
        <a:off x="762000" y="10448925"/>
        <a:ext cx="4371975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209550</xdr:colOff>
      <xdr:row>23</xdr:row>
      <xdr:rowOff>28575</xdr:rowOff>
    </xdr:from>
    <xdr:to>
      <xdr:col>19</xdr:col>
      <xdr:colOff>266700</xdr:colOff>
      <xdr:row>42</xdr:row>
      <xdr:rowOff>57150</xdr:rowOff>
    </xdr:to>
    <xdr:graphicFrame>
      <xdr:nvGraphicFramePr>
        <xdr:cNvPr id="6" name="Chart 8"/>
        <xdr:cNvGraphicFramePr/>
      </xdr:nvGraphicFramePr>
      <xdr:xfrm>
        <a:off x="6305550" y="3752850"/>
        <a:ext cx="554355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114300</xdr:colOff>
      <xdr:row>64</xdr:row>
      <xdr:rowOff>47625</xdr:rowOff>
    </xdr:from>
    <xdr:to>
      <xdr:col>17</xdr:col>
      <xdr:colOff>276225</xdr:colOff>
      <xdr:row>82</xdr:row>
      <xdr:rowOff>0</xdr:rowOff>
    </xdr:to>
    <xdr:graphicFrame>
      <xdr:nvGraphicFramePr>
        <xdr:cNvPr id="7" name="Chart 9"/>
        <xdr:cNvGraphicFramePr/>
      </xdr:nvGraphicFramePr>
      <xdr:xfrm>
        <a:off x="5600700" y="10410825"/>
        <a:ext cx="5038725" cy="2867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209550</xdr:colOff>
      <xdr:row>86</xdr:row>
      <xdr:rowOff>0</xdr:rowOff>
    </xdr:from>
    <xdr:to>
      <xdr:col>17</xdr:col>
      <xdr:colOff>381000</xdr:colOff>
      <xdr:row>103</xdr:row>
      <xdr:rowOff>123825</xdr:rowOff>
    </xdr:to>
    <xdr:graphicFrame>
      <xdr:nvGraphicFramePr>
        <xdr:cNvPr id="8" name="Chart 10"/>
        <xdr:cNvGraphicFramePr/>
      </xdr:nvGraphicFramePr>
      <xdr:xfrm>
        <a:off x="5695950" y="13925550"/>
        <a:ext cx="5048250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105</xdr:row>
      <xdr:rowOff>0</xdr:rowOff>
    </xdr:from>
    <xdr:to>
      <xdr:col>17</xdr:col>
      <xdr:colOff>180975</xdr:colOff>
      <xdr:row>122</xdr:row>
      <xdr:rowOff>133350</xdr:rowOff>
    </xdr:to>
    <xdr:graphicFrame>
      <xdr:nvGraphicFramePr>
        <xdr:cNvPr id="9" name="Chart 11"/>
        <xdr:cNvGraphicFramePr/>
      </xdr:nvGraphicFramePr>
      <xdr:xfrm>
        <a:off x="5486400" y="17002125"/>
        <a:ext cx="5057775" cy="2886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152400</xdr:colOff>
      <xdr:row>94</xdr:row>
      <xdr:rowOff>28575</xdr:rowOff>
    </xdr:from>
    <xdr:to>
      <xdr:col>8</xdr:col>
      <xdr:colOff>342900</xdr:colOff>
      <xdr:row>112</xdr:row>
      <xdr:rowOff>9525</xdr:rowOff>
    </xdr:to>
    <xdr:graphicFrame>
      <xdr:nvGraphicFramePr>
        <xdr:cNvPr id="10" name="Chart 12"/>
        <xdr:cNvGraphicFramePr/>
      </xdr:nvGraphicFramePr>
      <xdr:xfrm>
        <a:off x="152400" y="15249525"/>
        <a:ext cx="5067300" cy="2895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5"/>
  <sheetViews>
    <sheetView workbookViewId="0" topLeftCell="A27">
      <selection activeCell="B34" sqref="B34"/>
    </sheetView>
  </sheetViews>
  <sheetFormatPr defaultColWidth="9.140625" defaultRowHeight="12.75" outlineLevelRow="1"/>
  <cols>
    <col min="1" max="1" width="10.140625" style="0" bestFit="1" customWidth="1"/>
    <col min="3" max="3" width="10.140625" style="0" bestFit="1" customWidth="1"/>
  </cols>
  <sheetData>
    <row r="1" spans="2:17" ht="12.75" outlineLevel="1">
      <c r="B1" t="s">
        <v>0</v>
      </c>
      <c r="E1" t="s">
        <v>2</v>
      </c>
      <c r="H1" t="s">
        <v>3</v>
      </c>
      <c r="K1" t="s">
        <v>5</v>
      </c>
      <c r="N1" t="s">
        <v>6</v>
      </c>
      <c r="Q1" t="s">
        <v>8</v>
      </c>
    </row>
    <row r="2" ht="12.75" outlineLevel="1"/>
    <row r="3" ht="12.75" outlineLevel="1"/>
    <row r="4" ht="12.75" outlineLevel="1"/>
    <row r="5" ht="13.5" outlineLevel="1" thickBot="1"/>
    <row r="6" spans="1:18" ht="13.5" outlineLevel="1" thickBot="1">
      <c r="A6" s="1">
        <v>37043</v>
      </c>
      <c r="B6" s="3">
        <v>49.62</v>
      </c>
      <c r="C6">
        <f aca="true" t="shared" si="0" ref="C6:C13">1000/B6</f>
        <v>20.153164046755343</v>
      </c>
      <c r="E6" s="3">
        <v>7.41</v>
      </c>
      <c r="F6">
        <f aca="true" t="shared" si="1" ref="F6:F13">1000/E6</f>
        <v>134.9527665317139</v>
      </c>
      <c r="H6">
        <v>0.25</v>
      </c>
      <c r="I6">
        <f aca="true" t="shared" si="2" ref="I6:I13">1/H6</f>
        <v>4</v>
      </c>
      <c r="K6">
        <v>0.03</v>
      </c>
      <c r="L6">
        <f aca="true" t="shared" si="3" ref="L6:L13">1/K6</f>
        <v>33.333333333333336</v>
      </c>
      <c r="N6">
        <v>1.18</v>
      </c>
      <c r="O6">
        <f aca="true" t="shared" si="4" ref="O6:O13">1000/N6</f>
        <v>847.4576271186442</v>
      </c>
      <c r="Q6">
        <v>1.48</v>
      </c>
      <c r="R6">
        <f aca="true" t="shared" si="5" ref="R6:R13">1000/Q6</f>
        <v>675.6756756756757</v>
      </c>
    </row>
    <row r="7" spans="1:18" ht="13.5" outlineLevel="1" thickBot="1">
      <c r="A7" s="1">
        <v>37408</v>
      </c>
      <c r="B7" s="3">
        <v>88.42</v>
      </c>
      <c r="C7">
        <f t="shared" si="0"/>
        <v>11.309658448314861</v>
      </c>
      <c r="E7" s="3">
        <v>13.91</v>
      </c>
      <c r="F7">
        <f t="shared" si="1"/>
        <v>71.89072609633357</v>
      </c>
      <c r="H7">
        <v>0.41</v>
      </c>
      <c r="I7">
        <f t="shared" si="2"/>
        <v>2.4390243902439024</v>
      </c>
      <c r="K7">
        <v>0.05</v>
      </c>
      <c r="L7">
        <f t="shared" si="3"/>
        <v>20</v>
      </c>
      <c r="N7">
        <v>1.64</v>
      </c>
      <c r="O7">
        <f t="shared" si="4"/>
        <v>609.7560975609756</v>
      </c>
      <c r="Q7">
        <v>2.05</v>
      </c>
      <c r="R7">
        <f t="shared" si="5"/>
        <v>487.80487804878055</v>
      </c>
    </row>
    <row r="8" spans="1:18" ht="13.5" outlineLevel="1" thickBot="1">
      <c r="A8" s="1">
        <v>37773</v>
      </c>
      <c r="B8" s="3">
        <v>157.55</v>
      </c>
      <c r="C8">
        <f t="shared" si="0"/>
        <v>6.34719136781974</v>
      </c>
      <c r="E8" s="3">
        <v>26.12</v>
      </c>
      <c r="F8">
        <f t="shared" si="1"/>
        <v>38.28483920367535</v>
      </c>
      <c r="H8">
        <v>0.67</v>
      </c>
      <c r="I8">
        <f t="shared" si="2"/>
        <v>1.4925373134328357</v>
      </c>
      <c r="K8">
        <v>0.08</v>
      </c>
      <c r="L8">
        <f t="shared" si="3"/>
        <v>12.5</v>
      </c>
      <c r="N8">
        <v>2.28</v>
      </c>
      <c r="O8">
        <f t="shared" si="4"/>
        <v>438.5964912280702</v>
      </c>
      <c r="Q8">
        <v>2.85</v>
      </c>
      <c r="R8">
        <f t="shared" si="5"/>
        <v>350.8771929824561</v>
      </c>
    </row>
    <row r="9" spans="1:18" ht="13.5" outlineLevel="1" thickBot="1">
      <c r="A9" s="1">
        <v>38139</v>
      </c>
      <c r="B9" s="3">
        <v>281.16</v>
      </c>
      <c r="C9">
        <f t="shared" si="0"/>
        <v>3.5566936975387677</v>
      </c>
      <c r="E9" s="3">
        <v>49.14</v>
      </c>
      <c r="F9">
        <f t="shared" si="1"/>
        <v>20.35002035002035</v>
      </c>
      <c r="H9">
        <v>1.1</v>
      </c>
      <c r="I9">
        <f t="shared" si="2"/>
        <v>0.9090909090909091</v>
      </c>
      <c r="K9">
        <v>0.13</v>
      </c>
      <c r="L9">
        <f t="shared" si="3"/>
        <v>7.692307692307692</v>
      </c>
      <c r="N9">
        <v>3.18</v>
      </c>
      <c r="O9">
        <f t="shared" si="4"/>
        <v>314.4654088050314</v>
      </c>
      <c r="Q9">
        <v>3.97</v>
      </c>
      <c r="R9">
        <f t="shared" si="5"/>
        <v>251.88916876574305</v>
      </c>
    </row>
    <row r="10" spans="1:18" ht="13.5" outlineLevel="1" thickBot="1">
      <c r="A10" s="1">
        <v>38504</v>
      </c>
      <c r="B10" s="3">
        <v>500.98</v>
      </c>
      <c r="C10">
        <f t="shared" si="0"/>
        <v>1.996087668170386</v>
      </c>
      <c r="E10" s="3">
        <v>92.28</v>
      </c>
      <c r="F10">
        <f t="shared" si="1"/>
        <v>10.836584308625921</v>
      </c>
      <c r="H10">
        <v>1.8</v>
      </c>
      <c r="I10">
        <f t="shared" si="2"/>
        <v>0.5555555555555556</v>
      </c>
      <c r="K10">
        <v>0.21</v>
      </c>
      <c r="L10">
        <f t="shared" si="3"/>
        <v>4.761904761904762</v>
      </c>
      <c r="N10">
        <v>4.42</v>
      </c>
      <c r="O10">
        <f t="shared" si="4"/>
        <v>226.2443438914027</v>
      </c>
      <c r="Q10">
        <v>5.53</v>
      </c>
      <c r="R10">
        <f t="shared" si="5"/>
        <v>180.83182640144665</v>
      </c>
    </row>
    <row r="11" spans="1:18" ht="13.5" outlineLevel="1" thickBot="1">
      <c r="A11" s="2">
        <v>38869</v>
      </c>
      <c r="B11" s="3">
        <v>892.64</v>
      </c>
      <c r="C11">
        <f t="shared" si="0"/>
        <v>1.1202724502599033</v>
      </c>
      <c r="E11" s="3">
        <v>173.3</v>
      </c>
      <c r="F11">
        <f t="shared" si="1"/>
        <v>5.770340450086555</v>
      </c>
      <c r="H11">
        <v>2.95</v>
      </c>
      <c r="I11">
        <f t="shared" si="2"/>
        <v>0.3389830508474576</v>
      </c>
      <c r="K11">
        <v>0.34</v>
      </c>
      <c r="L11">
        <f t="shared" si="3"/>
        <v>2.941176470588235</v>
      </c>
      <c r="N11">
        <v>6.15</v>
      </c>
      <c r="O11">
        <f t="shared" si="4"/>
        <v>162.60162601626016</v>
      </c>
      <c r="Q11">
        <v>7.69</v>
      </c>
      <c r="R11">
        <f t="shared" si="5"/>
        <v>130.03901170351105</v>
      </c>
    </row>
    <row r="12" spans="1:18" ht="13.5" outlineLevel="1" thickBot="1">
      <c r="A12" s="2">
        <v>39234</v>
      </c>
      <c r="B12" s="3">
        <v>1590.5</v>
      </c>
      <c r="C12">
        <f t="shared" si="0"/>
        <v>0.6287331027978623</v>
      </c>
      <c r="E12" s="3">
        <v>325.43</v>
      </c>
      <c r="F12">
        <f t="shared" si="1"/>
        <v>3.072857450142888</v>
      </c>
      <c r="H12">
        <v>4.84</v>
      </c>
      <c r="I12">
        <f t="shared" si="2"/>
        <v>0.2066115702479339</v>
      </c>
      <c r="K12">
        <v>0.56</v>
      </c>
      <c r="L12">
        <f t="shared" si="3"/>
        <v>1.7857142857142856</v>
      </c>
      <c r="N12">
        <v>8.56</v>
      </c>
      <c r="O12">
        <f t="shared" si="4"/>
        <v>116.82242990654206</v>
      </c>
      <c r="Q12">
        <v>10.7</v>
      </c>
      <c r="R12">
        <f t="shared" si="5"/>
        <v>93.45794392523365</v>
      </c>
    </row>
    <row r="13" spans="1:18" ht="13.5" outlineLevel="1" thickBot="1">
      <c r="A13" s="2">
        <v>39600</v>
      </c>
      <c r="B13" s="3">
        <v>2838.44</v>
      </c>
      <c r="C13">
        <f t="shared" si="0"/>
        <v>0.3523061963613816</v>
      </c>
      <c r="E13" s="3">
        <v>612.17</v>
      </c>
      <c r="F13">
        <f t="shared" si="1"/>
        <v>1.6335331688909944</v>
      </c>
      <c r="H13">
        <v>7.95</v>
      </c>
      <c r="I13">
        <f t="shared" si="2"/>
        <v>0.12578616352201258</v>
      </c>
      <c r="K13">
        <v>0.92</v>
      </c>
      <c r="L13">
        <f t="shared" si="3"/>
        <v>1.0869565217391304</v>
      </c>
      <c r="N13">
        <v>11.92</v>
      </c>
      <c r="O13">
        <f t="shared" si="4"/>
        <v>83.89261744966443</v>
      </c>
      <c r="Q13">
        <v>14.9</v>
      </c>
      <c r="R13">
        <f t="shared" si="5"/>
        <v>67.11409395973155</v>
      </c>
    </row>
    <row r="14" spans="3:18" ht="12.75" outlineLevel="1">
      <c r="C14" t="s">
        <v>1</v>
      </c>
      <c r="F14" t="s">
        <v>1</v>
      </c>
      <c r="I14" t="s">
        <v>4</v>
      </c>
      <c r="L14" t="s">
        <v>4</v>
      </c>
      <c r="O14" t="s">
        <v>7</v>
      </c>
      <c r="R14" t="s">
        <v>9</v>
      </c>
    </row>
    <row r="15" ht="12.75" outlineLevel="1"/>
    <row r="16" ht="12.75" outlineLevel="1"/>
    <row r="17" ht="12.75">
      <c r="A17" t="s">
        <v>113</v>
      </c>
    </row>
    <row r="18" spans="6:10" ht="12.75">
      <c r="F18">
        <v>2004</v>
      </c>
      <c r="G18">
        <v>2005</v>
      </c>
      <c r="H18">
        <v>2006</v>
      </c>
      <c r="I18">
        <v>2007</v>
      </c>
      <c r="J18" t="s">
        <v>15</v>
      </c>
    </row>
    <row r="19" ht="12.75">
      <c r="A19" t="s">
        <v>137</v>
      </c>
    </row>
    <row r="20" spans="1:10" ht="12.75">
      <c r="A20" t="s">
        <v>139</v>
      </c>
      <c r="F20">
        <v>20000</v>
      </c>
      <c r="G20">
        <v>20000</v>
      </c>
      <c r="H20">
        <v>20000</v>
      </c>
      <c r="I20">
        <f>J20/4</f>
        <v>15000</v>
      </c>
      <c r="J20">
        <f>SUM(F20:H20)</f>
        <v>60000</v>
      </c>
    </row>
    <row r="23" ht="12.75">
      <c r="A23" t="s">
        <v>138</v>
      </c>
    </row>
    <row r="24" spans="1:10" ht="12.75">
      <c r="A24" t="s">
        <v>140</v>
      </c>
      <c r="F24">
        <v>10000</v>
      </c>
      <c r="G24">
        <v>10000</v>
      </c>
      <c r="H24">
        <v>20000</v>
      </c>
      <c r="I24">
        <f>J24/4</f>
        <v>10000</v>
      </c>
      <c r="J24">
        <f>SUM(F24:H24)</f>
        <v>40000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9" spans="1:10" ht="12.75">
      <c r="A29" t="s">
        <v>15</v>
      </c>
      <c r="F29">
        <f>SUM(F20+F24)</f>
        <v>30000</v>
      </c>
      <c r="G29">
        <f>SUM(G20+G24)</f>
        <v>30000</v>
      </c>
      <c r="H29">
        <f>SUM(H20+H24)</f>
        <v>40000</v>
      </c>
      <c r="I29">
        <f>SUM(I20+I24)</f>
        <v>25000</v>
      </c>
      <c r="J29">
        <f>SUM(J20+J24)</f>
        <v>100000</v>
      </c>
    </row>
    <row r="31" spans="1:10" ht="12.75">
      <c r="A31" t="s">
        <v>110</v>
      </c>
      <c r="F31">
        <v>2004</v>
      </c>
      <c r="G31">
        <v>2005</v>
      </c>
      <c r="H31">
        <v>2006</v>
      </c>
      <c r="I31">
        <v>2007</v>
      </c>
      <c r="J31" t="s">
        <v>15</v>
      </c>
    </row>
    <row r="32" spans="2:9" ht="12.75" hidden="1" outlineLevel="1">
      <c r="B32" t="s">
        <v>10</v>
      </c>
      <c r="D32" t="s">
        <v>11</v>
      </c>
      <c r="F32">
        <v>0.1</v>
      </c>
      <c r="G32">
        <v>0.3</v>
      </c>
      <c r="H32">
        <v>0.6</v>
      </c>
      <c r="I32" t="s">
        <v>16</v>
      </c>
    </row>
    <row r="33" spans="2:10" ht="12.75" hidden="1" outlineLevel="1">
      <c r="B33">
        <v>106000</v>
      </c>
      <c r="D33">
        <v>0.8</v>
      </c>
      <c r="F33">
        <f>(B33/D33)*C9*F32</f>
        <v>47126.19149238867</v>
      </c>
      <c r="G33">
        <f>(B33/D33)*G32*C10</f>
        <v>79344.48480977285</v>
      </c>
      <c r="H33">
        <f>(B33/D33)*H32*C11</f>
        <v>89061.65979566232</v>
      </c>
      <c r="I33">
        <f>I34*2000</f>
        <v>72000</v>
      </c>
      <c r="J33">
        <f>F33+G33+H33</f>
        <v>215532.33609782386</v>
      </c>
    </row>
    <row r="34" spans="4:10" ht="12.75" hidden="1" outlineLevel="1">
      <c r="D34" t="s">
        <v>12</v>
      </c>
      <c r="F34">
        <f>INT(F33/2000)+1</f>
        <v>24</v>
      </c>
      <c r="G34">
        <f>INT(G33/2000)+1</f>
        <v>40</v>
      </c>
      <c r="H34">
        <f>INT(H33/2000)+1</f>
        <v>45</v>
      </c>
      <c r="I34">
        <f>INT(J34/3)</f>
        <v>36</v>
      </c>
      <c r="J34">
        <f>F34+G34+H34</f>
        <v>109</v>
      </c>
    </row>
    <row r="35" spans="1:9" ht="12.75" hidden="1" outlineLevel="1">
      <c r="A35" t="s">
        <v>14</v>
      </c>
      <c r="B35">
        <v>1000</v>
      </c>
      <c r="D35">
        <v>0.8</v>
      </c>
      <c r="F35">
        <f>(B35/D35)*L9</f>
        <v>9615.384615384615</v>
      </c>
      <c r="I35">
        <f>(B35/D35)*L12</f>
        <v>2232.142857142857</v>
      </c>
    </row>
    <row r="36" ht="12.75" hidden="1" outlineLevel="1"/>
    <row r="37" ht="12.75" hidden="1" outlineLevel="1">
      <c r="J37" t="s">
        <v>15</v>
      </c>
    </row>
    <row r="38" spans="1:10" ht="12.75" hidden="1" outlineLevel="1">
      <c r="A38" t="s">
        <v>13</v>
      </c>
      <c r="D38">
        <v>0.5</v>
      </c>
      <c r="F38">
        <f>F33*0.5</f>
        <v>23563.095746194336</v>
      </c>
      <c r="G38">
        <f>G33*0.5</f>
        <v>39672.24240488643</v>
      </c>
      <c r="H38">
        <f>H33*0.5</f>
        <v>44530.82989783116</v>
      </c>
      <c r="I38">
        <f>I33*0.5</f>
        <v>36000</v>
      </c>
      <c r="J38">
        <f>F38+G38+H38</f>
        <v>107766.16804891193</v>
      </c>
    </row>
    <row r="39" ht="12.75" hidden="1" outlineLevel="1"/>
    <row r="40" ht="12.75" hidden="1" outlineLevel="1"/>
    <row r="41" ht="12.75" hidden="1" outlineLevel="1"/>
    <row r="42" spans="1:9" ht="12.75" hidden="1" outlineLevel="1">
      <c r="A42" t="s">
        <v>109</v>
      </c>
      <c r="F42">
        <f>F33+F35+F38</f>
        <v>80304.67185396762</v>
      </c>
      <c r="G42">
        <f>G33+G35+G38</f>
        <v>119016.72721465927</v>
      </c>
      <c r="H42">
        <f>H33+H35+H38</f>
        <v>133592.48969349347</v>
      </c>
      <c r="I42">
        <f>I33+I35+I38</f>
        <v>110232.14285714286</v>
      </c>
    </row>
    <row r="43" spans="1:10" ht="12.75" collapsed="1">
      <c r="A43" t="s">
        <v>104</v>
      </c>
      <c r="F43">
        <v>2004</v>
      </c>
      <c r="G43">
        <v>2005</v>
      </c>
      <c r="H43">
        <v>2006</v>
      </c>
      <c r="I43">
        <v>2007</v>
      </c>
      <c r="J43" t="s">
        <v>15</v>
      </c>
    </row>
    <row r="44" spans="2:9" ht="12.75" hidden="1" outlineLevel="1">
      <c r="B44" t="s">
        <v>10</v>
      </c>
      <c r="D44" t="s">
        <v>11</v>
      </c>
      <c r="F44">
        <v>0.1</v>
      </c>
      <c r="G44">
        <v>0.3</v>
      </c>
      <c r="H44">
        <v>0.6</v>
      </c>
      <c r="I44" t="s">
        <v>16</v>
      </c>
    </row>
    <row r="45" spans="2:10" ht="12.75" hidden="1" outlineLevel="1">
      <c r="B45">
        <v>60000</v>
      </c>
      <c r="D45">
        <v>0.6</v>
      </c>
      <c r="F45">
        <f>(B45/D45)*F44*C9</f>
        <v>35566.936975387674</v>
      </c>
      <c r="G45">
        <f>(B45/D45)*G44*C10</f>
        <v>59882.63004511158</v>
      </c>
      <c r="H45">
        <f>(B45/D45)*H44*C11</f>
        <v>67216.3470155942</v>
      </c>
      <c r="I45">
        <f>I46*2000</f>
        <v>54000</v>
      </c>
      <c r="J45">
        <f>F45+G45+H45</f>
        <v>162665.91403609345</v>
      </c>
    </row>
    <row r="46" spans="4:10" ht="12.75" hidden="1" outlineLevel="1">
      <c r="D46" t="s">
        <v>12</v>
      </c>
      <c r="F46">
        <f>INT(F45/2000)+1</f>
        <v>18</v>
      </c>
      <c r="G46">
        <f>INT(G45/2000)+1</f>
        <v>30</v>
      </c>
      <c r="H46">
        <f>INT(H45/2000)+1</f>
        <v>34</v>
      </c>
      <c r="I46">
        <f>INT(J46/3)</f>
        <v>27</v>
      </c>
      <c r="J46">
        <f>F46+G46+H46</f>
        <v>82</v>
      </c>
    </row>
    <row r="47" ht="12.75" hidden="1" outlineLevel="1"/>
    <row r="48" spans="1:10" ht="12.75" hidden="1" outlineLevel="1">
      <c r="A48" t="s">
        <v>13</v>
      </c>
      <c r="D48">
        <v>0.5</v>
      </c>
      <c r="F48">
        <f>F45*0.5</f>
        <v>17783.468487693837</v>
      </c>
      <c r="G48">
        <f>G45*0.5</f>
        <v>29941.31502255579</v>
      </c>
      <c r="H48">
        <f>H45*0.5</f>
        <v>33608.1735077971</v>
      </c>
      <c r="I48">
        <f>I45*0.5</f>
        <v>27000</v>
      </c>
      <c r="J48">
        <f>F48+G48+H48</f>
        <v>81332.95701804673</v>
      </c>
    </row>
    <row r="49" ht="12.75" hidden="1" outlineLevel="1"/>
    <row r="50" spans="1:10" ht="12.75" hidden="1" outlineLevel="1">
      <c r="A50" t="s">
        <v>109</v>
      </c>
      <c r="F50">
        <f>F45+F48</f>
        <v>53350.40546308151</v>
      </c>
      <c r="G50">
        <f>G45+G48</f>
        <v>89823.94506766737</v>
      </c>
      <c r="H50">
        <f>H45+H48</f>
        <v>100824.52052339131</v>
      </c>
      <c r="I50">
        <f>I45+I48</f>
        <v>81000</v>
      </c>
      <c r="J50">
        <f>SUM(F50:H50)</f>
        <v>243998.8710541402</v>
      </c>
    </row>
    <row r="51" ht="12.75" collapsed="1">
      <c r="A51" t="s">
        <v>105</v>
      </c>
    </row>
    <row r="52" spans="2:10" ht="12.75" hidden="1" outlineLevel="1">
      <c r="B52" t="s">
        <v>10</v>
      </c>
      <c r="D52" t="s">
        <v>11</v>
      </c>
      <c r="F52">
        <v>2004</v>
      </c>
      <c r="G52">
        <v>2005</v>
      </c>
      <c r="H52">
        <v>2006</v>
      </c>
      <c r="I52">
        <v>2007</v>
      </c>
      <c r="J52" t="s">
        <v>15</v>
      </c>
    </row>
    <row r="53" spans="1:9" ht="12.75" hidden="1" outlineLevel="1">
      <c r="A53">
        <v>0.2</v>
      </c>
      <c r="B53">
        <f>B45*A53</f>
        <v>12000</v>
      </c>
      <c r="D53">
        <v>1</v>
      </c>
      <c r="F53">
        <v>0.1</v>
      </c>
      <c r="G53">
        <v>0.3</v>
      </c>
      <c r="H53">
        <v>0.6</v>
      </c>
      <c r="I53" t="s">
        <v>16</v>
      </c>
    </row>
    <row r="54" spans="6:10" ht="12.75" hidden="1" outlineLevel="1">
      <c r="F54">
        <f>B53*D53*F9</f>
        <v>244200.24420024423</v>
      </c>
      <c r="G54">
        <f>B53*D53*F10</f>
        <v>130039.01170351106</v>
      </c>
      <c r="H54">
        <f>B53*D53*F11</f>
        <v>69244.08540103865</v>
      </c>
      <c r="I54">
        <f>J54/3</f>
        <v>147827.7804349313</v>
      </c>
      <c r="J54">
        <f>F54+G54+H54</f>
        <v>443483.34130479395</v>
      </c>
    </row>
    <row r="55" spans="2:8" ht="12.75" hidden="1" outlineLevel="1">
      <c r="B55" t="s">
        <v>12</v>
      </c>
      <c r="F55">
        <v>1</v>
      </c>
      <c r="G55">
        <v>3</v>
      </c>
      <c r="H55">
        <v>6</v>
      </c>
    </row>
    <row r="56" ht="12.75" collapsed="1">
      <c r="A56" t="s">
        <v>111</v>
      </c>
    </row>
    <row r="57" spans="1:10" ht="12.75" hidden="1" outlineLevel="1">
      <c r="A57">
        <f>B33/D33</f>
        <v>132500</v>
      </c>
      <c r="B57" t="s">
        <v>10</v>
      </c>
      <c r="D57" t="s">
        <v>11</v>
      </c>
      <c r="F57">
        <v>2004</v>
      </c>
      <c r="G57">
        <v>2005</v>
      </c>
      <c r="H57">
        <v>2006</v>
      </c>
      <c r="I57">
        <v>2007</v>
      </c>
      <c r="J57" t="s">
        <v>15</v>
      </c>
    </row>
    <row r="58" spans="1:9" ht="12.75" hidden="1" outlineLevel="1">
      <c r="A58">
        <v>0.05</v>
      </c>
      <c r="B58">
        <f>A57*A58</f>
        <v>6625</v>
      </c>
      <c r="D58">
        <v>1</v>
      </c>
      <c r="F58">
        <v>0.1</v>
      </c>
      <c r="G58">
        <v>0.3</v>
      </c>
      <c r="H58">
        <v>0.6</v>
      </c>
      <c r="I58" t="s">
        <v>16</v>
      </c>
    </row>
    <row r="59" spans="6:10" ht="12.75" hidden="1" outlineLevel="1">
      <c r="F59">
        <f>B58*D58*F9</f>
        <v>134818.88481888484</v>
      </c>
      <c r="G59">
        <f>B58*D58*F10</f>
        <v>71792.37104464673</v>
      </c>
      <c r="H59">
        <f>B58*D58*F11</f>
        <v>38228.50548182343</v>
      </c>
      <c r="I59">
        <f>J59/3</f>
        <v>81613.253781785</v>
      </c>
      <c r="J59">
        <f>F59+G59+H59</f>
        <v>244839.761345355</v>
      </c>
    </row>
    <row r="60" spans="6:8" ht="12.75" hidden="1" outlineLevel="1">
      <c r="F60">
        <v>1</v>
      </c>
      <c r="G60">
        <v>1</v>
      </c>
      <c r="H60">
        <v>1</v>
      </c>
    </row>
    <row r="61" ht="12.75" hidden="1" outlineLevel="1"/>
    <row r="62" ht="12.75" hidden="1" outlineLevel="1"/>
    <row r="63" ht="12.75" hidden="1" outlineLevel="1"/>
    <row r="64" ht="12.75" collapsed="1">
      <c r="A64" t="s">
        <v>107</v>
      </c>
    </row>
    <row r="65" spans="2:10" ht="12.75" hidden="1" outlineLevel="1">
      <c r="B65" t="s">
        <v>10</v>
      </c>
      <c r="D65" t="s">
        <v>11</v>
      </c>
      <c r="F65">
        <v>2004</v>
      </c>
      <c r="G65">
        <v>2005</v>
      </c>
      <c r="H65">
        <v>2006</v>
      </c>
      <c r="I65">
        <v>2007</v>
      </c>
      <c r="J65" t="s">
        <v>15</v>
      </c>
    </row>
    <row r="66" spans="1:10" ht="12.75" hidden="1" outlineLevel="1">
      <c r="A66" t="s">
        <v>17</v>
      </c>
      <c r="B66">
        <v>270</v>
      </c>
      <c r="D66">
        <v>0.75</v>
      </c>
      <c r="F66">
        <v>0.1</v>
      </c>
      <c r="G66">
        <v>0.3</v>
      </c>
      <c r="H66">
        <v>0.6</v>
      </c>
      <c r="I66" t="s">
        <v>16</v>
      </c>
      <c r="J66" t="s">
        <v>15</v>
      </c>
    </row>
    <row r="67" spans="1:10" ht="12.75" hidden="1" outlineLevel="1">
      <c r="A67" t="s">
        <v>18</v>
      </c>
      <c r="F67">
        <f>(B66/D66)*F66*((I9+L9)/2)*1000</f>
        <v>154825.1748251748</v>
      </c>
      <c r="G67">
        <f>(B66/D66)*G66*((I10+L10)/2)*1000</f>
        <v>287142.8571428571</v>
      </c>
      <c r="H67">
        <f>(B66/D66)*H66*((I11+L11)/2)*1000</f>
        <v>354257.2283150548</v>
      </c>
      <c r="I67">
        <f>J67/3</f>
        <v>265408.4200943622</v>
      </c>
      <c r="J67">
        <f>F67+G67+H67</f>
        <v>796225.2602830867</v>
      </c>
    </row>
    <row r="68" ht="12.75" hidden="1" outlineLevel="1"/>
    <row r="69" ht="12.75" hidden="1" outlineLevel="1"/>
    <row r="70" spans="1:10" ht="12.75" hidden="1" outlineLevel="1">
      <c r="A70" t="s">
        <v>8</v>
      </c>
      <c r="F70">
        <v>5</v>
      </c>
      <c r="G70">
        <v>15</v>
      </c>
      <c r="H70">
        <v>15</v>
      </c>
      <c r="I70">
        <f>INT(J70/4)</f>
        <v>8</v>
      </c>
      <c r="J70">
        <f>F70+G70+H70</f>
        <v>35</v>
      </c>
    </row>
    <row r="71" spans="1:10" ht="12.75" hidden="1" outlineLevel="1">
      <c r="A71" t="s">
        <v>53</v>
      </c>
      <c r="B71">
        <v>10000</v>
      </c>
      <c r="F71">
        <f>F70*B71</f>
        <v>50000</v>
      </c>
      <c r="G71">
        <f>G70*B71</f>
        <v>150000</v>
      </c>
      <c r="H71">
        <f>H70*B71</f>
        <v>150000</v>
      </c>
      <c r="I71">
        <f>I70*B71</f>
        <v>80000</v>
      </c>
      <c r="J71">
        <f>J70*B71</f>
        <v>350000</v>
      </c>
    </row>
    <row r="72" spans="6:8" ht="12.75" hidden="1" outlineLevel="1">
      <c r="F72">
        <v>0.1</v>
      </c>
      <c r="G72">
        <v>0.3</v>
      </c>
      <c r="H72">
        <v>0.6</v>
      </c>
    </row>
    <row r="73" ht="12.75" hidden="1" outlineLevel="1">
      <c r="A73" t="s">
        <v>19</v>
      </c>
    </row>
    <row r="74" spans="1:10" ht="12.75" hidden="1" outlineLevel="1">
      <c r="A74" t="s">
        <v>52</v>
      </c>
      <c r="B74">
        <v>1000</v>
      </c>
      <c r="D74">
        <v>1</v>
      </c>
      <c r="F74">
        <v>0.1</v>
      </c>
      <c r="G74">
        <v>0.3</v>
      </c>
      <c r="H74">
        <v>0.6</v>
      </c>
      <c r="I74" t="s">
        <v>16</v>
      </c>
      <c r="J74" t="s">
        <v>15</v>
      </c>
    </row>
    <row r="75" spans="6:10" ht="12.75" hidden="1" outlineLevel="1">
      <c r="F75">
        <f>(B74/D74)*F74*O9</f>
        <v>31446.54088050314</v>
      </c>
      <c r="G75">
        <f>B74*D74*G74*O10</f>
        <v>67873.30316742082</v>
      </c>
      <c r="H75">
        <f>B74*D74*H74*O11</f>
        <v>97560.97560975609</v>
      </c>
      <c r="I75">
        <f>J75/4</f>
        <v>49220.204914420014</v>
      </c>
      <c r="J75">
        <f>F75+G75+H75</f>
        <v>196880.81965768005</v>
      </c>
    </row>
    <row r="76" ht="12.75" hidden="1" outlineLevel="1"/>
    <row r="77" spans="1:9" ht="12.75" hidden="1" outlineLevel="1">
      <c r="A77" t="s">
        <v>20</v>
      </c>
      <c r="B77">
        <v>75</v>
      </c>
      <c r="D77">
        <v>1</v>
      </c>
      <c r="F77">
        <v>0.5</v>
      </c>
      <c r="G77">
        <v>0.5</v>
      </c>
      <c r="H77">
        <v>0</v>
      </c>
      <c r="I77">
        <v>0.2</v>
      </c>
    </row>
    <row r="78" spans="1:9" ht="12.75" hidden="1" outlineLevel="1">
      <c r="A78" t="s">
        <v>21</v>
      </c>
      <c r="B78">
        <v>6500</v>
      </c>
      <c r="F78">
        <f>(B78/D77)*B77*F77</f>
        <v>243750</v>
      </c>
      <c r="G78">
        <f>(B78/D77)*B77*G77</f>
        <v>243750</v>
      </c>
      <c r="H78">
        <f>(B78/D77)*B77*H77</f>
        <v>0</v>
      </c>
      <c r="I78">
        <f>(B78/D77)*B77*I77</f>
        <v>97500</v>
      </c>
    </row>
    <row r="79" ht="12.75" hidden="1" outlineLevel="1"/>
    <row r="80" ht="12.75" hidden="1" outlineLevel="1"/>
    <row r="81" spans="1:10" ht="12.75" hidden="1" outlineLevel="1">
      <c r="A81" t="s">
        <v>144</v>
      </c>
      <c r="F81">
        <v>0</v>
      </c>
      <c r="G81">
        <f>B78*F77*B82</f>
        <v>15600</v>
      </c>
      <c r="H81">
        <f>B78*SUM(F77:G77)*B82</f>
        <v>31200</v>
      </c>
      <c r="I81">
        <f>B78*B82</f>
        <v>31200</v>
      </c>
      <c r="J81">
        <f>SUM(F81:H81)</f>
        <v>46800</v>
      </c>
    </row>
    <row r="82" spans="1:2" ht="12.75" hidden="1" outlineLevel="1">
      <c r="A82" t="s">
        <v>145</v>
      </c>
      <c r="B82">
        <v>4.8</v>
      </c>
    </row>
    <row r="83" spans="1:10" ht="12.75" hidden="1" outlineLevel="1">
      <c r="A83" t="s">
        <v>15</v>
      </c>
      <c r="F83">
        <f>F67+F71+F75+F78+F81</f>
        <v>480021.7157056779</v>
      </c>
      <c r="G83">
        <f>G67+G71+G75+G78+G81</f>
        <v>764366.160310278</v>
      </c>
      <c r="H83">
        <f>H67+H71+H75+H78+H81</f>
        <v>633018.2039248109</v>
      </c>
      <c r="I83">
        <f>I67+I71+I75+I78+I81</f>
        <v>523328.62500878226</v>
      </c>
      <c r="J83">
        <f>J67+J71+J75+J78+J81</f>
        <v>1389906.0799407668</v>
      </c>
    </row>
    <row r="84" ht="12.75" collapsed="1">
      <c r="A84" t="s">
        <v>112</v>
      </c>
    </row>
    <row r="85" ht="12.75" hidden="1" outlineLevel="1"/>
    <row r="86" ht="12.75" hidden="1" outlineLevel="1">
      <c r="A86" t="s">
        <v>146</v>
      </c>
    </row>
    <row r="87" spans="6:9" ht="12.75" hidden="1" outlineLevel="1">
      <c r="F87">
        <v>0.5</v>
      </c>
      <c r="G87">
        <v>1</v>
      </c>
      <c r="H87">
        <v>1</v>
      </c>
      <c r="I87">
        <v>1</v>
      </c>
    </row>
    <row r="88" spans="1:10" ht="12.75" hidden="1" outlineLevel="1">
      <c r="A88" t="s">
        <v>147</v>
      </c>
      <c r="C88">
        <v>100</v>
      </c>
      <c r="F88">
        <f>C88*C89*F87</f>
        <v>3750</v>
      </c>
      <c r="G88">
        <f>G87*C88*C89</f>
        <v>7500</v>
      </c>
      <c r="H88">
        <f>H87*C88*C89</f>
        <v>7500</v>
      </c>
      <c r="I88">
        <f>I87*C88*C89</f>
        <v>7500</v>
      </c>
      <c r="J88">
        <f>SUM(F88:H88)</f>
        <v>18750</v>
      </c>
    </row>
    <row r="89" spans="1:3" ht="12.75" hidden="1" outlineLevel="1">
      <c r="A89" t="s">
        <v>148</v>
      </c>
      <c r="B89" t="s">
        <v>151</v>
      </c>
      <c r="C89">
        <v>75</v>
      </c>
    </row>
    <row r="90" ht="12.75" hidden="1" outlineLevel="1">
      <c r="A90" t="s">
        <v>149</v>
      </c>
    </row>
    <row r="91" ht="12.75" hidden="1" outlineLevel="1"/>
    <row r="92" spans="1:10" ht="12.75" hidden="1" outlineLevel="1">
      <c r="A92" t="s">
        <v>150</v>
      </c>
      <c r="F92">
        <v>5000</v>
      </c>
      <c r="G92">
        <v>5000</v>
      </c>
      <c r="H92">
        <v>5000</v>
      </c>
      <c r="I92">
        <v>5000</v>
      </c>
      <c r="J92">
        <f>SUM(F92:H92)</f>
        <v>15000</v>
      </c>
    </row>
    <row r="93" ht="12.75" hidden="1" outlineLevel="1"/>
    <row r="94" spans="1:10" ht="12.75" hidden="1" outlineLevel="1">
      <c r="A94" t="s">
        <v>152</v>
      </c>
      <c r="F94">
        <v>15000</v>
      </c>
      <c r="G94">
        <v>0</v>
      </c>
      <c r="H94">
        <v>15000</v>
      </c>
      <c r="I94">
        <f>J94/3</f>
        <v>10000</v>
      </c>
      <c r="J94">
        <f>SUM(F94:H94)</f>
        <v>30000</v>
      </c>
    </row>
    <row r="95" ht="12.75" hidden="1" outlineLevel="1"/>
    <row r="96" spans="1:10" ht="12.75" hidden="1" outlineLevel="1">
      <c r="A96" t="s">
        <v>15</v>
      </c>
      <c r="F96">
        <f>SUM(F88+F92+F94)</f>
        <v>23750</v>
      </c>
      <c r="G96">
        <f>SUM(G88+G92+G94)</f>
        <v>12500</v>
      </c>
      <c r="H96">
        <f>SUM(H88+H92+H94)</f>
        <v>27500</v>
      </c>
      <c r="I96">
        <f>SUM(I88+I92+I94)</f>
        <v>22500</v>
      </c>
      <c r="J96">
        <f>SUM(J88+J92+J94)</f>
        <v>63750</v>
      </c>
    </row>
    <row r="97" ht="12.75" collapsed="1">
      <c r="A97" t="s">
        <v>114</v>
      </c>
    </row>
    <row r="98" spans="4:11" ht="12.75" hidden="1" outlineLevel="1">
      <c r="D98">
        <v>2001</v>
      </c>
      <c r="E98">
        <v>2002</v>
      </c>
      <c r="F98">
        <v>2003</v>
      </c>
      <c r="G98">
        <v>2004</v>
      </c>
      <c r="H98">
        <v>2005</v>
      </c>
      <c r="I98">
        <v>2006</v>
      </c>
      <c r="J98" t="s">
        <v>23</v>
      </c>
      <c r="K98" t="s">
        <v>16</v>
      </c>
    </row>
    <row r="99" spans="2:10" ht="12.75" hidden="1" outlineLevel="1">
      <c r="B99" t="s">
        <v>22</v>
      </c>
      <c r="D99">
        <v>0</v>
      </c>
      <c r="E99">
        <v>1</v>
      </c>
      <c r="F99">
        <v>1</v>
      </c>
      <c r="H99">
        <v>1</v>
      </c>
      <c r="J99">
        <v>3</v>
      </c>
    </row>
    <row r="100" spans="2:11" ht="12.75" hidden="1" outlineLevel="1">
      <c r="B100" t="s">
        <v>24</v>
      </c>
      <c r="C100">
        <v>20000</v>
      </c>
      <c r="D100">
        <f>D99*C100</f>
        <v>0</v>
      </c>
      <c r="E100">
        <f>E99*C100</f>
        <v>20000</v>
      </c>
      <c r="F100">
        <f>F99*C100</f>
        <v>20000</v>
      </c>
      <c r="G100">
        <f>G99*C100</f>
        <v>0</v>
      </c>
      <c r="H100">
        <f>H99*C100</f>
        <v>20000</v>
      </c>
      <c r="I100">
        <f>I99*C100</f>
        <v>0</v>
      </c>
      <c r="J100">
        <f>J99*C100</f>
        <v>60000</v>
      </c>
      <c r="K100">
        <f>C100*0.5</f>
        <v>10000</v>
      </c>
    </row>
    <row r="101" ht="12.75" hidden="1" outlineLevel="1"/>
    <row r="102" ht="12.75" hidden="1" outlineLevel="1">
      <c r="K102" s="4"/>
    </row>
    <row r="103" ht="12.75" hidden="1" outlineLevel="1">
      <c r="B103" t="s">
        <v>25</v>
      </c>
    </row>
    <row r="104" spans="2:11" ht="12.75" hidden="1" outlineLevel="1">
      <c r="B104" t="s">
        <v>26</v>
      </c>
      <c r="C104">
        <v>5000</v>
      </c>
      <c r="D104">
        <v>0</v>
      </c>
      <c r="E104">
        <v>1</v>
      </c>
      <c r="F104">
        <v>0</v>
      </c>
      <c r="G104">
        <v>0</v>
      </c>
      <c r="H104">
        <v>2</v>
      </c>
      <c r="I104">
        <v>0</v>
      </c>
      <c r="J104">
        <v>3</v>
      </c>
      <c r="K104">
        <v>0.66</v>
      </c>
    </row>
    <row r="105" spans="4:11" ht="12.75" hidden="1" outlineLevel="1">
      <c r="D105">
        <f>D104*C104</f>
        <v>0</v>
      </c>
      <c r="E105">
        <f>E104*C104</f>
        <v>5000</v>
      </c>
      <c r="F105">
        <f>F104*C104</f>
        <v>0</v>
      </c>
      <c r="G105">
        <f>G104*C104</f>
        <v>0</v>
      </c>
      <c r="H105">
        <f>H104*C104</f>
        <v>10000</v>
      </c>
      <c r="I105">
        <f>I104*C104</f>
        <v>0</v>
      </c>
      <c r="J105">
        <f>J104*C104</f>
        <v>15000</v>
      </c>
      <c r="K105">
        <f>K104*C104</f>
        <v>3300</v>
      </c>
    </row>
    <row r="106" ht="12.75" hidden="1" outlineLevel="1"/>
    <row r="107" spans="1:11" ht="12.75" hidden="1" outlineLevel="1">
      <c r="A107" t="s">
        <v>15</v>
      </c>
      <c r="D107">
        <f aca="true" t="shared" si="6" ref="D107:K107">D100+D105</f>
        <v>0</v>
      </c>
      <c r="E107">
        <f t="shared" si="6"/>
        <v>25000</v>
      </c>
      <c r="F107">
        <f t="shared" si="6"/>
        <v>20000</v>
      </c>
      <c r="G107">
        <f t="shared" si="6"/>
        <v>0</v>
      </c>
      <c r="H107">
        <f t="shared" si="6"/>
        <v>30000</v>
      </c>
      <c r="I107">
        <f t="shared" si="6"/>
        <v>0</v>
      </c>
      <c r="J107">
        <f t="shared" si="6"/>
        <v>75000</v>
      </c>
      <c r="K107">
        <f t="shared" si="6"/>
        <v>13300</v>
      </c>
    </row>
    <row r="108" ht="12.75" hidden="1" outlineLevel="1"/>
    <row r="109" ht="12.75" collapsed="1">
      <c r="A109" t="s">
        <v>66</v>
      </c>
    </row>
    <row r="110" ht="12.75" outlineLevel="1"/>
    <row r="111" spans="1:2" ht="12.75" outlineLevel="1">
      <c r="A111" t="s">
        <v>160</v>
      </c>
      <c r="B111">
        <v>750000</v>
      </c>
    </row>
    <row r="112" spans="3:10" ht="12.75" outlineLevel="1">
      <c r="C112">
        <v>2001</v>
      </c>
      <c r="D112">
        <v>2002</v>
      </c>
      <c r="E112">
        <v>2003</v>
      </c>
      <c r="F112">
        <v>2004</v>
      </c>
      <c r="G112">
        <v>2005</v>
      </c>
      <c r="H112">
        <v>2006</v>
      </c>
      <c r="I112">
        <v>2007</v>
      </c>
      <c r="J112" t="s">
        <v>15</v>
      </c>
    </row>
    <row r="113" spans="1:10" ht="12.75" outlineLevel="1">
      <c r="A113" t="s">
        <v>159</v>
      </c>
      <c r="B113" t="s">
        <v>165</v>
      </c>
      <c r="C113">
        <v>0.2</v>
      </c>
      <c r="D113">
        <v>0.4</v>
      </c>
      <c r="E113">
        <v>0</v>
      </c>
      <c r="F113">
        <v>0</v>
      </c>
      <c r="G113">
        <v>0</v>
      </c>
      <c r="H113">
        <v>0</v>
      </c>
      <c r="I113">
        <v>0.3</v>
      </c>
      <c r="J113">
        <v>1</v>
      </c>
    </row>
    <row r="114" spans="1:10" ht="12.75" outlineLevel="1">
      <c r="A114" t="s">
        <v>161</v>
      </c>
      <c r="C114">
        <v>0.2</v>
      </c>
      <c r="D114">
        <v>0.4</v>
      </c>
      <c r="E114">
        <v>0</v>
      </c>
      <c r="F114">
        <v>0</v>
      </c>
      <c r="G114">
        <v>0</v>
      </c>
      <c r="H114">
        <v>0</v>
      </c>
      <c r="I114">
        <v>0.3</v>
      </c>
      <c r="J114">
        <v>1</v>
      </c>
    </row>
    <row r="115" spans="1:10" ht="12.75" outlineLevel="1">
      <c r="A115" t="s">
        <v>162</v>
      </c>
      <c r="I115">
        <v>0.3</v>
      </c>
      <c r="J115">
        <v>1</v>
      </c>
    </row>
    <row r="116" spans="1:10" ht="12.75" outlineLevel="1">
      <c r="A116" t="s">
        <v>163</v>
      </c>
      <c r="I116">
        <v>0.3</v>
      </c>
      <c r="J116">
        <v>1</v>
      </c>
    </row>
    <row r="117" spans="1:10" ht="12.75" outlineLevel="1">
      <c r="A117" t="s">
        <v>164</v>
      </c>
      <c r="I117">
        <v>0.3</v>
      </c>
      <c r="J117">
        <v>1</v>
      </c>
    </row>
    <row r="118" ht="12.75" outlineLevel="1"/>
    <row r="119" spans="1:2" ht="12.75" outlineLevel="1">
      <c r="A119" t="s">
        <v>159</v>
      </c>
      <c r="B119" t="s">
        <v>166</v>
      </c>
    </row>
    <row r="120" ht="12.75" outlineLevel="1">
      <c r="A120" t="s">
        <v>161</v>
      </c>
    </row>
    <row r="121" ht="12.75" outlineLevel="1">
      <c r="A121" t="s">
        <v>162</v>
      </c>
    </row>
    <row r="122" ht="12.75" outlineLevel="1">
      <c r="A122" t="s">
        <v>163</v>
      </c>
    </row>
    <row r="123" ht="12.75" outlineLevel="1">
      <c r="A123" t="s">
        <v>164</v>
      </c>
    </row>
    <row r="124" ht="12.75" outlineLevel="1"/>
    <row r="125" ht="12.75" outlineLevel="1"/>
    <row r="126" ht="12.75" outlineLevel="1"/>
    <row r="127" ht="12.75" outlineLevel="1"/>
    <row r="128" ht="12.75" outlineLevel="1"/>
    <row r="129" ht="12.75" outlineLevel="1"/>
    <row r="130" ht="12.75" outlineLevel="1"/>
    <row r="131" ht="12.75" outlineLevel="1"/>
    <row r="132" ht="12.75" outlineLevel="1"/>
    <row r="133" ht="12.75" outlineLevel="1"/>
    <row r="134" ht="12.75" outlineLevel="1"/>
    <row r="135" ht="12.75" outlineLevel="1"/>
    <row r="136" ht="12.75" outlineLevel="1"/>
    <row r="137" ht="12.75" outlineLevel="1"/>
    <row r="138" ht="12.75" outlineLevel="1"/>
    <row r="139" ht="12.75" outlineLevel="1"/>
    <row r="140" ht="12.75" outlineLevel="1"/>
    <row r="141" ht="12.75" outlineLevel="1"/>
    <row r="142" ht="12.75" outlineLevel="1"/>
    <row r="143" ht="12.75">
      <c r="A143" t="s">
        <v>67</v>
      </c>
    </row>
    <row r="144" ht="12.75">
      <c r="A144" t="s">
        <v>68</v>
      </c>
    </row>
    <row r="145" spans="3:10" ht="12.75" hidden="1" outlineLevel="1">
      <c r="C145">
        <v>2001</v>
      </c>
      <c r="D145">
        <v>2002</v>
      </c>
      <c r="E145">
        <v>2003</v>
      </c>
      <c r="F145">
        <v>2004</v>
      </c>
      <c r="G145">
        <v>2005</v>
      </c>
      <c r="H145">
        <v>2006</v>
      </c>
      <c r="I145" t="s">
        <v>23</v>
      </c>
      <c r="J145" t="s">
        <v>16</v>
      </c>
    </row>
    <row r="146" spans="1:11" ht="12.75" hidden="1" outlineLevel="1">
      <c r="A146" t="s">
        <v>27</v>
      </c>
      <c r="B146" t="s">
        <v>30</v>
      </c>
      <c r="C146">
        <v>5</v>
      </c>
      <c r="D146">
        <v>10</v>
      </c>
      <c r="E146">
        <v>25</v>
      </c>
      <c r="F146">
        <v>25</v>
      </c>
      <c r="G146">
        <v>20</v>
      </c>
      <c r="H146">
        <v>15</v>
      </c>
      <c r="I146">
        <f>C146+D146+E146+F146+G146+H146</f>
        <v>100</v>
      </c>
      <c r="K146">
        <v>3</v>
      </c>
    </row>
    <row r="147" spans="1:10" ht="12.75" hidden="1" outlineLevel="1">
      <c r="A147">
        <v>250</v>
      </c>
      <c r="C147">
        <f>C146*A147</f>
        <v>1250</v>
      </c>
      <c r="D147">
        <f>D146*A147</f>
        <v>2500</v>
      </c>
      <c r="E147">
        <f>E146*A147</f>
        <v>6250</v>
      </c>
      <c r="F147">
        <f>F146*A147</f>
        <v>6250</v>
      </c>
      <c r="G147">
        <f>G146*A147</f>
        <v>5000</v>
      </c>
      <c r="H147">
        <f>H146*A147</f>
        <v>3750</v>
      </c>
      <c r="I147">
        <f>C147+D147+E147+F147+G147+H147</f>
        <v>25000</v>
      </c>
      <c r="J147">
        <f>I147/K146</f>
        <v>8333.333333333334</v>
      </c>
    </row>
    <row r="148" spans="1:8" ht="12.75" hidden="1" outlineLevel="1">
      <c r="A148" t="s">
        <v>28</v>
      </c>
      <c r="B148" t="s">
        <v>29</v>
      </c>
      <c r="E148">
        <v>500</v>
      </c>
      <c r="F148">
        <v>450</v>
      </c>
      <c r="G148">
        <v>400</v>
      </c>
      <c r="H148">
        <v>400</v>
      </c>
    </row>
    <row r="149" spans="2:11" ht="12.75" hidden="1" outlineLevel="1">
      <c r="B149" t="s">
        <v>31</v>
      </c>
      <c r="F149">
        <f>F34+F46+F55+F60</f>
        <v>44</v>
      </c>
      <c r="G149">
        <f>G34+G46+G55+G60</f>
        <v>74</v>
      </c>
      <c r="H149">
        <f>H34+H46+H55+H60</f>
        <v>86</v>
      </c>
      <c r="I149">
        <f>F149+G149+H149</f>
        <v>204</v>
      </c>
      <c r="K149">
        <v>3</v>
      </c>
    </row>
    <row r="150" spans="3:10" ht="12.75" hidden="1" outlineLevel="1">
      <c r="C150">
        <v>20000</v>
      </c>
      <c r="D150">
        <v>20000</v>
      </c>
      <c r="E150">
        <v>20000</v>
      </c>
      <c r="F150">
        <f>F148*F149</f>
        <v>19800</v>
      </c>
      <c r="G150">
        <f>G148*G149</f>
        <v>29600</v>
      </c>
      <c r="H150">
        <f>H148*H149</f>
        <v>34400</v>
      </c>
      <c r="I150">
        <f>C150+D150+E150+F150+G150+H150</f>
        <v>143800</v>
      </c>
      <c r="J150">
        <f>I150/K149</f>
        <v>47933.333333333336</v>
      </c>
    </row>
    <row r="151" ht="12.75" hidden="1" outlineLevel="1"/>
    <row r="152" ht="12.75" hidden="1" outlineLevel="1">
      <c r="A152" t="s">
        <v>33</v>
      </c>
    </row>
    <row r="153" spans="1:10" ht="12.75" hidden="1" outlineLevel="1">
      <c r="A153" t="s">
        <v>32</v>
      </c>
      <c r="C153">
        <v>0</v>
      </c>
      <c r="D153">
        <v>0</v>
      </c>
      <c r="E153">
        <v>30000</v>
      </c>
      <c r="F153">
        <v>40000</v>
      </c>
      <c r="G153">
        <v>20000</v>
      </c>
      <c r="H153">
        <v>20000</v>
      </c>
      <c r="J153">
        <v>10000</v>
      </c>
    </row>
    <row r="154" ht="12.75" hidden="1" outlineLevel="1"/>
    <row r="155" spans="1:10" ht="12.75" hidden="1" outlineLevel="1">
      <c r="A155" t="s">
        <v>15</v>
      </c>
      <c r="C155">
        <f aca="true" t="shared" si="7" ref="C155:H155">C147+C150+C153</f>
        <v>21250</v>
      </c>
      <c r="D155">
        <f t="shared" si="7"/>
        <v>22500</v>
      </c>
      <c r="E155">
        <f t="shared" si="7"/>
        <v>56250</v>
      </c>
      <c r="F155">
        <f t="shared" si="7"/>
        <v>66050</v>
      </c>
      <c r="G155">
        <f t="shared" si="7"/>
        <v>54600</v>
      </c>
      <c r="H155">
        <f t="shared" si="7"/>
        <v>58150</v>
      </c>
      <c r="J155">
        <f>J147+J150+J153</f>
        <v>66266.66666666667</v>
      </c>
    </row>
    <row r="156" ht="12.75" collapsed="1">
      <c r="A156" t="s">
        <v>69</v>
      </c>
    </row>
    <row r="157" ht="12.75" hidden="1" outlineLevel="1"/>
    <row r="158" spans="1:10" ht="12.75" hidden="1" outlineLevel="1">
      <c r="A158" t="s">
        <v>34</v>
      </c>
      <c r="C158">
        <v>0</v>
      </c>
      <c r="D158">
        <v>0</v>
      </c>
      <c r="E158">
        <v>0</v>
      </c>
      <c r="F158">
        <v>30000</v>
      </c>
      <c r="G158">
        <v>0</v>
      </c>
      <c r="H158">
        <v>0</v>
      </c>
      <c r="I158">
        <v>30000</v>
      </c>
      <c r="J158">
        <v>10000</v>
      </c>
    </row>
    <row r="159" ht="12.75" hidden="1" outlineLevel="1"/>
    <row r="160" ht="12.75" hidden="1" outlineLevel="1"/>
    <row r="161" spans="1:10" ht="12.75" hidden="1" outlineLevel="1">
      <c r="A161" t="s">
        <v>35</v>
      </c>
      <c r="C161">
        <v>0</v>
      </c>
      <c r="D161">
        <v>0</v>
      </c>
      <c r="E161">
        <v>0</v>
      </c>
      <c r="F161">
        <v>250000</v>
      </c>
      <c r="G161">
        <v>250000</v>
      </c>
      <c r="H161">
        <v>250000</v>
      </c>
      <c r="J161">
        <v>250000</v>
      </c>
    </row>
    <row r="162" ht="12.75" hidden="1" outlineLevel="1"/>
    <row r="163" ht="12.75" hidden="1" outlineLevel="1"/>
    <row r="164" spans="1:11" ht="12.75" hidden="1" outlineLevel="1">
      <c r="A164" t="s">
        <v>36</v>
      </c>
      <c r="C164">
        <v>0</v>
      </c>
      <c r="D164">
        <v>0</v>
      </c>
      <c r="E164">
        <v>0</v>
      </c>
      <c r="F164">
        <v>10000</v>
      </c>
      <c r="G164">
        <v>5000</v>
      </c>
      <c r="H164">
        <v>5000</v>
      </c>
      <c r="I164">
        <f>C164+D164+E164+F164+G164+H164</f>
        <v>20000</v>
      </c>
      <c r="J164">
        <f>I164/K164</f>
        <v>5000</v>
      </c>
      <c r="K164">
        <v>4</v>
      </c>
    </row>
    <row r="165" ht="12.75" hidden="1" outlineLevel="1"/>
    <row r="166" ht="12.75" hidden="1" outlineLevel="1"/>
    <row r="167" spans="1:10" ht="12.75" hidden="1" outlineLevel="1">
      <c r="A167" t="s">
        <v>15</v>
      </c>
      <c r="C167">
        <f aca="true" t="shared" si="8" ref="C167:H167">C158+C161+C164</f>
        <v>0</v>
      </c>
      <c r="D167">
        <f t="shared" si="8"/>
        <v>0</v>
      </c>
      <c r="E167">
        <f t="shared" si="8"/>
        <v>0</v>
      </c>
      <c r="F167">
        <f t="shared" si="8"/>
        <v>290000</v>
      </c>
      <c r="G167">
        <f t="shared" si="8"/>
        <v>255000</v>
      </c>
      <c r="H167">
        <f t="shared" si="8"/>
        <v>255000</v>
      </c>
      <c r="J167">
        <f>J158+J161+J164</f>
        <v>265000</v>
      </c>
    </row>
    <row r="168" ht="12.75" collapsed="1">
      <c r="A168" t="s">
        <v>70</v>
      </c>
    </row>
    <row r="169" ht="12.75" hidden="1" outlineLevel="1"/>
    <row r="170" spans="1:10" ht="12.75" hidden="1" outlineLevel="1">
      <c r="A170" t="s">
        <v>37</v>
      </c>
      <c r="C170">
        <v>0</v>
      </c>
      <c r="D170">
        <v>0</v>
      </c>
      <c r="E170">
        <v>0</v>
      </c>
      <c r="F170">
        <v>20000</v>
      </c>
      <c r="G170">
        <v>10000</v>
      </c>
      <c r="H170">
        <v>10000</v>
      </c>
      <c r="I170">
        <v>40000</v>
      </c>
      <c r="J170">
        <v>10000</v>
      </c>
    </row>
    <row r="171" ht="12.75" hidden="1" outlineLevel="1"/>
    <row r="172" spans="1:10" ht="12.75" hidden="1" outlineLevel="1">
      <c r="A172" t="s">
        <v>38</v>
      </c>
      <c r="C172">
        <v>0</v>
      </c>
      <c r="D172">
        <v>0</v>
      </c>
      <c r="E172">
        <v>0</v>
      </c>
      <c r="F172">
        <v>10000</v>
      </c>
      <c r="G172">
        <v>5000</v>
      </c>
      <c r="H172">
        <v>5000</v>
      </c>
      <c r="I172">
        <v>20000</v>
      </c>
      <c r="J172">
        <v>5000</v>
      </c>
    </row>
    <row r="173" ht="12.75" hidden="1" outlineLevel="1">
      <c r="A173" t="s">
        <v>39</v>
      </c>
    </row>
    <row r="174" ht="12.75" hidden="1" outlineLevel="1"/>
    <row r="175" spans="1:10" ht="12.75" hidden="1" outlineLevel="1">
      <c r="A175" t="s">
        <v>15</v>
      </c>
      <c r="C175">
        <f aca="true" t="shared" si="9" ref="C175:H175">C170+C172</f>
        <v>0</v>
      </c>
      <c r="D175">
        <f t="shared" si="9"/>
        <v>0</v>
      </c>
      <c r="E175">
        <f t="shared" si="9"/>
        <v>0</v>
      </c>
      <c r="F175">
        <f t="shared" si="9"/>
        <v>30000</v>
      </c>
      <c r="G175">
        <f t="shared" si="9"/>
        <v>15000</v>
      </c>
      <c r="H175">
        <f t="shared" si="9"/>
        <v>15000</v>
      </c>
      <c r="J175">
        <f>J170+J172</f>
        <v>15000</v>
      </c>
    </row>
    <row r="176" ht="12.75" collapsed="1">
      <c r="A176" t="s">
        <v>71</v>
      </c>
    </row>
    <row r="177" ht="12.75" hidden="1" outlineLevel="1"/>
    <row r="178" spans="1:10" ht="12.75" hidden="1" outlineLevel="1">
      <c r="A178" t="s">
        <v>40</v>
      </c>
      <c r="C178">
        <v>0</v>
      </c>
      <c r="D178">
        <v>0</v>
      </c>
      <c r="E178">
        <v>0</v>
      </c>
      <c r="F178">
        <v>40000</v>
      </c>
      <c r="G178">
        <v>10000</v>
      </c>
      <c r="H178">
        <v>10000</v>
      </c>
      <c r="I178">
        <v>60000</v>
      </c>
      <c r="J178">
        <v>20000</v>
      </c>
    </row>
    <row r="179" ht="12.75" hidden="1" outlineLevel="1"/>
    <row r="180" spans="1:10" ht="12.75" hidden="1" outlineLevel="1">
      <c r="A180" t="s">
        <v>41</v>
      </c>
      <c r="C180">
        <v>0</v>
      </c>
      <c r="D180">
        <v>0</v>
      </c>
      <c r="E180">
        <v>0</v>
      </c>
      <c r="F180">
        <v>10000</v>
      </c>
      <c r="G180">
        <v>5000</v>
      </c>
      <c r="H180">
        <v>5000</v>
      </c>
      <c r="I180">
        <v>20000</v>
      </c>
      <c r="J180">
        <v>5000</v>
      </c>
    </row>
    <row r="181" ht="12.75" hidden="1" outlineLevel="1">
      <c r="A181" t="s">
        <v>42</v>
      </c>
    </row>
    <row r="182" ht="12.75" hidden="1" outlineLevel="1"/>
    <row r="183" spans="1:10" ht="12.75" hidden="1" outlineLevel="1">
      <c r="A183" t="s">
        <v>60</v>
      </c>
      <c r="C183">
        <f aca="true" t="shared" si="10" ref="C183:H183">C178+C180</f>
        <v>0</v>
      </c>
      <c r="D183">
        <f t="shared" si="10"/>
        <v>0</v>
      </c>
      <c r="E183">
        <f t="shared" si="10"/>
        <v>0</v>
      </c>
      <c r="F183">
        <f t="shared" si="10"/>
        <v>50000</v>
      </c>
      <c r="G183">
        <f t="shared" si="10"/>
        <v>15000</v>
      </c>
      <c r="H183">
        <f t="shared" si="10"/>
        <v>15000</v>
      </c>
      <c r="J183">
        <f>J178+J180</f>
        <v>25000</v>
      </c>
    </row>
    <row r="184" spans="1:10" ht="12.75" hidden="1" outlineLevel="1">
      <c r="A184" t="s">
        <v>59</v>
      </c>
      <c r="C184">
        <f aca="true" t="shared" si="11" ref="C184:H184">C183+C175+C167+C155</f>
        <v>21250</v>
      </c>
      <c r="D184">
        <f t="shared" si="11"/>
        <v>22500</v>
      </c>
      <c r="E184">
        <f t="shared" si="11"/>
        <v>56250</v>
      </c>
      <c r="F184">
        <f t="shared" si="11"/>
        <v>436050</v>
      </c>
      <c r="G184">
        <f t="shared" si="11"/>
        <v>339600</v>
      </c>
      <c r="H184">
        <f t="shared" si="11"/>
        <v>343150</v>
      </c>
      <c r="J184">
        <f>J183+J175+J167+J155</f>
        <v>371266.6666666667</v>
      </c>
    </row>
    <row r="185" ht="12.75" hidden="1" outlineLevel="1"/>
    <row r="186" ht="12.75" collapsed="1">
      <c r="A186" t="s">
        <v>72</v>
      </c>
    </row>
    <row r="187" ht="12.75" hidden="1" outlineLevel="1"/>
    <row r="188" spans="1:8" ht="12.75" hidden="1" outlineLevel="1">
      <c r="A188" t="s">
        <v>43</v>
      </c>
      <c r="C188">
        <v>1</v>
      </c>
      <c r="D188">
        <v>1</v>
      </c>
      <c r="E188">
        <v>0</v>
      </c>
      <c r="F188">
        <v>0</v>
      </c>
      <c r="G188">
        <v>0</v>
      </c>
      <c r="H188">
        <v>0</v>
      </c>
    </row>
    <row r="189" spans="3:8" ht="12.75" hidden="1" outlineLevel="1">
      <c r="C189">
        <v>30000</v>
      </c>
      <c r="D189">
        <v>50000</v>
      </c>
      <c r="E189">
        <v>0</v>
      </c>
      <c r="F189">
        <v>0</v>
      </c>
      <c r="G189">
        <v>0</v>
      </c>
      <c r="H189">
        <v>0</v>
      </c>
    </row>
    <row r="190" ht="12.75" hidden="1" outlineLevel="1"/>
    <row r="191" ht="12.75" hidden="1" outlineLevel="1"/>
    <row r="192" ht="12.75" hidden="1" outlineLevel="1"/>
    <row r="193" ht="12.75" hidden="1" outlineLevel="1"/>
    <row r="194" ht="12.75" hidden="1" outlineLevel="1"/>
    <row r="195" ht="12.75" hidden="1" outlineLevel="1"/>
    <row r="196" ht="12.75" collapsed="1">
      <c r="A196" t="s">
        <v>73</v>
      </c>
    </row>
    <row r="197" ht="12.75" hidden="1" outlineLevel="1">
      <c r="A197" t="s">
        <v>45</v>
      </c>
    </row>
    <row r="198" ht="12.75" hidden="1" outlineLevel="1"/>
    <row r="199" ht="12.75" hidden="1" outlineLevel="1"/>
    <row r="200" ht="12.75" collapsed="1">
      <c r="A200" t="s">
        <v>74</v>
      </c>
    </row>
    <row r="201" ht="12.75" hidden="1" outlineLevel="1"/>
    <row r="202" spans="1:8" ht="12.75" hidden="1" outlineLevel="1">
      <c r="A202" t="s">
        <v>46</v>
      </c>
      <c r="C202">
        <v>10</v>
      </c>
      <c r="D202">
        <v>20</v>
      </c>
      <c r="E202">
        <v>20</v>
      </c>
      <c r="F202">
        <v>0</v>
      </c>
      <c r="G202">
        <v>0</v>
      </c>
      <c r="H202">
        <v>0</v>
      </c>
    </row>
    <row r="203" spans="1:8" ht="12.75" hidden="1" outlineLevel="1">
      <c r="A203" t="s">
        <v>47</v>
      </c>
      <c r="B203">
        <v>5000</v>
      </c>
      <c r="C203">
        <f>C202*B203</f>
        <v>50000</v>
      </c>
      <c r="D203">
        <f>D202*B203</f>
        <v>100000</v>
      </c>
      <c r="E203">
        <f>E202*B203</f>
        <v>100000</v>
      </c>
      <c r="F203">
        <v>0</v>
      </c>
      <c r="G203">
        <v>0</v>
      </c>
      <c r="H203">
        <v>0</v>
      </c>
    </row>
    <row r="204" ht="12.75" hidden="1" outlineLevel="1"/>
    <row r="205" ht="12.75" hidden="1" outlineLevel="1"/>
    <row r="206" ht="12.75" hidden="1" outlineLevel="1"/>
    <row r="207" spans="1:8" ht="12.75" collapsed="1">
      <c r="A207" t="s">
        <v>75</v>
      </c>
      <c r="C207">
        <v>0</v>
      </c>
      <c r="D207">
        <v>10</v>
      </c>
      <c r="E207">
        <v>10</v>
      </c>
      <c r="F207">
        <v>0</v>
      </c>
      <c r="G207">
        <v>0</v>
      </c>
      <c r="H207">
        <v>0</v>
      </c>
    </row>
    <row r="208" spans="1:8" ht="12.75" hidden="1" outlineLevel="1">
      <c r="A208" t="s">
        <v>48</v>
      </c>
      <c r="B208">
        <v>5000</v>
      </c>
      <c r="C208">
        <f>C207*B208</f>
        <v>0</v>
      </c>
      <c r="D208">
        <f>D207*B208</f>
        <v>50000</v>
      </c>
      <c r="E208">
        <f>E207*B208</f>
        <v>50000</v>
      </c>
      <c r="F208">
        <v>0</v>
      </c>
      <c r="G208">
        <v>0</v>
      </c>
      <c r="H208">
        <v>0</v>
      </c>
    </row>
    <row r="209" ht="12.75" hidden="1" outlineLevel="1"/>
    <row r="210" ht="12.75" hidden="1" outlineLevel="1"/>
    <row r="211" ht="12.75" hidden="1" outlineLevel="1"/>
    <row r="212" ht="12.75" collapsed="1">
      <c r="A212" t="s">
        <v>76</v>
      </c>
    </row>
    <row r="213" ht="12.75" hidden="1" outlineLevel="1">
      <c r="A213" t="s">
        <v>49</v>
      </c>
    </row>
    <row r="214" spans="1:5" ht="12.75" hidden="1" outlineLevel="1">
      <c r="A214" t="s">
        <v>44</v>
      </c>
      <c r="C214">
        <v>50000</v>
      </c>
      <c r="D214">
        <v>50000</v>
      </c>
      <c r="E214">
        <v>50000</v>
      </c>
    </row>
    <row r="215" spans="1:5" ht="12.75" hidden="1" outlineLevel="1">
      <c r="A215" t="s">
        <v>50</v>
      </c>
      <c r="B215" t="s">
        <v>51</v>
      </c>
      <c r="C215">
        <f>(I6+L6)*1000/2</f>
        <v>18666.666666666668</v>
      </c>
      <c r="D215">
        <f>(I7+L7)*1000/2</f>
        <v>11219.51219512195</v>
      </c>
      <c r="E215">
        <f>(I8+L8)*1000/2</f>
        <v>6996.268656716418</v>
      </c>
    </row>
    <row r="216" spans="2:8" ht="12.75" hidden="1" outlineLevel="1">
      <c r="B216" t="s">
        <v>12</v>
      </c>
      <c r="C216">
        <v>1</v>
      </c>
      <c r="D216">
        <v>2</v>
      </c>
      <c r="E216">
        <v>2</v>
      </c>
      <c r="F216">
        <v>0</v>
      </c>
      <c r="G216">
        <v>0</v>
      </c>
      <c r="H216">
        <v>0</v>
      </c>
    </row>
    <row r="217" spans="2:8" ht="12.75" hidden="1" outlineLevel="1">
      <c r="B217" t="s">
        <v>52</v>
      </c>
      <c r="C217">
        <v>6</v>
      </c>
      <c r="D217">
        <v>12</v>
      </c>
      <c r="E217">
        <v>6</v>
      </c>
      <c r="F217">
        <v>0</v>
      </c>
      <c r="G217">
        <v>0</v>
      </c>
      <c r="H217">
        <v>0</v>
      </c>
    </row>
    <row r="218" spans="2:5" ht="12.75" hidden="1" outlineLevel="1">
      <c r="B218" t="s">
        <v>23</v>
      </c>
      <c r="C218">
        <f>(C216*C214)+(C217*C215)</f>
        <v>162000</v>
      </c>
      <c r="D218">
        <f>(D216*D214)+(D217*D215)</f>
        <v>234634.1463414634</v>
      </c>
      <c r="E218">
        <f>(E216*E214)+(E217*E215)</f>
        <v>141977.61194029852</v>
      </c>
    </row>
    <row r="219" spans="2:5" ht="12.75" hidden="1" outlineLevel="1">
      <c r="B219" t="s">
        <v>54</v>
      </c>
      <c r="C219">
        <f>C218*0.25+C218</f>
        <v>202500</v>
      </c>
      <c r="D219">
        <f>D218*0.25+D218</f>
        <v>293292.68292682926</v>
      </c>
      <c r="E219">
        <f>E218*0.25+E218</f>
        <v>177472.01492537314</v>
      </c>
    </row>
    <row r="220" ht="12.75" hidden="1" outlineLevel="1"/>
    <row r="221" ht="12.75" hidden="1" outlineLevel="1"/>
    <row r="222" ht="12.75" hidden="1" outlineLevel="1"/>
    <row r="223" spans="1:8" ht="12.75" collapsed="1">
      <c r="A223" t="s">
        <v>77</v>
      </c>
      <c r="C223">
        <f aca="true" t="shared" si="12" ref="C223:H223">C219+C208+C203</f>
        <v>252500</v>
      </c>
      <c r="D223">
        <f t="shared" si="12"/>
        <v>443292.68292682926</v>
      </c>
      <c r="E223">
        <f t="shared" si="12"/>
        <v>327472.01492537314</v>
      </c>
      <c r="F223">
        <f t="shared" si="12"/>
        <v>0</v>
      </c>
      <c r="G223">
        <f t="shared" si="12"/>
        <v>0</v>
      </c>
      <c r="H223">
        <f t="shared" si="12"/>
        <v>0</v>
      </c>
    </row>
    <row r="225" ht="12.75">
      <c r="A225" t="s">
        <v>78</v>
      </c>
    </row>
    <row r="226" ht="12.75">
      <c r="A226" t="s">
        <v>55</v>
      </c>
    </row>
    <row r="227" ht="12.75" hidden="1" outlineLevel="1"/>
    <row r="228" ht="12.75" hidden="1" outlineLevel="1"/>
    <row r="229" ht="12.75" hidden="1" outlineLevel="1"/>
    <row r="230" ht="12.75" hidden="1" outlineLevel="1"/>
    <row r="231" spans="3:8" ht="12.75" hidden="1" outlineLevel="1">
      <c r="C231">
        <v>0</v>
      </c>
      <c r="D231">
        <v>0</v>
      </c>
      <c r="E231">
        <v>100000</v>
      </c>
      <c r="F231">
        <v>0</v>
      </c>
      <c r="G231">
        <v>0</v>
      </c>
      <c r="H231">
        <v>0</v>
      </c>
    </row>
    <row r="232" ht="12.75" hidden="1" outlineLevel="1"/>
    <row r="233" ht="12.75" hidden="1" outlineLevel="1"/>
    <row r="234" ht="12.75" hidden="1" outlineLevel="1"/>
    <row r="235" ht="12.75" collapsed="1">
      <c r="A235" t="s">
        <v>128</v>
      </c>
    </row>
    <row r="236" ht="12.75">
      <c r="A236" t="s">
        <v>95</v>
      </c>
    </row>
    <row r="237" spans="1:11" ht="12.75" hidden="1" outlineLevel="1">
      <c r="A237" t="s">
        <v>153</v>
      </c>
      <c r="D237">
        <v>2001</v>
      </c>
      <c r="E237">
        <v>2002</v>
      </c>
      <c r="F237">
        <v>2003</v>
      </c>
      <c r="G237">
        <v>2004</v>
      </c>
      <c r="H237">
        <v>2005</v>
      </c>
      <c r="I237">
        <v>2006</v>
      </c>
      <c r="J237">
        <v>2007</v>
      </c>
      <c r="K237" t="s">
        <v>23</v>
      </c>
    </row>
    <row r="238" spans="1:11" ht="12.75" hidden="1" outlineLevel="1">
      <c r="A238" t="s">
        <v>155</v>
      </c>
      <c r="D238">
        <v>0</v>
      </c>
      <c r="E238">
        <v>60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f>SUM(D238:I238)</f>
        <v>60</v>
      </c>
    </row>
    <row r="239" spans="1:11" ht="12.75" hidden="1" outlineLevel="1">
      <c r="A239" t="s">
        <v>154</v>
      </c>
      <c r="B239">
        <v>70</v>
      </c>
      <c r="D239">
        <f>D238*B239</f>
        <v>0</v>
      </c>
      <c r="E239">
        <f>E238*B239</f>
        <v>4200</v>
      </c>
      <c r="F239">
        <f>F238*B239</f>
        <v>0</v>
      </c>
      <c r="G239">
        <f>G238*B239</f>
        <v>0</v>
      </c>
      <c r="H239">
        <f>H238*B239</f>
        <v>0</v>
      </c>
      <c r="I239">
        <f>I238*B239</f>
        <v>0</v>
      </c>
      <c r="J239">
        <f>J238*B239</f>
        <v>0</v>
      </c>
      <c r="K239">
        <f>SUM(D239:I239)</f>
        <v>4200</v>
      </c>
    </row>
    <row r="240" ht="12.75" hidden="1" outlineLevel="1">
      <c r="A240" t="s">
        <v>156</v>
      </c>
    </row>
    <row r="241" spans="1:11" ht="12.75" hidden="1" outlineLevel="1">
      <c r="A241" t="s">
        <v>157</v>
      </c>
      <c r="D241">
        <v>0</v>
      </c>
      <c r="E241">
        <v>25000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f>SUM(D241:I241)</f>
        <v>25000</v>
      </c>
    </row>
    <row r="242" ht="12.75" hidden="1" outlineLevel="1"/>
    <row r="243" ht="12.75" hidden="1" outlineLevel="1"/>
    <row r="244" ht="12.75" hidden="1" outlineLevel="1"/>
    <row r="245" spans="1:11" ht="12.75" hidden="1" outlineLevel="1">
      <c r="A245" t="s">
        <v>15</v>
      </c>
      <c r="D245">
        <f aca="true" t="shared" si="13" ref="D245:K245">SUM(D239+D241)</f>
        <v>0</v>
      </c>
      <c r="E245">
        <f t="shared" si="13"/>
        <v>29200</v>
      </c>
      <c r="F245">
        <f t="shared" si="13"/>
        <v>0</v>
      </c>
      <c r="G245">
        <f t="shared" si="13"/>
        <v>0</v>
      </c>
      <c r="H245">
        <f t="shared" si="13"/>
        <v>0</v>
      </c>
      <c r="I245">
        <f t="shared" si="13"/>
        <v>0</v>
      </c>
      <c r="J245">
        <f t="shared" si="13"/>
        <v>0</v>
      </c>
      <c r="K245">
        <f t="shared" si="13"/>
        <v>29200</v>
      </c>
    </row>
    <row r="246" ht="12.75" hidden="1" outlineLevel="1"/>
    <row r="247" ht="12.75" hidden="1" outlineLevel="1"/>
    <row r="248" ht="12.75" hidden="1" outlineLevel="1"/>
    <row r="249" ht="12.75" hidden="1" outlineLevel="1"/>
    <row r="250" ht="12.75" hidden="1" outlineLevel="1"/>
    <row r="251" ht="12.75" hidden="1" outlineLevel="1"/>
    <row r="252" ht="12.75" hidden="1" outlineLevel="1"/>
    <row r="253" ht="12.75" hidden="1" outlineLevel="1"/>
    <row r="254" ht="12.75" collapsed="1">
      <c r="A254" t="s">
        <v>79</v>
      </c>
    </row>
    <row r="255" spans="1:10" ht="12.75">
      <c r="A255" t="s">
        <v>80</v>
      </c>
      <c r="D255">
        <v>2001</v>
      </c>
      <c r="E255">
        <v>2002</v>
      </c>
      <c r="F255">
        <v>2003</v>
      </c>
      <c r="G255">
        <v>2004</v>
      </c>
      <c r="H255">
        <v>2005</v>
      </c>
      <c r="I255">
        <v>2006</v>
      </c>
      <c r="J255">
        <v>2007</v>
      </c>
    </row>
    <row r="257" ht="12.75">
      <c r="A257" t="s">
        <v>81</v>
      </c>
    </row>
    <row r="260" ht="12.75">
      <c r="A260" t="s">
        <v>82</v>
      </c>
    </row>
    <row r="261" spans="2:10" ht="12.75" hidden="1" outlineLevel="1">
      <c r="B261" t="s">
        <v>83</v>
      </c>
      <c r="D261">
        <v>0</v>
      </c>
      <c r="E261">
        <v>250</v>
      </c>
      <c r="F261">
        <v>250</v>
      </c>
      <c r="G261">
        <v>0</v>
      </c>
      <c r="H261">
        <v>0</v>
      </c>
      <c r="I261">
        <v>0</v>
      </c>
      <c r="J261">
        <v>0</v>
      </c>
    </row>
    <row r="262" spans="2:10" ht="12.75" hidden="1" outlineLevel="1">
      <c r="B262" t="s">
        <v>84</v>
      </c>
      <c r="D262">
        <v>2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</row>
    <row r="263" spans="2:10" ht="12.75" hidden="1" outlineLevel="1">
      <c r="B263" t="s">
        <v>85</v>
      </c>
      <c r="D263">
        <v>500</v>
      </c>
      <c r="E263">
        <v>750</v>
      </c>
      <c r="F263">
        <v>1000</v>
      </c>
      <c r="G263">
        <v>1000</v>
      </c>
      <c r="H263">
        <v>0</v>
      </c>
      <c r="I263">
        <v>0</v>
      </c>
      <c r="J263">
        <v>0</v>
      </c>
    </row>
    <row r="264" ht="12.75" hidden="1" outlineLevel="1"/>
    <row r="265" spans="1:10" ht="12.75" hidden="1" outlineLevel="1">
      <c r="A265" t="s">
        <v>86</v>
      </c>
      <c r="D265">
        <v>80</v>
      </c>
      <c r="E265">
        <v>70</v>
      </c>
      <c r="F265">
        <v>60</v>
      </c>
      <c r="G265">
        <v>0</v>
      </c>
      <c r="H265">
        <v>0</v>
      </c>
      <c r="I265">
        <v>0</v>
      </c>
      <c r="J265">
        <v>0</v>
      </c>
    </row>
    <row r="266" spans="1:2" ht="12.75" hidden="1" outlineLevel="1">
      <c r="A266" t="s">
        <v>53</v>
      </c>
      <c r="B266">
        <v>25000</v>
      </c>
    </row>
    <row r="267" spans="1:10" ht="12.75" hidden="1" outlineLevel="1">
      <c r="A267" t="s">
        <v>87</v>
      </c>
      <c r="D267">
        <v>6</v>
      </c>
      <c r="E267">
        <v>6</v>
      </c>
      <c r="F267">
        <v>6</v>
      </c>
      <c r="G267">
        <v>6</v>
      </c>
      <c r="H267">
        <v>6</v>
      </c>
      <c r="I267">
        <v>6</v>
      </c>
      <c r="J267">
        <v>6</v>
      </c>
    </row>
    <row r="268" ht="12.75" hidden="1" outlineLevel="1"/>
    <row r="269" spans="1:10" ht="12.75" hidden="1" outlineLevel="1">
      <c r="A269" t="s">
        <v>88</v>
      </c>
      <c r="B269" t="s">
        <v>89</v>
      </c>
      <c r="D269">
        <f aca="true" t="shared" si="14" ref="D269:J269">D261*D265</f>
        <v>0</v>
      </c>
      <c r="E269">
        <f t="shared" si="14"/>
        <v>17500</v>
      </c>
      <c r="F269">
        <f t="shared" si="14"/>
        <v>15000</v>
      </c>
      <c r="G269">
        <f t="shared" si="14"/>
        <v>0</v>
      </c>
      <c r="H269">
        <f t="shared" si="14"/>
        <v>0</v>
      </c>
      <c r="I269">
        <f t="shared" si="14"/>
        <v>0</v>
      </c>
      <c r="J269">
        <f t="shared" si="14"/>
        <v>0</v>
      </c>
    </row>
    <row r="270" spans="2:10" ht="12.75" hidden="1" outlineLevel="1">
      <c r="B270" t="s">
        <v>90</v>
      </c>
      <c r="D270">
        <f>D262*B266</f>
        <v>50000</v>
      </c>
      <c r="E270">
        <f>E262*B266</f>
        <v>0</v>
      </c>
      <c r="F270">
        <f>F262*B266</f>
        <v>0</v>
      </c>
      <c r="G270">
        <f>G262*B266</f>
        <v>0</v>
      </c>
      <c r="H270">
        <f>H262*B266</f>
        <v>0</v>
      </c>
      <c r="I270">
        <f>I262*B266</f>
        <v>0</v>
      </c>
      <c r="J270">
        <f>J262*B266</f>
        <v>0</v>
      </c>
    </row>
    <row r="271" spans="2:10" ht="12.75" hidden="1" outlineLevel="1">
      <c r="B271" t="s">
        <v>91</v>
      </c>
      <c r="D271">
        <f aca="true" t="shared" si="15" ref="D271:J271">D263*D267</f>
        <v>3000</v>
      </c>
      <c r="E271">
        <f t="shared" si="15"/>
        <v>4500</v>
      </c>
      <c r="F271">
        <f t="shared" si="15"/>
        <v>6000</v>
      </c>
      <c r="G271">
        <f t="shared" si="15"/>
        <v>6000</v>
      </c>
      <c r="H271">
        <f t="shared" si="15"/>
        <v>0</v>
      </c>
      <c r="I271">
        <f t="shared" si="15"/>
        <v>0</v>
      </c>
      <c r="J271">
        <f t="shared" si="15"/>
        <v>0</v>
      </c>
    </row>
    <row r="272" ht="12.75" hidden="1" outlineLevel="1"/>
    <row r="273" ht="12.75" hidden="1" outlineLevel="1"/>
    <row r="274" spans="1:10" ht="12.75" hidden="1" outlineLevel="1">
      <c r="A274" t="s">
        <v>15</v>
      </c>
      <c r="D274">
        <f aca="true" t="shared" si="16" ref="D274:J274">SUM(D269:D271)</f>
        <v>53000</v>
      </c>
      <c r="E274">
        <f t="shared" si="16"/>
        <v>22000</v>
      </c>
      <c r="F274">
        <f t="shared" si="16"/>
        <v>21000</v>
      </c>
      <c r="G274">
        <f t="shared" si="16"/>
        <v>6000</v>
      </c>
      <c r="H274">
        <f t="shared" si="16"/>
        <v>0</v>
      </c>
      <c r="I274">
        <f t="shared" si="16"/>
        <v>0</v>
      </c>
      <c r="J274">
        <f t="shared" si="16"/>
        <v>0</v>
      </c>
    </row>
    <row r="275" ht="12.75" hidden="1" outlineLevel="1"/>
    <row r="276" ht="12.75" collapsed="1">
      <c r="A276" t="s">
        <v>92</v>
      </c>
    </row>
    <row r="277" ht="12.75">
      <c r="A277" t="s">
        <v>93</v>
      </c>
    </row>
    <row r="278" ht="12.75" hidden="1" outlineLevel="1"/>
    <row r="279" ht="12.75" hidden="1" outlineLevel="1"/>
    <row r="280" ht="12.75" hidden="1" outlineLevel="1"/>
    <row r="281" ht="12.75" hidden="1" outlineLevel="1"/>
    <row r="282" ht="12.75" hidden="1" outlineLevel="1"/>
    <row r="283" ht="12.75" hidden="1" outlineLevel="1">
      <c r="A283" t="s">
        <v>158</v>
      </c>
    </row>
    <row r="284" ht="12.75" hidden="1" outlineLevel="1"/>
    <row r="285" spans="1:10" ht="12.75" collapsed="1">
      <c r="A285" t="s">
        <v>94</v>
      </c>
      <c r="D285" s="5">
        <v>82500</v>
      </c>
      <c r="E285" s="5">
        <v>12500</v>
      </c>
      <c r="F285" s="5">
        <v>27500</v>
      </c>
      <c r="G285" s="5">
        <v>0</v>
      </c>
      <c r="H285" s="5">
        <v>0</v>
      </c>
      <c r="I285" s="5">
        <v>0</v>
      </c>
      <c r="J285" s="5">
        <v>0</v>
      </c>
    </row>
    <row r="286" ht="12.75" hidden="1" outlineLevel="1"/>
    <row r="287" ht="12.75" hidden="1" outlineLevel="1"/>
    <row r="288" ht="12.75" hidden="1" outlineLevel="1"/>
    <row r="289" ht="12.75" hidden="1" outlineLevel="1"/>
    <row r="290" ht="12.75" hidden="1" outlineLevel="1"/>
    <row r="291" ht="12.75" hidden="1" outlineLevel="1"/>
    <row r="292" ht="12.75" hidden="1" outlineLevel="1"/>
    <row r="293" ht="12.75" collapsed="1">
      <c r="A293" t="s">
        <v>96</v>
      </c>
    </row>
    <row r="295" ht="12.75">
      <c r="A295" t="s">
        <v>61</v>
      </c>
    </row>
    <row r="297" ht="12.75">
      <c r="A297" t="s">
        <v>97</v>
      </c>
    </row>
    <row r="298" spans="4:10" ht="12.75" hidden="1" outlineLevel="1">
      <c r="D298">
        <v>0.2</v>
      </c>
      <c r="E298">
        <v>0.5</v>
      </c>
      <c r="F298">
        <v>0.3</v>
      </c>
      <c r="G298">
        <v>0</v>
      </c>
      <c r="H298">
        <v>0.5</v>
      </c>
      <c r="I298">
        <v>0</v>
      </c>
      <c r="J298">
        <v>0.25</v>
      </c>
    </row>
    <row r="299" spans="1:10" ht="12.75" hidden="1" outlineLevel="1">
      <c r="A299" t="s">
        <v>98</v>
      </c>
      <c r="B299">
        <v>50000</v>
      </c>
      <c r="D299">
        <f>D298*B299</f>
        <v>10000</v>
      </c>
      <c r="E299">
        <f>E298*B299</f>
        <v>25000</v>
      </c>
      <c r="F299">
        <f>F298*B299</f>
        <v>15000</v>
      </c>
      <c r="G299">
        <f>G298*B299</f>
        <v>0</v>
      </c>
      <c r="H299">
        <f>H298*B299</f>
        <v>25000</v>
      </c>
      <c r="I299">
        <f>I298*B299</f>
        <v>0</v>
      </c>
      <c r="J299">
        <f>J298*B299</f>
        <v>12500</v>
      </c>
    </row>
    <row r="300" ht="12.75" hidden="1" outlineLevel="1"/>
    <row r="301" ht="12.75" hidden="1" outlineLevel="1"/>
    <row r="302" ht="12.75" collapsed="1">
      <c r="A302" t="s">
        <v>99</v>
      </c>
    </row>
    <row r="303" spans="2:10" ht="12.75" hidden="1" outlineLevel="1">
      <c r="B303">
        <v>37000</v>
      </c>
      <c r="D303">
        <v>0</v>
      </c>
      <c r="E303">
        <v>1</v>
      </c>
      <c r="F303">
        <v>0</v>
      </c>
      <c r="G303">
        <v>0</v>
      </c>
      <c r="H303">
        <v>0</v>
      </c>
      <c r="I303">
        <v>0</v>
      </c>
      <c r="J303">
        <v>0.25</v>
      </c>
    </row>
    <row r="304" spans="4:10" ht="12.75" hidden="1" outlineLevel="1">
      <c r="D304">
        <f>D303*B303</f>
        <v>0</v>
      </c>
      <c r="E304">
        <f>E303*B303</f>
        <v>37000</v>
      </c>
      <c r="F304">
        <f>F303*B303</f>
        <v>0</v>
      </c>
      <c r="G304">
        <f>G303*B303</f>
        <v>0</v>
      </c>
      <c r="H304">
        <f>H303*B303</f>
        <v>0</v>
      </c>
      <c r="I304">
        <f>I303*B303</f>
        <v>0</v>
      </c>
      <c r="J304">
        <f>J303*B303</f>
        <v>9250</v>
      </c>
    </row>
    <row r="305" ht="12.75" hidden="1" outlineLevel="1"/>
    <row r="306" ht="12.75" collapsed="1">
      <c r="A306" t="s">
        <v>100</v>
      </c>
    </row>
    <row r="307" spans="2:10" ht="12.75" hidden="1" outlineLevel="1">
      <c r="B307">
        <v>85000</v>
      </c>
      <c r="D307">
        <v>0</v>
      </c>
      <c r="E307">
        <v>0</v>
      </c>
      <c r="F307">
        <v>0</v>
      </c>
      <c r="G307">
        <v>85000</v>
      </c>
      <c r="H307">
        <v>0</v>
      </c>
      <c r="I307">
        <v>0</v>
      </c>
      <c r="J307">
        <v>10000</v>
      </c>
    </row>
    <row r="308" ht="12.75" hidden="1" outlineLevel="1"/>
    <row r="309" ht="12.75" hidden="1" outlineLevel="1"/>
    <row r="310" spans="1:10" ht="12.75" hidden="1" outlineLevel="1">
      <c r="A310" t="s">
        <v>15</v>
      </c>
      <c r="D310">
        <f aca="true" t="shared" si="17" ref="D310:J310">D299+D304+D307</f>
        <v>10000</v>
      </c>
      <c r="E310">
        <f t="shared" si="17"/>
        <v>62000</v>
      </c>
      <c r="F310">
        <f t="shared" si="17"/>
        <v>15000</v>
      </c>
      <c r="G310">
        <f t="shared" si="17"/>
        <v>85000</v>
      </c>
      <c r="H310">
        <f t="shared" si="17"/>
        <v>25000</v>
      </c>
      <c r="I310">
        <f t="shared" si="17"/>
        <v>0</v>
      </c>
      <c r="J310">
        <f t="shared" si="17"/>
        <v>31750</v>
      </c>
    </row>
    <row r="311" ht="12.75" hidden="1" outlineLevel="1"/>
    <row r="312" ht="12.75" hidden="1" outlineLevel="1"/>
    <row r="313" ht="12.75" collapsed="1">
      <c r="A313" t="s">
        <v>101</v>
      </c>
    </row>
    <row r="314" ht="12.75" hidden="1" outlineLevel="1"/>
    <row r="315" spans="2:8" ht="12.75" hidden="1" outlineLevel="1">
      <c r="B315">
        <v>80000</v>
      </c>
      <c r="H315">
        <f>B315</f>
        <v>80000</v>
      </c>
    </row>
    <row r="316" ht="12.75" hidden="1" outlineLevel="1"/>
    <row r="317" ht="12.75" collapsed="1"/>
  </sheetData>
  <printOptions/>
  <pageMargins left="0.75" right="0.75" top="1" bottom="1" header="0.5" footer="0.5"/>
  <pageSetup horizontalDpi="355" verticalDpi="3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tabSelected="1" workbookViewId="0" topLeftCell="A107">
      <selection activeCell="H118" sqref="H118"/>
    </sheetView>
  </sheetViews>
  <sheetFormatPr defaultColWidth="9.140625" defaultRowHeight="12.75" outlineLevelRow="1"/>
  <cols>
    <col min="9" max="9" width="9.421875" style="0" bestFit="1" customWidth="1"/>
  </cols>
  <sheetData>
    <row r="1" ht="12.75">
      <c r="A1" t="s">
        <v>56</v>
      </c>
    </row>
    <row r="5" spans="7:14" ht="12.75">
      <c r="G5">
        <v>2001</v>
      </c>
      <c r="H5">
        <v>2002</v>
      </c>
      <c r="I5">
        <v>2003</v>
      </c>
      <c r="J5">
        <v>2004</v>
      </c>
      <c r="K5">
        <v>2005</v>
      </c>
      <c r="L5">
        <v>2006</v>
      </c>
      <c r="M5" t="s">
        <v>57</v>
      </c>
      <c r="N5" t="s">
        <v>15</v>
      </c>
    </row>
    <row r="6" ht="12.75">
      <c r="A6" t="s">
        <v>118</v>
      </c>
    </row>
    <row r="7" spans="2:14" ht="12.75" hidden="1" outlineLevel="1">
      <c r="B7" t="s">
        <v>102</v>
      </c>
      <c r="J7">
        <f>Sheet4!F29</f>
        <v>30000</v>
      </c>
      <c r="K7">
        <f>Sheet4!G29</f>
        <v>30000</v>
      </c>
      <c r="L7">
        <f>Sheet4!H29</f>
        <v>40000</v>
      </c>
      <c r="M7">
        <f>Sheet4!I29</f>
        <v>25000</v>
      </c>
      <c r="N7">
        <f>J7+K7+L7</f>
        <v>100000</v>
      </c>
    </row>
    <row r="8" spans="2:14" ht="12.75" hidden="1" outlineLevel="1">
      <c r="B8" t="s">
        <v>103</v>
      </c>
      <c r="J8">
        <f>Sheet4!F42</f>
        <v>80304.67185396762</v>
      </c>
      <c r="K8">
        <f>Sheet4!G42</f>
        <v>119016.72721465927</v>
      </c>
      <c r="L8">
        <f>Sheet4!H42</f>
        <v>133592.48969349347</v>
      </c>
      <c r="M8">
        <f>Sheet4!I42</f>
        <v>110232.14285714286</v>
      </c>
      <c r="N8">
        <f>J8+K8+L8</f>
        <v>332913.8887621204</v>
      </c>
    </row>
    <row r="9" spans="2:14" ht="12.75" hidden="1" outlineLevel="1">
      <c r="B9" t="s">
        <v>104</v>
      </c>
      <c r="J9">
        <f>Sheet4!F50</f>
        <v>53350.40546308151</v>
      </c>
      <c r="K9">
        <f>Sheet4!G50</f>
        <v>89823.94506766737</v>
      </c>
      <c r="L9">
        <f>Sheet4!H50</f>
        <v>100824.52052339131</v>
      </c>
      <c r="M9">
        <f>Sheet4!I50</f>
        <v>81000</v>
      </c>
      <c r="N9">
        <f>SUM(J9:L9)</f>
        <v>243998.8710541402</v>
      </c>
    </row>
    <row r="10" spans="2:14" ht="12.75" hidden="1" outlineLevel="1">
      <c r="B10" t="s">
        <v>105</v>
      </c>
      <c r="J10">
        <f>Sheet4!F54</f>
        <v>244200.24420024423</v>
      </c>
      <c r="K10">
        <f>Sheet4!G54</f>
        <v>130039.01170351106</v>
      </c>
      <c r="L10">
        <f>Sheet4!H54</f>
        <v>69244.08540103865</v>
      </c>
      <c r="M10">
        <f>Sheet4!I54</f>
        <v>147827.7804349313</v>
      </c>
      <c r="N10">
        <f>SUM(J10:L10)</f>
        <v>443483.34130479395</v>
      </c>
    </row>
    <row r="11" spans="2:14" ht="12.75" hidden="1" outlineLevel="1">
      <c r="B11" t="s">
        <v>106</v>
      </c>
      <c r="J11">
        <f>Sheet4!F59</f>
        <v>134818.88481888484</v>
      </c>
      <c r="K11">
        <f>Sheet4!G59</f>
        <v>71792.37104464673</v>
      </c>
      <c r="L11">
        <f>Sheet4!H59</f>
        <v>38228.50548182343</v>
      </c>
      <c r="M11">
        <f>Sheet4!I59</f>
        <v>81613.253781785</v>
      </c>
      <c r="N11">
        <f>SUM(J11:L11)</f>
        <v>244839.761345355</v>
      </c>
    </row>
    <row r="12" spans="2:14" ht="12.75" hidden="1" outlineLevel="1">
      <c r="B12" t="s">
        <v>107</v>
      </c>
      <c r="J12">
        <f>Sheet4!F83</f>
        <v>480021.7157056779</v>
      </c>
      <c r="K12">
        <f>Sheet4!G83</f>
        <v>764366.160310278</v>
      </c>
      <c r="L12">
        <f>Sheet4!H83</f>
        <v>633018.2039248109</v>
      </c>
      <c r="M12">
        <f>Sheet4!I83</f>
        <v>523328.62500878226</v>
      </c>
      <c r="N12">
        <f>SUM(J12:L12)</f>
        <v>1877406.0799407666</v>
      </c>
    </row>
    <row r="13" spans="2:14" ht="12.75" hidden="1" outlineLevel="1">
      <c r="B13" t="s">
        <v>108</v>
      </c>
      <c r="J13">
        <f>Sheet4!F96</f>
        <v>23750</v>
      </c>
      <c r="K13">
        <f>Sheet4!G96</f>
        <v>12500</v>
      </c>
      <c r="L13">
        <f>Sheet4!H96</f>
        <v>27500</v>
      </c>
      <c r="M13">
        <f>Sheet4!I96</f>
        <v>22500</v>
      </c>
      <c r="N13">
        <f>Sheet4!J96</f>
        <v>63750</v>
      </c>
    </row>
    <row r="14" ht="12.75" hidden="1" outlineLevel="1"/>
    <row r="15" ht="12.75" hidden="1" outlineLevel="1"/>
    <row r="16" ht="12.75" hidden="1" outlineLevel="1"/>
    <row r="17" spans="1:14" ht="12.75" collapsed="1">
      <c r="A17" t="s">
        <v>15</v>
      </c>
      <c r="G17">
        <f aca="true" t="shared" si="0" ref="G17:N17">SUM(G7:G13)</f>
        <v>0</v>
      </c>
      <c r="H17">
        <f t="shared" si="0"/>
        <v>0</v>
      </c>
      <c r="I17">
        <f t="shared" si="0"/>
        <v>0</v>
      </c>
      <c r="J17">
        <f t="shared" si="0"/>
        <v>1046445.922041856</v>
      </c>
      <c r="K17">
        <f t="shared" si="0"/>
        <v>1217538.2153407624</v>
      </c>
      <c r="L17">
        <f t="shared" si="0"/>
        <v>1042407.8050245577</v>
      </c>
      <c r="M17">
        <f t="shared" si="0"/>
        <v>991501.8020826414</v>
      </c>
      <c r="N17">
        <f t="shared" si="0"/>
        <v>3306391.942407176</v>
      </c>
    </row>
    <row r="18" ht="12.75">
      <c r="A18" t="s">
        <v>115</v>
      </c>
    </row>
    <row r="19" spans="2:14" ht="12.75" hidden="1" outlineLevel="1">
      <c r="B19" t="s">
        <v>116</v>
      </c>
      <c r="G19">
        <f>Sheet4!D107</f>
        <v>0</v>
      </c>
      <c r="H19">
        <f>Sheet4!E107</f>
        <v>25000</v>
      </c>
      <c r="I19">
        <f>Sheet4!F107</f>
        <v>20000</v>
      </c>
      <c r="J19">
        <f>Sheet4!G107</f>
        <v>0</v>
      </c>
      <c r="K19">
        <f>Sheet4!H107</f>
        <v>30000</v>
      </c>
      <c r="L19">
        <f>Sheet4!I107</f>
        <v>0</v>
      </c>
      <c r="M19">
        <f>Sheet4!K107</f>
        <v>13300</v>
      </c>
      <c r="N19">
        <f>SUM(G19:L19)</f>
        <v>75000</v>
      </c>
    </row>
    <row r="20" ht="12.75" hidden="1" outlineLevel="1"/>
    <row r="21" ht="12.75" hidden="1" outlineLevel="1"/>
    <row r="22" ht="12.75" hidden="1" outlineLevel="1"/>
    <row r="23" ht="12.75" hidden="1" outlineLevel="1"/>
    <row r="24" ht="12.75" hidden="1" outlineLevel="1"/>
    <row r="25" ht="12.75" hidden="1" outlineLevel="1"/>
    <row r="26" spans="1:14" ht="12.75" collapsed="1">
      <c r="A26" t="s">
        <v>15</v>
      </c>
      <c r="G26">
        <f aca="true" t="shared" si="1" ref="G26:N26">G19</f>
        <v>0</v>
      </c>
      <c r="H26">
        <f t="shared" si="1"/>
        <v>25000</v>
      </c>
      <c r="I26">
        <f t="shared" si="1"/>
        <v>20000</v>
      </c>
      <c r="J26">
        <f t="shared" si="1"/>
        <v>0</v>
      </c>
      <c r="K26">
        <f t="shared" si="1"/>
        <v>30000</v>
      </c>
      <c r="L26">
        <f t="shared" si="1"/>
        <v>0</v>
      </c>
      <c r="M26">
        <f t="shared" si="1"/>
        <v>13300</v>
      </c>
      <c r="N26">
        <f t="shared" si="1"/>
        <v>75000</v>
      </c>
    </row>
    <row r="27" ht="12.75">
      <c r="A27" t="s">
        <v>58</v>
      </c>
    </row>
    <row r="28" ht="12.75" hidden="1" outlineLevel="1"/>
    <row r="29" ht="12.75" hidden="1" outlineLevel="1"/>
    <row r="30" ht="12.75" hidden="1" outlineLevel="1"/>
    <row r="31" ht="12.75" hidden="1" outlineLevel="1"/>
    <row r="32" ht="12.75" hidden="1" outlineLevel="1"/>
    <row r="33" ht="12.75" hidden="1" outlineLevel="1"/>
    <row r="34" ht="12.75" hidden="1" outlineLevel="1"/>
    <row r="35" ht="12.75" hidden="1" outlineLevel="1"/>
    <row r="36" spans="1:14" ht="12.75" collapsed="1">
      <c r="A36" t="s">
        <v>15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="7" customFormat="1" ht="12.75">
      <c r="A37" s="7" t="s">
        <v>117</v>
      </c>
    </row>
    <row r="38" s="7" customFormat="1" ht="12.75" hidden="1" outlineLevel="1"/>
    <row r="39" s="7" customFormat="1" ht="12.75" hidden="1" outlineLevel="1"/>
    <row r="40" s="7" customFormat="1" ht="12.75" hidden="1" outlineLevel="1"/>
    <row r="41" s="7" customFormat="1" ht="12.75" hidden="1" outlineLevel="1"/>
    <row r="42" s="7" customFormat="1" ht="12.75" hidden="1" outlineLevel="1"/>
    <row r="43" s="7" customFormat="1" ht="12.75" hidden="1" outlineLevel="1"/>
    <row r="44" s="7" customFormat="1" ht="12.75" hidden="1" outlineLevel="1"/>
    <row r="45" s="7" customFormat="1" ht="12.75" hidden="1" outlineLevel="1"/>
    <row r="46" s="7" customFormat="1" ht="12.75" hidden="1" outlineLevel="1"/>
    <row r="47" s="7" customFormat="1" ht="12.75" hidden="1" outlineLevel="1"/>
    <row r="48" s="7" customFormat="1" ht="12.75" hidden="1" outlineLevel="1"/>
    <row r="49" s="7" customFormat="1" ht="12.75" hidden="1" outlineLevel="1"/>
    <row r="50" spans="1:14" s="7" customFormat="1" ht="12.75" outlineLevel="1">
      <c r="A50" s="7" t="s">
        <v>179</v>
      </c>
      <c r="G50" s="7">
        <v>0</v>
      </c>
      <c r="H50" s="7">
        <v>750000</v>
      </c>
      <c r="I50" s="7">
        <v>900000</v>
      </c>
      <c r="J50" s="7">
        <v>1200000</v>
      </c>
      <c r="K50" s="7">
        <v>1350000</v>
      </c>
      <c r="L50" s="7">
        <v>1500000</v>
      </c>
      <c r="M50" s="7">
        <v>1500000</v>
      </c>
      <c r="N50" s="7">
        <f>SUM(G50:L50)</f>
        <v>5700000</v>
      </c>
    </row>
    <row r="51" s="7" customFormat="1" ht="12.75" outlineLevel="1"/>
    <row r="52" spans="1:14" s="7" customFormat="1" ht="12.75" outlineLevel="1">
      <c r="A52" s="7" t="s">
        <v>180</v>
      </c>
      <c r="G52" s="7">
        <f aca="true" t="shared" si="2" ref="G52:M52">G53-G50</f>
        <v>500000</v>
      </c>
      <c r="H52" s="7">
        <f t="shared" si="2"/>
        <v>315000</v>
      </c>
      <c r="I52" s="7">
        <f t="shared" si="2"/>
        <v>180000</v>
      </c>
      <c r="J52" s="7">
        <f t="shared" si="2"/>
        <v>1000000</v>
      </c>
      <c r="K52" s="7">
        <f t="shared" si="2"/>
        <v>480000</v>
      </c>
      <c r="L52" s="7">
        <f t="shared" si="2"/>
        <v>1500000</v>
      </c>
      <c r="M52" s="7">
        <f t="shared" si="2"/>
        <v>1250000</v>
      </c>
      <c r="N52" s="7">
        <f>SUM(G52:L52)</f>
        <v>3975000</v>
      </c>
    </row>
    <row r="53" spans="1:14" s="7" customFormat="1" ht="12.75">
      <c r="A53" s="7" t="s">
        <v>15</v>
      </c>
      <c r="G53" s="7">
        <v>500000</v>
      </c>
      <c r="H53" s="7">
        <v>1065000</v>
      </c>
      <c r="I53" s="7">
        <v>1080000</v>
      </c>
      <c r="J53" s="7">
        <v>2200000</v>
      </c>
      <c r="K53" s="7">
        <v>1830000</v>
      </c>
      <c r="L53" s="7">
        <v>3000000</v>
      </c>
      <c r="M53" s="7">
        <v>2750000</v>
      </c>
      <c r="N53" s="7">
        <f>SUM(G53:L53)</f>
        <v>9675000</v>
      </c>
    </row>
    <row r="54" ht="12.75">
      <c r="A54" t="s">
        <v>67</v>
      </c>
    </row>
    <row r="55" spans="2:14" ht="12.75" hidden="1" outlineLevel="1">
      <c r="B55" t="s">
        <v>119</v>
      </c>
      <c r="G55">
        <f>Sheet4!C155</f>
        <v>21250</v>
      </c>
      <c r="H55">
        <f>Sheet4!D155</f>
        <v>22500</v>
      </c>
      <c r="I55">
        <f>Sheet4!E155</f>
        <v>56250</v>
      </c>
      <c r="J55">
        <f>Sheet4!F155</f>
        <v>66050</v>
      </c>
      <c r="K55">
        <f>Sheet4!G155</f>
        <v>54600</v>
      </c>
      <c r="L55">
        <f>Sheet4!H155</f>
        <v>58150</v>
      </c>
      <c r="M55">
        <f>Sheet4!J155</f>
        <v>66266.66666666667</v>
      </c>
      <c r="N55">
        <f>SUM(G55:L55)</f>
        <v>278800</v>
      </c>
    </row>
    <row r="56" spans="2:14" ht="12.75" hidden="1" outlineLevel="1">
      <c r="B56" t="s">
        <v>120</v>
      </c>
      <c r="G56">
        <f>Sheet4!C167</f>
        <v>0</v>
      </c>
      <c r="H56">
        <f>Sheet4!D167</f>
        <v>0</v>
      </c>
      <c r="I56">
        <f>Sheet4!E167</f>
        <v>0</v>
      </c>
      <c r="J56">
        <f>Sheet4!F167</f>
        <v>290000</v>
      </c>
      <c r="K56">
        <f>Sheet4!G167</f>
        <v>255000</v>
      </c>
      <c r="L56">
        <f>Sheet4!H167</f>
        <v>255000</v>
      </c>
      <c r="M56">
        <f>Sheet4!J167</f>
        <v>265000</v>
      </c>
      <c r="N56">
        <f>SUM(G56:L56)</f>
        <v>800000</v>
      </c>
    </row>
    <row r="57" spans="2:14" ht="12.75" hidden="1" outlineLevel="1">
      <c r="B57" t="s">
        <v>121</v>
      </c>
      <c r="G57">
        <f>Sheet4!C175</f>
        <v>0</v>
      </c>
      <c r="H57">
        <f>Sheet4!D175</f>
        <v>0</v>
      </c>
      <c r="I57">
        <f>Sheet4!E175</f>
        <v>0</v>
      </c>
      <c r="J57">
        <f>Sheet4!F175</f>
        <v>30000</v>
      </c>
      <c r="K57">
        <f>Sheet4!G175</f>
        <v>15000</v>
      </c>
      <c r="L57">
        <f>Sheet4!H175</f>
        <v>15000</v>
      </c>
      <c r="M57">
        <f>Sheet4!J175</f>
        <v>15000</v>
      </c>
      <c r="N57">
        <f>SUM(G57:L57)</f>
        <v>60000</v>
      </c>
    </row>
    <row r="58" spans="2:14" ht="12.75" hidden="1" outlineLevel="1">
      <c r="B58" t="s">
        <v>122</v>
      </c>
      <c r="G58">
        <f>Sheet4!C183</f>
        <v>0</v>
      </c>
      <c r="H58">
        <f>Sheet4!D183</f>
        <v>0</v>
      </c>
      <c r="I58">
        <f>Sheet4!E183</f>
        <v>0</v>
      </c>
      <c r="J58">
        <f>Sheet4!F183</f>
        <v>50000</v>
      </c>
      <c r="K58">
        <f>Sheet4!G183</f>
        <v>15000</v>
      </c>
      <c r="L58">
        <f>Sheet4!H183</f>
        <v>15000</v>
      </c>
      <c r="M58">
        <f>Sheet4!J183</f>
        <v>25000</v>
      </c>
      <c r="N58">
        <f>SUM(G58:L58)</f>
        <v>80000</v>
      </c>
    </row>
    <row r="59" ht="12.75" hidden="1" outlineLevel="1"/>
    <row r="60" ht="12.75" hidden="1" outlineLevel="1"/>
    <row r="61" spans="1:14" ht="12.75" collapsed="1">
      <c r="A61" t="s">
        <v>15</v>
      </c>
      <c r="G61">
        <f aca="true" t="shared" si="3" ref="G61:N61">G55+G56+G57+G58</f>
        <v>21250</v>
      </c>
      <c r="H61">
        <f t="shared" si="3"/>
        <v>22500</v>
      </c>
      <c r="I61">
        <f t="shared" si="3"/>
        <v>56250</v>
      </c>
      <c r="J61">
        <f t="shared" si="3"/>
        <v>436050</v>
      </c>
      <c r="K61">
        <f t="shared" si="3"/>
        <v>339600</v>
      </c>
      <c r="L61">
        <f t="shared" si="3"/>
        <v>343150</v>
      </c>
      <c r="M61">
        <f t="shared" si="3"/>
        <v>371266.6666666667</v>
      </c>
      <c r="N61">
        <f t="shared" si="3"/>
        <v>1218800</v>
      </c>
    </row>
    <row r="62" ht="12.75">
      <c r="A62" t="s">
        <v>123</v>
      </c>
    </row>
    <row r="63" spans="2:14" ht="12.75" hidden="1" outlineLevel="1">
      <c r="B63" t="s">
        <v>124</v>
      </c>
      <c r="G63">
        <f>Sheet4!C189</f>
        <v>30000</v>
      </c>
      <c r="H63">
        <f>Sheet4!D189</f>
        <v>50000</v>
      </c>
      <c r="I63">
        <f>Sheet4!E189</f>
        <v>0</v>
      </c>
      <c r="J63">
        <f>Sheet4!F189</f>
        <v>0</v>
      </c>
      <c r="K63">
        <f>Sheet4!G189</f>
        <v>0</v>
      </c>
      <c r="L63">
        <f>Sheet4!H189</f>
        <v>0</v>
      </c>
      <c r="M63">
        <v>0</v>
      </c>
      <c r="N63">
        <f>SUM(G63:L63)</f>
        <v>80000</v>
      </c>
    </row>
    <row r="64" spans="2:14" ht="12.75" hidden="1" outlineLevel="1">
      <c r="B64" t="s">
        <v>125</v>
      </c>
      <c r="G64">
        <f>Sheet4!C223</f>
        <v>252500</v>
      </c>
      <c r="H64">
        <f>Sheet4!D223</f>
        <v>443292.68292682926</v>
      </c>
      <c r="I64">
        <f>Sheet4!E223</f>
        <v>327472.01492537314</v>
      </c>
      <c r="J64">
        <f>Sheet4!F223</f>
        <v>0</v>
      </c>
      <c r="K64">
        <f>Sheet4!G223</f>
        <v>0</v>
      </c>
      <c r="L64">
        <f>Sheet4!H223</f>
        <v>0</v>
      </c>
      <c r="M64">
        <f>Sheet4!I223</f>
        <v>0</v>
      </c>
      <c r="N64">
        <f>SUM(G64:L64)</f>
        <v>1023264.6978522023</v>
      </c>
    </row>
    <row r="65" spans="2:14" ht="12.75" hidden="1" outlineLevel="1">
      <c r="B65" t="s">
        <v>126</v>
      </c>
      <c r="G65">
        <f>Sheet4!C231</f>
        <v>0</v>
      </c>
      <c r="H65">
        <f>Sheet4!D231</f>
        <v>0</v>
      </c>
      <c r="I65">
        <f>Sheet4!E231</f>
        <v>100000</v>
      </c>
      <c r="J65">
        <f>Sheet4!F231</f>
        <v>0</v>
      </c>
      <c r="K65">
        <f>Sheet4!G231</f>
        <v>0</v>
      </c>
      <c r="L65">
        <f>Sheet4!H231</f>
        <v>0</v>
      </c>
      <c r="M65">
        <f>Sheet4!I231</f>
        <v>0</v>
      </c>
      <c r="N65">
        <f>SUM(G65:L65)</f>
        <v>100000</v>
      </c>
    </row>
    <row r="66" spans="2:14" ht="12.75" hidden="1" outlineLevel="1">
      <c r="B66" t="s">
        <v>127</v>
      </c>
      <c r="G66">
        <f>Sheet4!D245</f>
        <v>0</v>
      </c>
      <c r="H66">
        <f>Sheet4!E245</f>
        <v>29200</v>
      </c>
      <c r="I66">
        <f>Sheet4!F245</f>
        <v>0</v>
      </c>
      <c r="J66">
        <f>Sheet4!F245</f>
        <v>0</v>
      </c>
      <c r="K66">
        <f>Sheet4!H245</f>
        <v>0</v>
      </c>
      <c r="L66">
        <f>Sheet4!I245</f>
        <v>0</v>
      </c>
      <c r="M66">
        <f>Sheet4!J245</f>
        <v>0</v>
      </c>
      <c r="N66">
        <f>SUM(G66:L66)</f>
        <v>29200</v>
      </c>
    </row>
    <row r="67" ht="12.75" hidden="1" outlineLevel="1"/>
    <row r="68" ht="12.75" hidden="1" outlineLevel="1"/>
    <row r="69" spans="1:14" ht="12.75" collapsed="1">
      <c r="A69" t="s">
        <v>15</v>
      </c>
      <c r="G69">
        <f aca="true" t="shared" si="4" ref="G69:M69">SUM(G63:G67)</f>
        <v>282500</v>
      </c>
      <c r="H69">
        <f t="shared" si="4"/>
        <v>522492.68292682926</v>
      </c>
      <c r="I69">
        <f t="shared" si="4"/>
        <v>427472.01492537314</v>
      </c>
      <c r="J69">
        <f t="shared" si="4"/>
        <v>0</v>
      </c>
      <c r="K69">
        <f t="shared" si="4"/>
        <v>0</v>
      </c>
      <c r="L69">
        <f t="shared" si="4"/>
        <v>0</v>
      </c>
      <c r="M69">
        <f t="shared" si="4"/>
        <v>0</v>
      </c>
      <c r="N69">
        <f>SUM(G69:L69)</f>
        <v>1232464.6978522022</v>
      </c>
    </row>
    <row r="70" ht="12.75">
      <c r="A70" t="s">
        <v>129</v>
      </c>
    </row>
    <row r="71" ht="12.75" hidden="1" outlineLevel="1">
      <c r="B71" t="s">
        <v>133</v>
      </c>
    </row>
    <row r="72" spans="2:14" ht="12.75" hidden="1" outlineLevel="1">
      <c r="B72" t="s">
        <v>134</v>
      </c>
      <c r="G72">
        <f>Sheet4!D274</f>
        <v>53000</v>
      </c>
      <c r="H72">
        <f>Sheet4!E274</f>
        <v>22000</v>
      </c>
      <c r="I72">
        <f>Sheet4!F274</f>
        <v>21000</v>
      </c>
      <c r="J72">
        <f>Sheet4!G274</f>
        <v>6000</v>
      </c>
      <c r="K72">
        <f>Sheet4!H274</f>
        <v>0</v>
      </c>
      <c r="L72">
        <f>Sheet4!I274</f>
        <v>0</v>
      </c>
      <c r="M72">
        <f>Sheet4!J274</f>
        <v>0</v>
      </c>
      <c r="N72">
        <f>SUM(G72:L72)</f>
        <v>102000</v>
      </c>
    </row>
    <row r="73" ht="12.75" hidden="1" outlineLevel="1">
      <c r="B73" t="s">
        <v>135</v>
      </c>
    </row>
    <row r="74" spans="2:14" ht="12.75" hidden="1" outlineLevel="1">
      <c r="B74" t="s">
        <v>136</v>
      </c>
      <c r="G74" s="5">
        <f>Sheet4!D285</f>
        <v>82500</v>
      </c>
      <c r="H74" s="5">
        <f>Sheet4!E285</f>
        <v>12500</v>
      </c>
      <c r="I74" s="5">
        <f>Sheet4!F285</f>
        <v>27500</v>
      </c>
      <c r="J74" s="5">
        <f>Sheet4!G285</f>
        <v>0</v>
      </c>
      <c r="K74" s="5">
        <f>Sheet4!H285</f>
        <v>0</v>
      </c>
      <c r="L74" s="5">
        <f>Sheet4!I285</f>
        <v>0</v>
      </c>
      <c r="M74" s="5">
        <f>Sheet4!J285</f>
        <v>0</v>
      </c>
      <c r="N74" s="5">
        <f>SUM(G74:L74)</f>
        <v>122500</v>
      </c>
    </row>
    <row r="75" ht="12.75" hidden="1" outlineLevel="1"/>
    <row r="76" ht="12.75" hidden="1" outlineLevel="1"/>
    <row r="77" ht="12.75" hidden="1" outlineLevel="1"/>
    <row r="78" spans="1:14" ht="12.75" collapsed="1">
      <c r="A78" t="s">
        <v>15</v>
      </c>
      <c r="G78">
        <f aca="true" t="shared" si="5" ref="G78:N78">SUM(G71:G76)</f>
        <v>135500</v>
      </c>
      <c r="H78">
        <f t="shared" si="5"/>
        <v>34500</v>
      </c>
      <c r="I78">
        <f t="shared" si="5"/>
        <v>48500</v>
      </c>
      <c r="J78">
        <f t="shared" si="5"/>
        <v>6000</v>
      </c>
      <c r="K78">
        <f t="shared" si="5"/>
        <v>0</v>
      </c>
      <c r="L78">
        <f t="shared" si="5"/>
        <v>0</v>
      </c>
      <c r="M78">
        <f t="shared" si="5"/>
        <v>0</v>
      </c>
      <c r="N78">
        <f t="shared" si="5"/>
        <v>224500</v>
      </c>
    </row>
    <row r="79" ht="12.75">
      <c r="A79" t="s">
        <v>130</v>
      </c>
    </row>
    <row r="80" spans="2:14" ht="12.75" hidden="1" outlineLevel="1">
      <c r="B80" t="s">
        <v>131</v>
      </c>
      <c r="G80">
        <f>Sheet4!D310</f>
        <v>10000</v>
      </c>
      <c r="H80">
        <f>Sheet4!E310</f>
        <v>62000</v>
      </c>
      <c r="I80">
        <f>Sheet4!F310</f>
        <v>15000</v>
      </c>
      <c r="J80">
        <f>Sheet4!G310</f>
        <v>85000</v>
      </c>
      <c r="K80">
        <f>Sheet4!H310</f>
        <v>25000</v>
      </c>
      <c r="L80">
        <f>Sheet4!I310</f>
        <v>0</v>
      </c>
      <c r="M80">
        <f>Sheet4!J310</f>
        <v>31750</v>
      </c>
      <c r="N80">
        <f>SUM(G80:L80)</f>
        <v>197000</v>
      </c>
    </row>
    <row r="81" spans="2:14" ht="12.75" hidden="1" outlineLevel="1">
      <c r="B81" t="s">
        <v>132</v>
      </c>
      <c r="G81">
        <f>Sheet4!D315</f>
        <v>0</v>
      </c>
      <c r="H81">
        <f>Sheet4!E315</f>
        <v>0</v>
      </c>
      <c r="I81">
        <f>Sheet4!F315</f>
        <v>0</v>
      </c>
      <c r="J81">
        <f>Sheet4!G315</f>
        <v>0</v>
      </c>
      <c r="K81">
        <f>Sheet4!H315</f>
        <v>80000</v>
      </c>
      <c r="L81">
        <f>Sheet4!I315</f>
        <v>0</v>
      </c>
      <c r="M81">
        <f>Sheet4!J315</f>
        <v>0</v>
      </c>
      <c r="N81">
        <f>SUM(G81:L81)</f>
        <v>80000</v>
      </c>
    </row>
    <row r="82" ht="12.75" hidden="1" outlineLevel="1"/>
    <row r="83" spans="1:14" ht="12.75" collapsed="1">
      <c r="A83" t="s">
        <v>15</v>
      </c>
      <c r="G83">
        <f aca="true" t="shared" si="6" ref="G83:N83">SUM(G80:G81)</f>
        <v>10000</v>
      </c>
      <c r="H83">
        <f t="shared" si="6"/>
        <v>62000</v>
      </c>
      <c r="I83">
        <f t="shared" si="6"/>
        <v>15000</v>
      </c>
      <c r="J83">
        <f t="shared" si="6"/>
        <v>85000</v>
      </c>
      <c r="K83">
        <f t="shared" si="6"/>
        <v>105000</v>
      </c>
      <c r="L83">
        <f t="shared" si="6"/>
        <v>0</v>
      </c>
      <c r="M83">
        <f t="shared" si="6"/>
        <v>31750</v>
      </c>
      <c r="N83">
        <f t="shared" si="6"/>
        <v>277000</v>
      </c>
    </row>
    <row r="87" spans="1:14" ht="12.75">
      <c r="A87" t="s">
        <v>185</v>
      </c>
      <c r="G87">
        <f>G17+G26+G36+G61+G69+G78+G83</f>
        <v>449250</v>
      </c>
      <c r="H87">
        <f aca="true" t="shared" si="7" ref="H87:M87">H17+H26+H36+H61+H69+H78+H83</f>
        <v>666492.6829268292</v>
      </c>
      <c r="I87">
        <f t="shared" si="7"/>
        <v>567222.0149253731</v>
      </c>
      <c r="J87">
        <f t="shared" si="7"/>
        <v>1573495.922041856</v>
      </c>
      <c r="K87">
        <f t="shared" si="7"/>
        <v>1692138.2153407624</v>
      </c>
      <c r="L87">
        <f t="shared" si="7"/>
        <v>1385557.8050245577</v>
      </c>
      <c r="M87">
        <f t="shared" si="7"/>
        <v>1407818.468749308</v>
      </c>
      <c r="N87">
        <f>SUM(G87:L87)</f>
        <v>6334156.640259379</v>
      </c>
    </row>
    <row r="88" ht="12.75">
      <c r="A88" t="s">
        <v>62</v>
      </c>
    </row>
    <row r="89" spans="1:14" ht="12.75">
      <c r="A89" t="s">
        <v>63</v>
      </c>
      <c r="G89">
        <f>G17+G26+G36+G53+G61+G69+G78+G83</f>
        <v>949250</v>
      </c>
      <c r="H89">
        <f aca="true" t="shared" si="8" ref="H89:M89">H17+H26+H36+H53+H61+H69+H78+H83</f>
        <v>1731492.6829268292</v>
      </c>
      <c r="I89">
        <f t="shared" si="8"/>
        <v>1647222.0149253733</v>
      </c>
      <c r="J89">
        <f t="shared" si="8"/>
        <v>3773495.9220418558</v>
      </c>
      <c r="K89">
        <f t="shared" si="8"/>
        <v>3522138.2153407624</v>
      </c>
      <c r="L89">
        <f t="shared" si="8"/>
        <v>4385557.805024558</v>
      </c>
      <c r="M89">
        <f t="shared" si="8"/>
        <v>4157818.468749308</v>
      </c>
      <c r="N89">
        <f>SUM(G89:L89)</f>
        <v>16009156.640259378</v>
      </c>
    </row>
    <row r="91" spans="1:13" ht="12.75">
      <c r="A91" t="s">
        <v>172</v>
      </c>
      <c r="C91">
        <v>0.03</v>
      </c>
      <c r="F91">
        <v>1</v>
      </c>
      <c r="G91">
        <f>F91*C91+F91</f>
        <v>1.03</v>
      </c>
      <c r="H91">
        <f>G91*C91+G91</f>
        <v>1.0609</v>
      </c>
      <c r="I91">
        <f>H91*C91+H91</f>
        <v>1.092727</v>
      </c>
      <c r="J91">
        <f>I91*C91+I91</f>
        <v>1.12550881</v>
      </c>
      <c r="K91">
        <f>J91*C91+J91</f>
        <v>1.1592740742999998</v>
      </c>
      <c r="L91">
        <f>K91*C91+K91</f>
        <v>1.194052296529</v>
      </c>
      <c r="M91">
        <f>L91*C91+L91</f>
        <v>1.22987386542487</v>
      </c>
    </row>
    <row r="92" spans="1:14" ht="12.75">
      <c r="A92" t="s">
        <v>173</v>
      </c>
      <c r="G92">
        <f aca="true" t="shared" si="9" ref="G92:M92">G89*G91</f>
        <v>977727.5</v>
      </c>
      <c r="H92">
        <f t="shared" si="9"/>
        <v>1836940.587317073</v>
      </c>
      <c r="I92">
        <f t="shared" si="9"/>
        <v>1799963.9707033583</v>
      </c>
      <c r="J92">
        <f t="shared" si="9"/>
        <v>4247102.904757181</v>
      </c>
      <c r="K92">
        <f t="shared" si="9"/>
        <v>4083123.5191458156</v>
      </c>
      <c r="L92">
        <f t="shared" si="9"/>
        <v>5236585.368650253</v>
      </c>
      <c r="M92">
        <f t="shared" si="9"/>
        <v>5113592.271895626</v>
      </c>
      <c r="N92">
        <f>SUM(G92:L92)</f>
        <v>18181443.85057368</v>
      </c>
    </row>
    <row r="93" spans="1:13" ht="12.75">
      <c r="A93" t="s">
        <v>176</v>
      </c>
      <c r="G93">
        <v>1.1</v>
      </c>
      <c r="H93">
        <v>1.1</v>
      </c>
      <c r="I93">
        <v>1.1</v>
      </c>
      <c r="J93">
        <v>1.1</v>
      </c>
      <c r="K93">
        <v>1.1</v>
      </c>
      <c r="L93">
        <v>1.1</v>
      </c>
      <c r="M93">
        <v>1.1</v>
      </c>
    </row>
    <row r="94" spans="7:14" ht="12.75">
      <c r="G94">
        <f aca="true" t="shared" si="10" ref="G94:M94">G92*G93</f>
        <v>1075500.25</v>
      </c>
      <c r="H94">
        <f t="shared" si="10"/>
        <v>2020634.6460487805</v>
      </c>
      <c r="I94">
        <f t="shared" si="10"/>
        <v>1979960.3677736942</v>
      </c>
      <c r="J94">
        <f t="shared" si="10"/>
        <v>4671813.1952329</v>
      </c>
      <c r="K94">
        <f t="shared" si="10"/>
        <v>4491435.8710603975</v>
      </c>
      <c r="L94">
        <f t="shared" si="10"/>
        <v>5760243.905515279</v>
      </c>
      <c r="M94">
        <f t="shared" si="10"/>
        <v>5624951.499085189</v>
      </c>
      <c r="N94">
        <f>SUM(G94:L94)</f>
        <v>19999588.235631052</v>
      </c>
    </row>
    <row r="95" spans="1:13" ht="12.75">
      <c r="A95" t="s">
        <v>64</v>
      </c>
      <c r="G95">
        <v>1.16</v>
      </c>
      <c r="H95">
        <v>1.16</v>
      </c>
      <c r="I95">
        <v>1.16</v>
      </c>
      <c r="J95">
        <v>1.16</v>
      </c>
      <c r="K95">
        <v>1.16</v>
      </c>
      <c r="L95">
        <v>1.16</v>
      </c>
      <c r="M95">
        <v>1.16</v>
      </c>
    </row>
    <row r="97" spans="1:14" ht="12.75">
      <c r="A97" s="6" t="s">
        <v>65</v>
      </c>
      <c r="G97">
        <f aca="true" t="shared" si="11" ref="G97:M97">G92*G95</f>
        <v>1134163.9</v>
      </c>
      <c r="H97">
        <f t="shared" si="11"/>
        <v>2130851.0812878045</v>
      </c>
      <c r="I97">
        <f t="shared" si="11"/>
        <v>2087958.2060158956</v>
      </c>
      <c r="J97">
        <f t="shared" si="11"/>
        <v>4926639.369518329</v>
      </c>
      <c r="K97">
        <f t="shared" si="11"/>
        <v>4736423.282209146</v>
      </c>
      <c r="L97">
        <f t="shared" si="11"/>
        <v>6074439.027634293</v>
      </c>
      <c r="M97">
        <f t="shared" si="11"/>
        <v>5931767.035398926</v>
      </c>
      <c r="N97">
        <f>SUM(G97:L97)</f>
        <v>21090474.866665468</v>
      </c>
    </row>
    <row r="98" spans="1:14" ht="12.75">
      <c r="A98" s="6" t="s">
        <v>186</v>
      </c>
      <c r="G98">
        <f>G87*G91*G95</f>
        <v>536763.8999999999</v>
      </c>
      <c r="H98">
        <f aca="true" t="shared" si="12" ref="H98:M98">H87*H91*H95</f>
        <v>820215.2212878047</v>
      </c>
      <c r="I98">
        <f t="shared" si="12"/>
        <v>718989.8204158955</v>
      </c>
      <c r="J98">
        <f t="shared" si="12"/>
        <v>2054340.8863983308</v>
      </c>
      <c r="K98">
        <f t="shared" si="12"/>
        <v>2275516.2772851065</v>
      </c>
      <c r="L98">
        <f t="shared" si="12"/>
        <v>1919137.0357133737</v>
      </c>
      <c r="M98">
        <f t="shared" si="12"/>
        <v>2008469.40469359</v>
      </c>
      <c r="N98">
        <f>SUM(G98:L98)</f>
        <v>8324963.141100511</v>
      </c>
    </row>
    <row r="99" spans="1:14" ht="12.75">
      <c r="A99" s="6" t="s">
        <v>191</v>
      </c>
      <c r="G99">
        <f>G97-G98</f>
        <v>597400</v>
      </c>
      <c r="H99">
        <f aca="true" t="shared" si="13" ref="H99:M99">H97-H98</f>
        <v>1310635.8599999999</v>
      </c>
      <c r="I99">
        <f t="shared" si="13"/>
        <v>1368968.3856000002</v>
      </c>
      <c r="J99">
        <f t="shared" si="13"/>
        <v>2872298.4831199986</v>
      </c>
      <c r="K99">
        <f t="shared" si="13"/>
        <v>2460907.0049240394</v>
      </c>
      <c r="L99">
        <f t="shared" si="13"/>
        <v>4155301.991920919</v>
      </c>
      <c r="M99">
        <f t="shared" si="13"/>
        <v>3923297.6307053356</v>
      </c>
      <c r="N99">
        <f>SUM(G99:L99)</f>
        <v>12765511.725564957</v>
      </c>
    </row>
    <row r="100" spans="1:14" ht="12.75">
      <c r="A100" s="6" t="s">
        <v>194</v>
      </c>
      <c r="G100">
        <f>G52*G91*G95</f>
        <v>597400</v>
      </c>
      <c r="H100">
        <f aca="true" t="shared" si="14" ref="H100:M100">H52*H91*H95</f>
        <v>387652.86</v>
      </c>
      <c r="I100">
        <f t="shared" si="14"/>
        <v>228161.3976</v>
      </c>
      <c r="J100">
        <f t="shared" si="14"/>
        <v>1305590.2195999997</v>
      </c>
      <c r="K100">
        <f t="shared" si="14"/>
        <v>645483.8045702399</v>
      </c>
      <c r="L100">
        <f t="shared" si="14"/>
        <v>2077650.9959604596</v>
      </c>
      <c r="M100">
        <f t="shared" si="14"/>
        <v>1783317.1048660614</v>
      </c>
      <c r="N100">
        <f>SUM(G100:L100)</f>
        <v>5241939.2777307</v>
      </c>
    </row>
    <row r="101" spans="1:14" ht="12.75">
      <c r="A101" s="6" t="s">
        <v>195</v>
      </c>
      <c r="G101">
        <f>G99-G100</f>
        <v>0</v>
      </c>
      <c r="H101">
        <f aca="true" t="shared" si="15" ref="H101:M101">H99-H100</f>
        <v>922982.9999999999</v>
      </c>
      <c r="I101">
        <f t="shared" si="15"/>
        <v>1140806.9880000001</v>
      </c>
      <c r="J101">
        <f t="shared" si="15"/>
        <v>1566708.2635199989</v>
      </c>
      <c r="K101">
        <f t="shared" si="15"/>
        <v>1815423.2003537994</v>
      </c>
      <c r="L101">
        <f t="shared" si="15"/>
        <v>2077650.9959604596</v>
      </c>
      <c r="M101">
        <f t="shared" si="15"/>
        <v>2139980.5258392743</v>
      </c>
      <c r="N101">
        <f>SUM(G101:L101)</f>
        <v>7523572.447834257</v>
      </c>
    </row>
    <row r="102" ht="12.75">
      <c r="A102" t="s">
        <v>167</v>
      </c>
    </row>
    <row r="104" spans="1:13" ht="12.75">
      <c r="A104" s="6" t="s">
        <v>196</v>
      </c>
      <c r="G104">
        <f>A113-(G97+A118+A126+A137)</f>
        <v>-1610163.9000000004</v>
      </c>
      <c r="H104">
        <f aca="true" t="shared" si="16" ref="H104:M104">B113-(H97+B118+B126+B137)</f>
        <v>-2785215.081287805</v>
      </c>
      <c r="I104">
        <f t="shared" si="16"/>
        <v>-2119490.8060158957</v>
      </c>
      <c r="J104">
        <f t="shared" si="16"/>
        <v>-4593025.331318328</v>
      </c>
      <c r="K104">
        <f t="shared" si="16"/>
        <v>-1017094.8411091454</v>
      </c>
      <c r="L104">
        <f t="shared" si="16"/>
        <v>142578.26201866567</v>
      </c>
      <c r="M104">
        <f t="shared" si="16"/>
        <v>361813.35121710226</v>
      </c>
    </row>
    <row r="105" spans="1:13" ht="12.75">
      <c r="A105" s="6" t="s">
        <v>198</v>
      </c>
      <c r="G105">
        <f>A109-(G98+A119+A127+A137)</f>
        <v>-1091097.2333333334</v>
      </c>
      <c r="H105">
        <f aca="true" t="shared" si="17" ref="H105:M105">B109-(H98+B119+B127+B137)</f>
        <v>-1808275.8879544716</v>
      </c>
      <c r="I105">
        <f t="shared" si="17"/>
        <v>-1409544.8204158954</v>
      </c>
      <c r="J105">
        <f t="shared" si="17"/>
        <v>-3109318.7655316647</v>
      </c>
      <c r="K105">
        <f t="shared" si="17"/>
        <v>-540776.7270784415</v>
      </c>
      <c r="L105">
        <f t="shared" si="17"/>
        <v>1373753.6963194516</v>
      </c>
      <c r="M105">
        <f t="shared" si="17"/>
        <v>1423260.6275737006</v>
      </c>
    </row>
    <row r="106" spans="1:13" ht="12.75">
      <c r="A106" s="6" t="s">
        <v>197</v>
      </c>
      <c r="G106">
        <f>A111-(G99+A120+A128)</f>
        <v>-519066.6666666665</v>
      </c>
      <c r="H106">
        <f aca="true" t="shared" si="18" ref="H106:M106">B111-(H99+B120+B128)</f>
        <v>-976939.1933333334</v>
      </c>
      <c r="I106">
        <f t="shared" si="18"/>
        <v>-709945.9856000002</v>
      </c>
      <c r="J106">
        <f t="shared" si="18"/>
        <v>-1483706.5657866653</v>
      </c>
      <c r="K106">
        <f t="shared" si="18"/>
        <v>-476318.11403070576</v>
      </c>
      <c r="L106">
        <f t="shared" si="18"/>
        <v>-1231175.434300786</v>
      </c>
      <c r="M106">
        <f t="shared" si="18"/>
        <v>-1061447.2763565993</v>
      </c>
    </row>
    <row r="108" spans="1:7" ht="12.75">
      <c r="A108">
        <v>2001</v>
      </c>
      <c r="B108">
        <v>2002</v>
      </c>
      <c r="C108">
        <v>2003</v>
      </c>
      <c r="D108">
        <v>2004</v>
      </c>
      <c r="E108">
        <v>2005</v>
      </c>
      <c r="F108">
        <v>2006</v>
      </c>
      <c r="G108">
        <v>2007</v>
      </c>
    </row>
    <row r="109" spans="1:7" ht="12.75">
      <c r="A109">
        <v>2000000</v>
      </c>
      <c r="B109">
        <v>2500000</v>
      </c>
      <c r="C109">
        <v>3500000</v>
      </c>
      <c r="D109">
        <v>5500000</v>
      </c>
      <c r="E109">
        <v>9500000</v>
      </c>
      <c r="F109">
        <v>12500000</v>
      </c>
      <c r="G109">
        <v>12500000</v>
      </c>
    </row>
    <row r="110" ht="12.75">
      <c r="A110" t="s">
        <v>174</v>
      </c>
    </row>
    <row r="111" spans="1:7" ht="12.75">
      <c r="A111">
        <v>1000000</v>
      </c>
      <c r="B111">
        <v>1500000</v>
      </c>
      <c r="C111">
        <v>2000000</v>
      </c>
      <c r="D111">
        <v>3000000</v>
      </c>
      <c r="E111">
        <v>4000000</v>
      </c>
      <c r="F111">
        <v>5000000</v>
      </c>
      <c r="G111">
        <v>5000000</v>
      </c>
    </row>
    <row r="112" ht="12.75">
      <c r="A112" t="s">
        <v>175</v>
      </c>
    </row>
    <row r="113" spans="1:8" ht="12.75">
      <c r="A113">
        <f aca="true" t="shared" si="19" ref="A113:G113">SUM(A109+A111)</f>
        <v>3000000</v>
      </c>
      <c r="B113">
        <f t="shared" si="19"/>
        <v>4000000</v>
      </c>
      <c r="C113">
        <f t="shared" si="19"/>
        <v>5500000</v>
      </c>
      <c r="D113">
        <f t="shared" si="19"/>
        <v>8500000</v>
      </c>
      <c r="E113">
        <f t="shared" si="19"/>
        <v>13500000</v>
      </c>
      <c r="F113">
        <f t="shared" si="19"/>
        <v>17500000</v>
      </c>
      <c r="G113">
        <f t="shared" si="19"/>
        <v>17500000</v>
      </c>
      <c r="H113">
        <f>SUM(A113:F113)</f>
        <v>52000000</v>
      </c>
    </row>
    <row r="114" ht="12.75">
      <c r="A114" t="s">
        <v>168</v>
      </c>
    </row>
    <row r="115" spans="1:7" ht="12.75">
      <c r="A115">
        <v>10</v>
      </c>
      <c r="B115">
        <v>15</v>
      </c>
      <c r="C115">
        <v>18</v>
      </c>
      <c r="D115">
        <v>30</v>
      </c>
      <c r="E115">
        <v>37</v>
      </c>
      <c r="F115">
        <v>43</v>
      </c>
      <c r="G115">
        <v>41</v>
      </c>
    </row>
    <row r="116" spans="1:8" ht="12.75">
      <c r="A116">
        <v>7.5</v>
      </c>
      <c r="B116">
        <v>11.5</v>
      </c>
      <c r="C116">
        <v>14</v>
      </c>
      <c r="D116">
        <v>25</v>
      </c>
      <c r="E116">
        <v>30</v>
      </c>
      <c r="F116">
        <v>36</v>
      </c>
      <c r="G116">
        <v>34</v>
      </c>
      <c r="H116" t="s">
        <v>192</v>
      </c>
    </row>
    <row r="117" spans="1:8" ht="12.75">
      <c r="A117">
        <f>A115-A116</f>
        <v>2.5</v>
      </c>
      <c r="B117">
        <f aca="true" t="shared" si="20" ref="B117:G117">B115-B116</f>
        <v>3.5</v>
      </c>
      <c r="C117">
        <f t="shared" si="20"/>
        <v>4</v>
      </c>
      <c r="D117">
        <f t="shared" si="20"/>
        <v>5</v>
      </c>
      <c r="E117">
        <f t="shared" si="20"/>
        <v>7</v>
      </c>
      <c r="F117">
        <f t="shared" si="20"/>
        <v>7</v>
      </c>
      <c r="G117">
        <f t="shared" si="20"/>
        <v>7</v>
      </c>
      <c r="H117" t="s">
        <v>193</v>
      </c>
    </row>
    <row r="118" spans="1:8" ht="12.75">
      <c r="A118">
        <f aca="true" t="shared" si="21" ref="A118:G118">A115*A130</f>
        <v>1580000</v>
      </c>
      <c r="B118">
        <f t="shared" si="21"/>
        <v>2441100</v>
      </c>
      <c r="C118">
        <f t="shared" si="21"/>
        <v>3017199.6</v>
      </c>
      <c r="D118">
        <f t="shared" si="21"/>
        <v>5179525.98</v>
      </c>
      <c r="E118">
        <f t="shared" si="21"/>
        <v>6579724.503260001</v>
      </c>
      <c r="F118">
        <f t="shared" si="21"/>
        <v>7876108.060794201</v>
      </c>
      <c r="G118">
        <f t="shared" si="21"/>
        <v>7735070.776914863</v>
      </c>
      <c r="H118">
        <f>SUM(A118:F118)</f>
        <v>26673658.1440542</v>
      </c>
    </row>
    <row r="119" spans="1:8" ht="12.75">
      <c r="A119">
        <f>A116*A130</f>
        <v>1185000</v>
      </c>
      <c r="B119">
        <f aca="true" t="shared" si="22" ref="B119:G119">B116*B130</f>
        <v>1871510</v>
      </c>
      <c r="C119">
        <f t="shared" si="22"/>
        <v>2346710.8000000003</v>
      </c>
      <c r="D119">
        <f t="shared" si="22"/>
        <v>4316271.65</v>
      </c>
      <c r="E119">
        <f t="shared" si="22"/>
        <v>5334911.759400001</v>
      </c>
      <c r="F119">
        <f t="shared" si="22"/>
        <v>6593950.934618401</v>
      </c>
      <c r="G119">
        <f t="shared" si="22"/>
        <v>6414448.936953789</v>
      </c>
      <c r="H119" t="s">
        <v>192</v>
      </c>
    </row>
    <row r="120" spans="1:8" ht="12.75">
      <c r="A120">
        <f>A117*A130</f>
        <v>395000</v>
      </c>
      <c r="B120">
        <f aca="true" t="shared" si="23" ref="B120:G120">B117*B130</f>
        <v>569590</v>
      </c>
      <c r="C120">
        <f t="shared" si="23"/>
        <v>670488.8</v>
      </c>
      <c r="D120">
        <f t="shared" si="23"/>
        <v>863254.3300000001</v>
      </c>
      <c r="E120">
        <f t="shared" si="23"/>
        <v>1244812.74386</v>
      </c>
      <c r="F120">
        <f t="shared" si="23"/>
        <v>1282157.1261758</v>
      </c>
      <c r="G120">
        <f t="shared" si="23"/>
        <v>1320621.8399610743</v>
      </c>
      <c r="H120" t="s">
        <v>193</v>
      </c>
    </row>
    <row r="122" ht="12.75">
      <c r="A122" t="s">
        <v>178</v>
      </c>
    </row>
    <row r="123" spans="1:7" ht="12.75">
      <c r="A123">
        <f aca="true" t="shared" si="24" ref="A123:G123">A118*A136</f>
        <v>158000</v>
      </c>
      <c r="B123">
        <f t="shared" si="24"/>
        <v>244110</v>
      </c>
      <c r="C123">
        <f t="shared" si="24"/>
        <v>301719.96</v>
      </c>
      <c r="D123">
        <f t="shared" si="24"/>
        <v>517952.59800000006</v>
      </c>
      <c r="E123">
        <f t="shared" si="24"/>
        <v>657972.4503260001</v>
      </c>
      <c r="F123">
        <f t="shared" si="24"/>
        <v>787610.8060794201</v>
      </c>
      <c r="G123">
        <f t="shared" si="24"/>
        <v>773507.0776914863</v>
      </c>
    </row>
    <row r="124" ht="12.75">
      <c r="A124" t="s">
        <v>169</v>
      </c>
    </row>
    <row r="125" spans="1:7" ht="12.75">
      <c r="A125">
        <v>10</v>
      </c>
      <c r="B125">
        <v>11</v>
      </c>
      <c r="C125">
        <v>12</v>
      </c>
      <c r="D125">
        <v>13</v>
      </c>
      <c r="E125">
        <v>13</v>
      </c>
      <c r="F125">
        <v>13</v>
      </c>
      <c r="G125">
        <v>13</v>
      </c>
    </row>
    <row r="126" spans="1:8" ht="12.75">
      <c r="A126">
        <f aca="true" t="shared" si="25" ref="A126:G126">A130*A125</f>
        <v>1580000</v>
      </c>
      <c r="B126">
        <f t="shared" si="25"/>
        <v>1790140</v>
      </c>
      <c r="C126">
        <f t="shared" si="25"/>
        <v>2011466.4000000001</v>
      </c>
      <c r="D126">
        <f t="shared" si="25"/>
        <v>2244461.258</v>
      </c>
      <c r="E126">
        <f t="shared" si="25"/>
        <v>2311795.0957400003</v>
      </c>
      <c r="F126">
        <f t="shared" si="25"/>
        <v>2381148.9486122006</v>
      </c>
      <c r="G126">
        <f t="shared" si="25"/>
        <v>2452583.417070566</v>
      </c>
      <c r="H126">
        <f>SUM(A126:F126)</f>
        <v>12319011.7023522</v>
      </c>
    </row>
    <row r="127" spans="1:8" ht="12.75">
      <c r="A127">
        <f>A126*2/3</f>
        <v>1053333.3333333333</v>
      </c>
      <c r="B127">
        <f aca="true" t="shared" si="26" ref="B127:G127">B126*2/3</f>
        <v>1193426.6666666667</v>
      </c>
      <c r="C127">
        <f t="shared" si="26"/>
        <v>1340977.6</v>
      </c>
      <c r="D127">
        <f t="shared" si="26"/>
        <v>1496307.5053333333</v>
      </c>
      <c r="E127">
        <f t="shared" si="26"/>
        <v>1541196.7304933334</v>
      </c>
      <c r="F127">
        <f t="shared" si="26"/>
        <v>1587432.6324081337</v>
      </c>
      <c r="G127">
        <f t="shared" si="26"/>
        <v>1635055.6113803776</v>
      </c>
      <c r="H127" t="s">
        <v>188</v>
      </c>
    </row>
    <row r="128" spans="1:8" ht="12.75">
      <c r="A128">
        <f>A126/3</f>
        <v>526666.6666666666</v>
      </c>
      <c r="B128">
        <f aca="true" t="shared" si="27" ref="B128:G128">B126/3</f>
        <v>596713.3333333334</v>
      </c>
      <c r="C128">
        <f t="shared" si="27"/>
        <v>670488.8</v>
      </c>
      <c r="D128">
        <f t="shared" si="27"/>
        <v>748153.7526666666</v>
      </c>
      <c r="E128">
        <f t="shared" si="27"/>
        <v>770598.3652466667</v>
      </c>
      <c r="F128">
        <f t="shared" si="27"/>
        <v>793716.3162040669</v>
      </c>
      <c r="G128">
        <f t="shared" si="27"/>
        <v>817527.8056901888</v>
      </c>
      <c r="H128" t="s">
        <v>187</v>
      </c>
    </row>
    <row r="129" ht="12.75">
      <c r="A129" t="s">
        <v>170</v>
      </c>
    </row>
    <row r="130" spans="1:7" ht="12.75">
      <c r="A130">
        <v>158000</v>
      </c>
      <c r="B130">
        <f aca="true" t="shared" si="28" ref="B130:G130">(A130*B132)+A130</f>
        <v>162740</v>
      </c>
      <c r="C130">
        <f t="shared" si="28"/>
        <v>167622.2</v>
      </c>
      <c r="D130">
        <f t="shared" si="28"/>
        <v>172650.866</v>
      </c>
      <c r="E130">
        <f t="shared" si="28"/>
        <v>177830.39198000001</v>
      </c>
      <c r="F130">
        <f t="shared" si="28"/>
        <v>183165.30373940003</v>
      </c>
      <c r="G130">
        <f t="shared" si="28"/>
        <v>188660.26285158203</v>
      </c>
    </row>
    <row r="131" ht="12.75">
      <c r="A131" t="s">
        <v>171</v>
      </c>
    </row>
    <row r="132" spans="1:7" ht="12.75">
      <c r="A132">
        <v>0.03</v>
      </c>
      <c r="B132">
        <v>0.03</v>
      </c>
      <c r="C132">
        <v>0.03</v>
      </c>
      <c r="D132">
        <v>0.03</v>
      </c>
      <c r="E132">
        <v>0.03</v>
      </c>
      <c r="F132">
        <v>0.03</v>
      </c>
      <c r="G132">
        <v>0.03</v>
      </c>
    </row>
    <row r="135" ht="12.75">
      <c r="A135" t="s">
        <v>177</v>
      </c>
    </row>
    <row r="136" spans="1:7" ht="12.75">
      <c r="A136">
        <v>0.1</v>
      </c>
      <c r="B136">
        <v>0.1</v>
      </c>
      <c r="C136">
        <v>0.1</v>
      </c>
      <c r="D136">
        <v>0.1</v>
      </c>
      <c r="E136">
        <v>0.1</v>
      </c>
      <c r="F136">
        <v>0.1</v>
      </c>
      <c r="G136">
        <v>0.1</v>
      </c>
    </row>
    <row r="137" spans="1:8" ht="12.75">
      <c r="A137">
        <f aca="true" t="shared" si="29" ref="A137:G137">SUM(A126+A118)*A136</f>
        <v>316000</v>
      </c>
      <c r="B137">
        <f t="shared" si="29"/>
        <v>423124</v>
      </c>
      <c r="C137">
        <f t="shared" si="29"/>
        <v>502866.60000000003</v>
      </c>
      <c r="D137">
        <f t="shared" si="29"/>
        <v>742398.7238</v>
      </c>
      <c r="E137">
        <f t="shared" si="29"/>
        <v>889151.9599000001</v>
      </c>
      <c r="F137">
        <f t="shared" si="29"/>
        <v>1025725.7009406402</v>
      </c>
      <c r="G137">
        <f t="shared" si="29"/>
        <v>1018765.419398543</v>
      </c>
      <c r="H137" t="s">
        <v>189</v>
      </c>
    </row>
    <row r="138" spans="1:8" ht="12.75">
      <c r="A138">
        <f>(A118+A128)*A136</f>
        <v>210666.66666666666</v>
      </c>
      <c r="B138">
        <f aca="true" t="shared" si="30" ref="B138:G138">(B118+B128)*B136</f>
        <v>303781.3333333334</v>
      </c>
      <c r="C138">
        <f t="shared" si="30"/>
        <v>368768.8400000001</v>
      </c>
      <c r="D138">
        <f t="shared" si="30"/>
        <v>592767.9732666668</v>
      </c>
      <c r="E138">
        <f t="shared" si="30"/>
        <v>735032.2868506667</v>
      </c>
      <c r="F138">
        <f t="shared" si="30"/>
        <v>866982.4376998269</v>
      </c>
      <c r="G138">
        <f t="shared" si="30"/>
        <v>855259.8582605051</v>
      </c>
      <c r="H138" t="s">
        <v>190</v>
      </c>
    </row>
    <row r="139" spans="1:8" ht="12.75">
      <c r="A139">
        <f>A127*A136</f>
        <v>105333.33333333333</v>
      </c>
      <c r="B139">
        <f aca="true" t="shared" si="31" ref="B139:G139">B127*B136</f>
        <v>119342.66666666669</v>
      </c>
      <c r="C139">
        <f t="shared" si="31"/>
        <v>134097.76</v>
      </c>
      <c r="D139">
        <f t="shared" si="31"/>
        <v>149630.75053333334</v>
      </c>
      <c r="E139">
        <f t="shared" si="31"/>
        <v>154119.67304933336</v>
      </c>
      <c r="F139">
        <f t="shared" si="31"/>
        <v>158743.2632408134</v>
      </c>
      <c r="G139">
        <f t="shared" si="31"/>
        <v>163505.56113803777</v>
      </c>
      <c r="H139" t="s">
        <v>188</v>
      </c>
    </row>
    <row r="141" spans="1:8" ht="12.75">
      <c r="A141">
        <v>1.57</v>
      </c>
      <c r="B141">
        <v>1.77</v>
      </c>
      <c r="C141">
        <v>1.99</v>
      </c>
      <c r="D141">
        <v>2.22</v>
      </c>
      <c r="E141">
        <v>2.28</v>
      </c>
      <c r="F141">
        <v>2.35</v>
      </c>
      <c r="G141">
        <v>2.42</v>
      </c>
      <c r="H141" t="s">
        <v>184</v>
      </c>
    </row>
    <row r="142" spans="1:8" ht="12.75">
      <c r="A142">
        <v>0.16</v>
      </c>
      <c r="B142">
        <v>0.16</v>
      </c>
      <c r="C142">
        <v>0.5</v>
      </c>
      <c r="D142">
        <v>0.52</v>
      </c>
      <c r="E142">
        <v>0.53</v>
      </c>
      <c r="F142">
        <v>0.55</v>
      </c>
      <c r="G142">
        <v>0.57</v>
      </c>
      <c r="H142" t="s">
        <v>182</v>
      </c>
    </row>
    <row r="143" spans="1:8" ht="12.75">
      <c r="A143">
        <v>1.73</v>
      </c>
      <c r="B143">
        <v>1.94</v>
      </c>
      <c r="C143">
        <v>2.49</v>
      </c>
      <c r="D143">
        <v>2.74</v>
      </c>
      <c r="E143">
        <v>2.82</v>
      </c>
      <c r="F143">
        <v>2.9</v>
      </c>
      <c r="G143">
        <v>2.99</v>
      </c>
      <c r="H143" t="s">
        <v>183</v>
      </c>
    </row>
    <row r="145" spans="1:8" ht="12.75">
      <c r="A145">
        <f>A141*1000000</f>
        <v>1570000</v>
      </c>
      <c r="B145">
        <f aca="true" t="shared" si="32" ref="B145:G145">B141*1000000</f>
        <v>1770000</v>
      </c>
      <c r="C145">
        <f t="shared" si="32"/>
        <v>1990000</v>
      </c>
      <c r="D145">
        <f t="shared" si="32"/>
        <v>2220000</v>
      </c>
      <c r="E145">
        <f t="shared" si="32"/>
        <v>2280000</v>
      </c>
      <c r="F145">
        <f t="shared" si="32"/>
        <v>2350000</v>
      </c>
      <c r="G145">
        <f t="shared" si="32"/>
        <v>2420000</v>
      </c>
      <c r="H145" t="s">
        <v>181</v>
      </c>
    </row>
    <row r="146" spans="1:8" ht="12.75">
      <c r="A146">
        <f aca="true" t="shared" si="33" ref="A146:G147">A142*1000000</f>
        <v>160000</v>
      </c>
      <c r="B146">
        <f t="shared" si="33"/>
        <v>160000</v>
      </c>
      <c r="C146">
        <f t="shared" si="33"/>
        <v>500000</v>
      </c>
      <c r="D146">
        <f t="shared" si="33"/>
        <v>520000</v>
      </c>
      <c r="E146">
        <f t="shared" si="33"/>
        <v>530000</v>
      </c>
      <c r="F146">
        <f t="shared" si="33"/>
        <v>550000</v>
      </c>
      <c r="G146">
        <f t="shared" si="33"/>
        <v>570000</v>
      </c>
      <c r="H146" t="s">
        <v>182</v>
      </c>
    </row>
    <row r="147" spans="1:8" ht="12.75">
      <c r="A147">
        <f t="shared" si="33"/>
        <v>1730000</v>
      </c>
      <c r="B147">
        <f t="shared" si="33"/>
        <v>1940000</v>
      </c>
      <c r="C147">
        <f t="shared" si="33"/>
        <v>2490000</v>
      </c>
      <c r="D147">
        <f t="shared" si="33"/>
        <v>2740000</v>
      </c>
      <c r="E147">
        <f t="shared" si="33"/>
        <v>2820000</v>
      </c>
      <c r="F147">
        <f t="shared" si="33"/>
        <v>2900000</v>
      </c>
      <c r="G147">
        <f t="shared" si="33"/>
        <v>2990000</v>
      </c>
      <c r="H147" t="s">
        <v>183</v>
      </c>
    </row>
  </sheetData>
  <printOptions/>
  <pageMargins left="0.75" right="0.75" top="1" bottom="1" header="0.5" footer="0.5"/>
  <pageSetup horizontalDpi="355" verticalDpi="3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8">
      <selection activeCell="F113" sqref="F113"/>
    </sheetView>
  </sheetViews>
  <sheetFormatPr defaultColWidth="9.140625" defaultRowHeight="12.75"/>
  <sheetData/>
  <printOptions/>
  <pageMargins left="0.75" right="0.75" top="1" bottom="1" header="0.5" footer="0.5"/>
  <pageSetup horizontalDpi="355" verticalDpi="355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55" verticalDpi="3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Matthias Kasemann</cp:lastModifiedBy>
  <cp:lastPrinted>2000-10-24T20:34:39Z</cp:lastPrinted>
  <dcterms:created xsi:type="dcterms:W3CDTF">1996-10-14T23:33:28Z</dcterms:created>
  <dcterms:modified xsi:type="dcterms:W3CDTF">2000-10-24T21:57:54Z</dcterms:modified>
  <cp:category/>
  <cp:version/>
  <cp:contentType/>
  <cp:contentStatus/>
</cp:coreProperties>
</file>