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85" windowHeight="4605" activeTab="0"/>
  </bookViews>
  <sheets>
    <sheet name="Text" sheetId="1" r:id="rId1"/>
    <sheet name="Table1" sheetId="2" r:id="rId2"/>
    <sheet name="Table2" sheetId="3" r:id="rId3"/>
    <sheet name="Table3" sheetId="4" r:id="rId4"/>
    <sheet name="Table4" sheetId="5" r:id="rId5"/>
  </sheets>
  <definedNames/>
  <calcPr fullCalcOnLoad="1"/>
</workbook>
</file>

<file path=xl/sharedStrings.xml><?xml version="1.0" encoding="utf-8"?>
<sst xmlns="http://schemas.openxmlformats.org/spreadsheetml/2006/main" count="2061" uniqueCount="1038">
  <si>
    <t>Abrasives:</t>
  </si>
  <si>
    <t>Natural, pumice</t>
  </si>
  <si>
    <t>Artificial, corundum</t>
  </si>
  <si>
    <t>Boron compounds, manufactured, including boric acid and oxide</t>
  </si>
  <si>
    <t>Bromine compounds, manufactured, including oxide</t>
  </si>
  <si>
    <t>TABLE 1--Continued</t>
  </si>
  <si>
    <t>INDUSTRIAL MINERALS--Continued</t>
  </si>
  <si>
    <t>Cement:</t>
  </si>
  <si>
    <t>Clinker, intended for market</t>
  </si>
  <si>
    <t>p</t>
  </si>
  <si>
    <t>Hydraulic</t>
  </si>
  <si>
    <t>Chalk, natural, including ground</t>
  </si>
  <si>
    <t>Clays, natural:</t>
  </si>
  <si>
    <t>Of which, fire clay and chamotte</t>
  </si>
  <si>
    <t>Kaolin, marketable</t>
  </si>
  <si>
    <t>Other, unspecified</t>
  </si>
  <si>
    <t>Feldspar</t>
  </si>
  <si>
    <t>Fluorspar:</t>
  </si>
  <si>
    <t>Acid-grade</t>
  </si>
  <si>
    <t>Metallurgical-grade</t>
  </si>
  <si>
    <t>Graphite, natural</t>
  </si>
  <si>
    <t>Gypsum and anhydrite:</t>
  </si>
  <si>
    <t>Natural</t>
  </si>
  <si>
    <t>Lime, quicklime, dead-burned dolomite</t>
  </si>
  <si>
    <t>Magnesium compounds, byproduct of potash mining</t>
  </si>
  <si>
    <t>Nitrogen, N content of ammonia</t>
  </si>
  <si>
    <t>Peat, natural</t>
  </si>
  <si>
    <t>Marketable</t>
  </si>
  <si>
    <t>Salt, NaCl content, marketable:</t>
  </si>
  <si>
    <t>Evaporated salt, including marine salt</t>
  </si>
  <si>
    <t>Industrial brines</t>
  </si>
  <si>
    <t>Siliceous earth, marketable</t>
  </si>
  <si>
    <t>Stone, sand and gravel:</t>
  </si>
  <si>
    <t>Stone, crude:</t>
  </si>
  <si>
    <t>Dimension, including partially worked</t>
  </si>
  <si>
    <t>Of which, dolomite and limestone</t>
  </si>
  <si>
    <t>Crushed, not including chalk</t>
  </si>
  <si>
    <t>Dolomite and limestone, not for cement manufacture</t>
  </si>
  <si>
    <t>Gravel, natural:</t>
  </si>
  <si>
    <t>Building gravel</t>
  </si>
  <si>
    <t>Crude, including flint and pebbles</t>
  </si>
  <si>
    <t>Other gravel, including quarzite</t>
  </si>
  <si>
    <t>Sand, natural:</t>
  </si>
  <si>
    <t>Building sand</t>
  </si>
  <si>
    <t>Silica sand, including glass sand and quartz sand</t>
  </si>
  <si>
    <t xml:space="preserve">Other, including from granite and pegmatite </t>
  </si>
  <si>
    <t>Total sand and gravel</t>
  </si>
  <si>
    <t>Sulfur:</t>
  </si>
  <si>
    <t>Byproduct:</t>
  </si>
  <si>
    <t>Natural gas and petroleum</t>
  </si>
  <si>
    <t>MINERAL FUELS AND RELATED MATERIALS</t>
  </si>
  <si>
    <t>Asphalt and bitumen, natural</t>
  </si>
  <si>
    <r>
      <t>Silver, metal, refined, including secondary</t>
    </r>
    <r>
      <rPr>
        <vertAlign val="superscript"/>
        <sz val="8"/>
        <rFont val="Times"/>
        <family val="1"/>
      </rPr>
      <t>6</t>
    </r>
  </si>
  <si>
    <r>
      <t>6</t>
    </r>
    <r>
      <rPr>
        <sz val="8"/>
        <rFont val="Times"/>
        <family val="1"/>
      </rPr>
      <t>Data may not include silver production as a byproduct of copper refining.</t>
    </r>
  </si>
  <si>
    <r>
      <t>7</t>
    </r>
    <r>
      <rPr>
        <sz val="8"/>
        <rFont val="Times"/>
        <family val="1"/>
      </rPr>
      <t xml:space="preserve">All figures were converted to barrels from those reported in metric tons according to data from Mineralölwirtschaftsverband e.V., 2007, </t>
    </r>
  </si>
  <si>
    <r>
      <t>Petroleum:</t>
    </r>
    <r>
      <rPr>
        <vertAlign val="superscript"/>
        <sz val="8"/>
        <rFont val="Times"/>
        <family val="1"/>
      </rPr>
      <t>7</t>
    </r>
  </si>
  <si>
    <t>Coal:</t>
  </si>
  <si>
    <t>Anthracite and bituminous, marketable</t>
  </si>
  <si>
    <t>Coke:</t>
  </si>
  <si>
    <t>Of anthracite and bituminous coal</t>
  </si>
  <si>
    <t>Of lignite</t>
  </si>
  <si>
    <t>Fuel briquets:</t>
  </si>
  <si>
    <t>Gas:</t>
  </si>
  <si>
    <t>Blast furnace</t>
  </si>
  <si>
    <t>thousand cubic meters</t>
  </si>
  <si>
    <t>Coke oven</t>
  </si>
  <si>
    <t>Natural:</t>
  </si>
  <si>
    <t>Gross</t>
  </si>
  <si>
    <t>Refinery products:</t>
  </si>
  <si>
    <t>Liquefied petroleum gas</t>
  </si>
  <si>
    <t>Distillate fuel oil</t>
  </si>
  <si>
    <t>Residual fuel oil</t>
  </si>
  <si>
    <t>Gasoline, including aviation</t>
  </si>
  <si>
    <t>Kerosene and jet fuel</t>
  </si>
  <si>
    <t>Naphtha</t>
  </si>
  <si>
    <t>Refinery gas</t>
  </si>
  <si>
    <t>Bitumen, bituminous mixtures, and other residues</t>
  </si>
  <si>
    <t>Lubricants and miscellaneous oils</t>
  </si>
  <si>
    <t>Petroleum coke</t>
  </si>
  <si>
    <t>Mineral jelly, waxes, and paraffins</t>
  </si>
  <si>
    <t>Other</t>
  </si>
  <si>
    <t>Produktion im Produzierenden Gewerbe, Jahr 2006: Wiesbaden, Germany, Statistische Bundesamt, August, p. 176].</t>
  </si>
  <si>
    <t>of conversion factors (three digits for crude petroleum and two digits for refinery products).</t>
  </si>
  <si>
    <r>
      <t>GERMANY: PRODUCTION OF MINERAL COMMODITIES</t>
    </r>
    <r>
      <rPr>
        <vertAlign val="superscript"/>
        <sz val="8"/>
        <rFont val="Times"/>
        <family val="1"/>
      </rPr>
      <t>1</t>
    </r>
  </si>
  <si>
    <r>
      <t>Alumina, Al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 xml:space="preserve"> equivalent</t>
    </r>
    <r>
      <rPr>
        <vertAlign val="superscript"/>
        <sz val="8"/>
        <rFont val="Times"/>
        <family val="1"/>
      </rPr>
      <t>e</t>
    </r>
  </si>
  <si>
    <r>
      <t>Arsenic, white, Ar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 xml:space="preserve"> content</t>
    </r>
    <r>
      <rPr>
        <vertAlign val="superscript"/>
        <sz val="8"/>
        <rFont val="Times"/>
        <family val="1"/>
      </rPr>
      <t>e</t>
    </r>
  </si>
  <si>
    <r>
      <t>Cadmium, metal, refinery including secondary</t>
    </r>
    <r>
      <rPr>
        <vertAlign val="superscript"/>
        <sz val="8"/>
        <rFont val="Times"/>
        <family val="1"/>
      </rPr>
      <t>e</t>
    </r>
  </si>
  <si>
    <r>
      <t>Gallium, crude</t>
    </r>
    <r>
      <rPr>
        <vertAlign val="superscript"/>
        <sz val="8"/>
        <rFont val="Times"/>
        <family val="1"/>
      </rPr>
      <t>e</t>
    </r>
  </si>
  <si>
    <r>
      <t>Other</t>
    </r>
    <r>
      <rPr>
        <vertAlign val="superscript"/>
        <sz val="8"/>
        <rFont val="Times"/>
        <family val="1"/>
      </rPr>
      <t>e, 4</t>
    </r>
  </si>
  <si>
    <r>
      <t>Selenium, metal</t>
    </r>
    <r>
      <rPr>
        <vertAlign val="superscript"/>
        <sz val="8"/>
        <rFont val="Times"/>
        <family val="1"/>
      </rPr>
      <t>e</t>
    </r>
  </si>
  <si>
    <r>
      <t>Aluminum salt slag, Al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 xml:space="preserve"> equivalent</t>
    </r>
    <r>
      <rPr>
        <vertAlign val="superscript"/>
        <sz val="8"/>
        <rFont val="Times"/>
        <family val="1"/>
      </rPr>
      <t>e</t>
    </r>
  </si>
  <si>
    <r>
      <t>Barite, marketable (contained BaSO</t>
    </r>
    <r>
      <rPr>
        <vertAlign val="subscript"/>
        <sz val="8"/>
        <rFont val="Times"/>
        <family val="1"/>
      </rPr>
      <t>4</t>
    </r>
    <r>
      <rPr>
        <sz val="8"/>
        <rFont val="Times"/>
        <family val="1"/>
      </rPr>
      <t>)</t>
    </r>
  </si>
  <si>
    <r>
      <t>Diatomite</t>
    </r>
    <r>
      <rPr>
        <vertAlign val="superscript"/>
        <sz val="8"/>
        <rFont val="Times"/>
        <family val="1"/>
      </rPr>
      <t>e</t>
    </r>
  </si>
  <si>
    <r>
      <t>Phosphoric acid, manufactured,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</si>
  <si>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r>
      <t>Pigments, iron oxide</t>
    </r>
    <r>
      <rPr>
        <vertAlign val="superscript"/>
        <sz val="8"/>
        <rFont val="Times"/>
        <family val="1"/>
      </rPr>
      <t>e</t>
    </r>
  </si>
  <si>
    <r>
      <t>Potash, 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 content:</t>
    </r>
  </si>
  <si>
    <r>
      <t>Soda ash (Na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CO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), manufactured</t>
    </r>
  </si>
  <si>
    <r>
      <t>Strontium carbonate, manufactured</t>
    </r>
    <r>
      <rPr>
        <vertAlign val="superscript"/>
        <sz val="8"/>
        <rFont val="Times"/>
        <family val="1"/>
      </rPr>
      <t>e</t>
    </r>
  </si>
  <si>
    <r>
      <t>Metallurgy</t>
    </r>
    <r>
      <rPr>
        <vertAlign val="superscript"/>
        <sz val="8"/>
        <rFont val="Times"/>
        <family val="1"/>
      </rPr>
      <t>e</t>
    </r>
  </si>
  <si>
    <r>
      <t>Manufactured: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</si>
  <si>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</si>
  <si>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2</t>
    </r>
    <r>
      <rPr>
        <sz val="8"/>
        <rFont val="Times"/>
        <family val="1"/>
      </rPr>
      <t>Reported figure.</t>
    </r>
  </si>
  <si>
    <r>
      <t>3</t>
    </r>
    <r>
      <rPr>
        <sz val="8"/>
        <rFont val="Times"/>
        <family val="1"/>
      </rPr>
      <t>Iron ore is used domestically as an additive in cement and other construction materials but is of too low a grade to use in the steel industry.</t>
    </r>
  </si>
  <si>
    <r>
      <t>4</t>
    </r>
    <r>
      <rPr>
        <sz val="8"/>
        <rFont val="Times"/>
        <family val="1"/>
      </rPr>
      <t>Estimated from reported domestic sales of ferroalloys [Statistische Bundesamt, 2007, Fachserie 4, Reihe 3.1</t>
    </r>
    <r>
      <rPr>
        <sz val="8"/>
        <rFont val="Arial"/>
        <family val="2"/>
      </rPr>
      <t>—</t>
    </r>
    <r>
      <rPr>
        <sz val="8"/>
        <rFont val="Times"/>
        <family val="1"/>
      </rPr>
      <t xml:space="preserve">Produzierendes Gewerbe, </t>
    </r>
  </si>
  <si>
    <r>
      <t>5</t>
    </r>
    <r>
      <rPr>
        <sz val="8"/>
        <rFont val="Times"/>
        <family val="1"/>
      </rPr>
      <t>Estimated by subtraction of primary from total, and rounded to four significant digits.</t>
    </r>
  </si>
  <si>
    <t>Zeolites</t>
  </si>
  <si>
    <t>Hans G. Hauri Mineralstoffwerk GmbH</t>
  </si>
  <si>
    <t>Mine and plant at Boetzingen, near Freiburg</t>
  </si>
  <si>
    <t>Strontium carbonate</t>
  </si>
  <si>
    <t>Solvay &amp; CPC Barium Strontium GmbH &amp; Co. KG</t>
  </si>
  <si>
    <t>Plant at Bad Hoenningen, near Hannover</t>
  </si>
  <si>
    <t>(Solvay S.A., 75%, and Chemical Products</t>
  </si>
  <si>
    <t>Corporation, 25%)</t>
  </si>
  <si>
    <t>Iron, pig</t>
  </si>
  <si>
    <t>This icon is linked to an embedded text document. Double-click on the icon to open the document.</t>
  </si>
  <si>
    <t>USGS Minerals Yearbook 2006, Volume III – Germany</t>
  </si>
  <si>
    <t>This workbook includes one embedded Microsoft Word document and four tables (see tabs below).</t>
  </si>
  <si>
    <t>Two blast furnace plants at Hamborn and Schelgern</t>
  </si>
  <si>
    <t>Siliceous earth, silica</t>
  </si>
  <si>
    <t>Hoffmann Mineral and Co. KG</t>
  </si>
  <si>
    <t>Mine and plant near Neuburg</t>
  </si>
  <si>
    <t>Rheinkalk GmbH &amp; Co KG (Lhoist NV, 100%)</t>
  </si>
  <si>
    <t>Dolomite</t>
  </si>
  <si>
    <t>Flandersbach quarry and plant at Wuelfrath</t>
  </si>
  <si>
    <t xml:space="preserve">Clara Mine in the Black Forest and plant at Wolfach </t>
  </si>
  <si>
    <t>at Menden, and plant at Hagen-Halden</t>
  </si>
  <si>
    <t xml:space="preserve">Rheinkalk Hagen-Halden GmbH &amp; Co KG (Lhoist </t>
  </si>
  <si>
    <t>Mine at Hirschau, Bavaria</t>
  </si>
  <si>
    <t>Kristallquartzsand Werk KG</t>
  </si>
  <si>
    <t>Plant at Schwandorf</t>
  </si>
  <si>
    <t>TABLE 3</t>
  </si>
  <si>
    <t>United States</t>
  </si>
  <si>
    <t>Bauxite, ore and concentrate</t>
  </si>
  <si>
    <t>Sweden 5,510; France 4,630; Netherlands 3,400.</t>
  </si>
  <si>
    <t>Oxides</t>
  </si>
  <si>
    <t>Italy 31,600; United Kingdom 26,700; Poland 22,000.</t>
  </si>
  <si>
    <t>Hydroxides</t>
  </si>
  <si>
    <t>Netherlands 145; United Kingdom 70; Italy 35.</t>
  </si>
  <si>
    <t>Ash and residue containing aluminum</t>
  </si>
  <si>
    <t>France 5,280; Spain 4,520; Netherlands 3,800.</t>
  </si>
  <si>
    <t>Metal, including alloys:</t>
  </si>
  <si>
    <t>Primary, not alloyed</t>
  </si>
  <si>
    <t>Austria 23,300; Czech Republic 12,600; Italy 8,200.</t>
  </si>
  <si>
    <t>Primary, alloys, all forms</t>
  </si>
  <si>
    <t>Austria 48,200; Belgium 32,300; Poland 13,100.</t>
  </si>
  <si>
    <t>France 33,800; Netherlands 27,000; Italy 21,200.</t>
  </si>
  <si>
    <t>Scrap</t>
  </si>
  <si>
    <t>Italy 136,000; Austria 99,900; Netherlands 94,000.</t>
  </si>
  <si>
    <t>Antimony:</t>
  </si>
  <si>
    <t>Ore and concentrate</t>
  </si>
  <si>
    <t>Austria, 100%.</t>
  </si>
  <si>
    <t>Metal, including alloys, all forms</t>
  </si>
  <si>
    <t>Sweden 3; Japan 2; Taiwan 2.</t>
  </si>
  <si>
    <t>Arsenic, metal, including alloys, all forms</t>
  </si>
  <si>
    <t>Belgium 8; China 2; Japan 2.</t>
  </si>
  <si>
    <t>Bismuth, metal, including alloys, all forms</t>
  </si>
  <si>
    <t>France 153; Belgium 105; Slovenia 35.</t>
  </si>
  <si>
    <t>Chromium, ore and concentrate</t>
  </si>
  <si>
    <t>Czech Republic 3,830; Slovakia 2,500; Austria 1,920.</t>
  </si>
  <si>
    <t>Cobalt:</t>
  </si>
  <si>
    <t>Belgium 87; China 77.</t>
  </si>
  <si>
    <t>Oxides and hydroxides</t>
  </si>
  <si>
    <t>China 85; France 37; Italy 15.</t>
  </si>
  <si>
    <t>United Kingdom 133; France 107; Japan 37.</t>
  </si>
  <si>
    <t>United Kingdom 109; Finland 99; France 59.</t>
  </si>
  <si>
    <t>Copper:</t>
  </si>
  <si>
    <t>Sweden 44,500.</t>
  </si>
  <si>
    <t>Matte and speiss, including cement copper</t>
  </si>
  <si>
    <t>Canada 525.</t>
  </si>
  <si>
    <t>Ash and residue containing copper</t>
  </si>
  <si>
    <t>Belgium 9,700; Canada 3,150; Austria 1,190.</t>
  </si>
  <si>
    <t>Unrefined</t>
  </si>
  <si>
    <t>Austria 110; Netherlands 80; Slovenia 22.</t>
  </si>
  <si>
    <t>Refined, not alloyed</t>
  </si>
  <si>
    <t>France 64,700; Italy 28,800; United Kingdom 9,540.</t>
  </si>
  <si>
    <t>Alloys, all forms</t>
  </si>
  <si>
    <t>Italy 3,950; Switzerland 2,140; France 2,120.</t>
  </si>
  <si>
    <t>China 187,000; Netherlands 80,800; Belgium 34,700.</t>
  </si>
  <si>
    <t>Gallium, indium, and thallium, metal including scrap</t>
  </si>
  <si>
    <t>France 13.</t>
  </si>
  <si>
    <t>Germanium, oxides</t>
  </si>
  <si>
    <t>United Kingdom 161; Italy 21; France 14.</t>
  </si>
  <si>
    <t>Gold:</t>
  </si>
  <si>
    <t>Austria 48; Japan 5.</t>
  </si>
  <si>
    <t>Waste and sweepings</t>
  </si>
  <si>
    <t>Italy 17; Switzerland 11.</t>
  </si>
  <si>
    <t>Slovakia 2,420; Switzerland 2,090; France 1,070.</t>
  </si>
  <si>
    <t>Pyrite, roasted</t>
  </si>
  <si>
    <t>Switzerland 5,840; Ireland 1,400.</t>
  </si>
  <si>
    <t>Ash and residue containing iron</t>
  </si>
  <si>
    <t>France 352; Luxembourg 193; United Kingdom 174.</t>
  </si>
  <si>
    <t>Pig iron, cast iron, related materials</t>
  </si>
  <si>
    <t>France 19,000; Czech Republic 15,300; Italy 9,020.</t>
  </si>
  <si>
    <t>France 1,690; Netherlands 1,580; Luxembourg 1,270.</t>
  </si>
  <si>
    <t>Sponge iron, powder</t>
  </si>
  <si>
    <t>France 123,000; Unspecified 51,000.</t>
  </si>
  <si>
    <t>Austria 3,710; Italy 3,280; Sweden 3,120.</t>
  </si>
  <si>
    <t>Ferromanganese</t>
  </si>
  <si>
    <t>Austria 2,990; Switzerland 2,960; France 1,350.</t>
  </si>
  <si>
    <t>Ferromolybdenum</t>
  </si>
  <si>
    <t>Italy 1,110; Czech Republic 1,090; France 418.</t>
  </si>
  <si>
    <t>Ferronickel</t>
  </si>
  <si>
    <t>Switzerland 19; Belgium 6; Czech Republic 2.</t>
  </si>
  <si>
    <t>Ferrosilicochromium</t>
  </si>
  <si>
    <t>India, 100%.</t>
  </si>
  <si>
    <t>Ferrosilicomagnesium</t>
  </si>
  <si>
    <t>Italy 5,630; France 2,000; Netherlands 1,150.</t>
  </si>
  <si>
    <t>Ferrosilicomanganese</t>
  </si>
  <si>
    <t>Belgium 890; France 691; Switzerland 685.</t>
  </si>
  <si>
    <t>Ferrosilicon</t>
  </si>
  <si>
    <t>France 17,400; Belgium 7,720; Austria 6,800.</t>
  </si>
  <si>
    <t>Ferrotungsten</t>
  </si>
  <si>
    <t>Italy 52; Austria 35; Belgium 28.</t>
  </si>
  <si>
    <t>Ferrotitanium</t>
  </si>
  <si>
    <t>Italy 1,170; France 763; Sweden 742.</t>
  </si>
  <si>
    <t>TABLE 3--Continued</t>
  </si>
  <si>
    <t>METALS--Continued</t>
  </si>
  <si>
    <t>Iron and steel, metal, ferroalloys--Continued:</t>
  </si>
  <si>
    <t>Ferrovanadium</t>
  </si>
  <si>
    <t>Italy 292; United Kingdom 55; Spain 45.</t>
  </si>
  <si>
    <t>Ferroniobium</t>
  </si>
  <si>
    <t>Italy 408; Belgium 278; France 161.</t>
  </si>
  <si>
    <t>Other ferroalloys</t>
  </si>
  <si>
    <t>Italy 2,440; France 2,220; Slovenia 857.</t>
  </si>
  <si>
    <t>United Kingdom 270; Australia 262; Bahrain 240.</t>
  </si>
  <si>
    <t>Lead:</t>
  </si>
  <si>
    <t>China, 100%.</t>
  </si>
  <si>
    <t>Lead containing antimony</t>
  </si>
  <si>
    <t>Czech Republic 6,810; Austria 4,060; France 1,480.</t>
  </si>
  <si>
    <t>France 7,970; Belgium 7,610; Czech Republic 4,370.</t>
  </si>
  <si>
    <t>France 39,400; Czech Republic 18,000; Austria 10,700.</t>
  </si>
  <si>
    <t>Portugal, 100%.</t>
  </si>
  <si>
    <t>Belgium 12,400; Netherlands 4,660.</t>
  </si>
  <si>
    <t>Lithium carbonate</t>
  </si>
  <si>
    <t>France 763; Belgium 505; United Kingdom 269.</t>
  </si>
  <si>
    <t>Magnesium, metal, including alloys:</t>
  </si>
  <si>
    <t>Austria 4,380; Czech Republic 4,330; Netherlands 749.</t>
  </si>
  <si>
    <t>Unwrought</t>
  </si>
  <si>
    <t>Romania 1,570; Hungary 1,410; Austria 1,310.</t>
  </si>
  <si>
    <t>Manganese, ore and concentrate</t>
  </si>
  <si>
    <t>Belgium 2,730.</t>
  </si>
  <si>
    <t>Mercury</t>
  </si>
  <si>
    <t>Sweden 5; Liechtenstein 4; Singapore 3.</t>
  </si>
  <si>
    <t>Molybdenum, ore and concentrate</t>
  </si>
  <si>
    <t>China 762; Belgium 717; Netherlands 407.</t>
  </si>
  <si>
    <t>Nickel:</t>
  </si>
  <si>
    <t>Matte, speiss, related materials</t>
  </si>
  <si>
    <t>Canada, 100%.</t>
  </si>
  <si>
    <t>Japan 67.</t>
  </si>
  <si>
    <t>Ash and residue containing nickel</t>
  </si>
  <si>
    <t>Netherlands 210; Sweden 179; Austria 38.</t>
  </si>
  <si>
    <t>Austria 7,180; Sweden 863; France 750.</t>
  </si>
  <si>
    <t>Unalloyed</t>
  </si>
  <si>
    <t>Netherlands 3,800; Austria 1,570; France 935.</t>
  </si>
  <si>
    <t>Netherlands 2,960; Italy 1,160; United Kingdom 869.</t>
  </si>
  <si>
    <t>Platinum-group metals:</t>
  </si>
  <si>
    <t>Belgium 620; United Kingdom 99.</t>
  </si>
  <si>
    <t>Metal, including alloys, all forms:</t>
  </si>
  <si>
    <t>Platinum</t>
  </si>
  <si>
    <t>Belgium 11,100; Switzerland 6,100; China 5,950.</t>
  </si>
  <si>
    <t>Palladium</t>
  </si>
  <si>
    <t>Switzerland 2,160; Brazil 1,910; Japan 1,350.</t>
  </si>
  <si>
    <t>Rhodium</t>
  </si>
  <si>
    <t>Belgium 1,570; Japan 768; Brazil 365.</t>
  </si>
  <si>
    <t>Iridium, osmium and ruthenium</t>
  </si>
  <si>
    <t>Hong Kong 958; Belgium 578.</t>
  </si>
  <si>
    <t>Rare-earth metals, including alloys:</t>
  </si>
  <si>
    <t>Metal</t>
  </si>
  <si>
    <t>Malaysia &lt; 1; South Korea &lt; 1.</t>
  </si>
  <si>
    <t>Compounds, all forms</t>
  </si>
  <si>
    <t>France 22; Malaysia 13; Russia 13.</t>
  </si>
  <si>
    <t>Selenium, elemental</t>
  </si>
  <si>
    <t>Belgium 23; Mexico 21; Hong Kong 19.</t>
  </si>
  <si>
    <t>Silver:</t>
  </si>
  <si>
    <t>Unspecified 1,020; Turkey 120; Belgium 104.</t>
  </si>
  <si>
    <t>Powder</t>
  </si>
  <si>
    <t>France 20,300; Greece 17,200; Japan 5,030.</t>
  </si>
  <si>
    <t>Tin:</t>
  </si>
  <si>
    <t>Belgium, 100%.</t>
  </si>
  <si>
    <t>Ash and residue containing tin</t>
  </si>
  <si>
    <t>Belgium 672; Netherlands 77.</t>
  </si>
  <si>
    <t>Metal, including alloys</t>
  </si>
  <si>
    <t>Netherlands 575; Austria 279; Poland 174.</t>
  </si>
  <si>
    <t>France 501; Belgium 92; Netherlands 53.</t>
  </si>
  <si>
    <t>Titanium, ore and concentrate</t>
  </si>
  <si>
    <t>Italy 263; France 177; Mexico 83.</t>
  </si>
  <si>
    <t>Tungsten:</t>
  </si>
  <si>
    <t>Netherlands, 100%.</t>
  </si>
  <si>
    <t>Unspecified, 100%.</t>
  </si>
  <si>
    <t>Austria 518; United Kingdom 382; Sweden 333.</t>
  </si>
  <si>
    <t>Wolframite</t>
  </si>
  <si>
    <t>Vanadium, oxides and hydroxides</t>
  </si>
  <si>
    <t>Zinc:</t>
  </si>
  <si>
    <t>Belgium 3,710; Serbia 2,410; Netherlands 1,020.</t>
  </si>
  <si>
    <t>Matte and related materials</t>
  </si>
  <si>
    <t>Belgium 2,640; Netherlands 1,900; Luxembourg 1,160.</t>
  </si>
  <si>
    <t>Blue powder</t>
  </si>
  <si>
    <t>Switzerland 1,110; Austria 427; China 427.</t>
  </si>
  <si>
    <t>Ash and residue containing zinc</t>
  </si>
  <si>
    <t>Belgium 18,100; Netherlands 14,300; France 3,090.</t>
  </si>
  <si>
    <t>Austria 11,900; Italy 3,400; Czech Republic 2,530.</t>
  </si>
  <si>
    <t>France 25,800; United Kingdom 21,300; Austria 10,300.</t>
  </si>
  <si>
    <t>Belgium 16,400; China 14,800; India 6,320.</t>
  </si>
  <si>
    <t xml:space="preserve">Zirconium: </t>
  </si>
  <si>
    <t>Belgium 3,570; Austria 298.</t>
  </si>
  <si>
    <t>Japan 6; Canada 4; France 3.</t>
  </si>
  <si>
    <t>Abrasives, natural:</t>
  </si>
  <si>
    <t>Corundum, emery, garnet, etc.</t>
  </si>
  <si>
    <t>Sweden 1,677; Switzerland 886; Netherlands 659.</t>
  </si>
  <si>
    <t>Pumice</t>
  </si>
  <si>
    <t>Netherlands 47,100; Luxembourg 41,300; Switzerland 716.</t>
  </si>
  <si>
    <t>Asbestos, crude</t>
  </si>
  <si>
    <t>&lt; 1</t>
  </si>
  <si>
    <t>Barite and witherite</t>
  </si>
  <si>
    <t>Borates, natural, crude, including calcined</t>
  </si>
  <si>
    <t>Czech Republic 13; Switzerland 9; South Africa 7.</t>
  </si>
  <si>
    <t>Netherlands 2,240; Belgium 823; France 412.</t>
  </si>
  <si>
    <t>Chalk, natural</t>
  </si>
  <si>
    <t>Netherlands 49,900; Sweden 18,300; Denmark 17,800.</t>
  </si>
  <si>
    <t>Clays, crude:</t>
  </si>
  <si>
    <t>Austria 13,500; Switzerland 13,200; France 12,600.</t>
  </si>
  <si>
    <t>Italy 80,300; Austria 79,400; Switzerland 42,000.</t>
  </si>
  <si>
    <t>Italy 881; Netherlands 825; Belgium 299.</t>
  </si>
  <si>
    <t>Diamond, natural:</t>
  </si>
  <si>
    <t>Gem, not set or strung</t>
  </si>
  <si>
    <t>carats</t>
  </si>
  <si>
    <t>Thailand 27,600; Hong Kong 22,500; Israel 13,200.</t>
  </si>
  <si>
    <t>Industrial stones</t>
  </si>
  <si>
    <t>Switzerland 2,020; Austria 1,660; Belgium 534.</t>
  </si>
  <si>
    <t>Dust and powder</t>
  </si>
  <si>
    <t>Austria 582; Ireland 430; Thailand 325.</t>
  </si>
  <si>
    <t>Diatomite and other infusorial earth</t>
  </si>
  <si>
    <t>Austria 2,760; Poland 655; Netherlands 533.</t>
  </si>
  <si>
    <t>France 60,700; Italy 16,000; Czech Republic 8,730.</t>
  </si>
  <si>
    <t>Sweden 2,510; Hungary 1,530; Poland 1,440.</t>
  </si>
  <si>
    <t>Denmark 2,290; Spain 2,280; Czech Republic 2,230.</t>
  </si>
  <si>
    <t>Czech Republic 3,770; France 1,990; Austria 1,170.</t>
  </si>
  <si>
    <t>Gypsum and anhydrite, natural</t>
  </si>
  <si>
    <t>Belgium 310; Norway 212; Netherlands 185.</t>
  </si>
  <si>
    <t>Kyanite and related materials:</t>
  </si>
  <si>
    <t>Andalusite, kyanite, sillimanite</t>
  </si>
  <si>
    <t>Hungary 759; Italy 467; Poland 166.</t>
  </si>
  <si>
    <t>Mullite</t>
  </si>
  <si>
    <t>United Kingdom 2,270; Italy 1,800; Hungary 1,250.</t>
  </si>
  <si>
    <t>Lime, hydrated</t>
  </si>
  <si>
    <t>Netherlands 631; Belgium 95; France 81.</t>
  </si>
  <si>
    <t>Magnesium compounds:</t>
  </si>
  <si>
    <t>Magnesite, crude, including burned</t>
  </si>
  <si>
    <t>France 29,400; Austria 20,500; Slovakia 7,300.</t>
  </si>
  <si>
    <t>Epsomite</t>
  </si>
  <si>
    <t>France 171,000; Malaysia 165,000; Indonesia 119,000.</t>
  </si>
  <si>
    <t>Mica, crude, including splittings and waste</t>
  </si>
  <si>
    <r>
      <t>Byproduct of flue-gas desulfurization</t>
    </r>
    <r>
      <rPr>
        <vertAlign val="superscript"/>
        <sz val="8"/>
        <rFont val="Times"/>
        <family val="1"/>
      </rPr>
      <t>e</t>
    </r>
  </si>
  <si>
    <t>Rock salt and other brines</t>
  </si>
  <si>
    <t>(ThyssenKrupp Steel AG, 50%; Vallourec</t>
  </si>
  <si>
    <t>Amberger Kaolinwerke GmbH—Eduard Kick</t>
  </si>
  <si>
    <t>Brazil 1,200; Italy 669; Austria 548.</t>
  </si>
  <si>
    <t>Netherlands 885; France 237; Italy 177.</t>
  </si>
  <si>
    <t>Phosphates:</t>
  </si>
  <si>
    <t>Milled</t>
  </si>
  <si>
    <t>Austria 3; Poland &lt; 1.</t>
  </si>
  <si>
    <t>Precious and semiprecious gemstones, natural</t>
  </si>
  <si>
    <t>(other than diamond):</t>
  </si>
  <si>
    <t>India 129; Hong Kong 102; Thailand 46.</t>
  </si>
  <si>
    <t>Pyrite, unroasted</t>
  </si>
  <si>
    <t>France 165; Turkey 40; Czech Republic 22.</t>
  </si>
  <si>
    <t>Salt and brine</t>
  </si>
  <si>
    <t>Belgium 904; Netherlands 580; Czech Republic 381.</t>
  </si>
  <si>
    <t>Basalt, lava rocks, etc.</t>
  </si>
  <si>
    <t>Netherlands 242,000; Switzerland 18,700.</t>
  </si>
  <si>
    <t>Dimension stone:</t>
  </si>
  <si>
    <t>Dolomite and limestone</t>
  </si>
  <si>
    <t>Luxembourg 529; Netherlands 69; Belgium 45.</t>
  </si>
  <si>
    <t>Granite</t>
  </si>
  <si>
    <t>Switzerland 60,300.</t>
  </si>
  <si>
    <t>Marble, travertine, etc.</t>
  </si>
  <si>
    <t>Switzerland 71,500; Netherlands 39,600; Belgium 26,800.</t>
  </si>
  <si>
    <t>Foundation sand and gravel</t>
  </si>
  <si>
    <t>Austria 66,900; Switzerland 62,800; France 18,700.</t>
  </si>
  <si>
    <t>Limestone for cement</t>
  </si>
  <si>
    <t>Luxembourg 135,000; Belgium 11,600; France 8,430.</t>
  </si>
  <si>
    <t>Quartz and quartzite</t>
  </si>
  <si>
    <t>Netherlands 9,810; Austria 5,260; Czech Republic 4,590.</t>
  </si>
  <si>
    <t>Quartz sand</t>
  </si>
  <si>
    <t>Netherlands 6,030; Belgium 1,460.</t>
  </si>
  <si>
    <t>Sandstone</t>
  </si>
  <si>
    <t>Netherlands 5,670; Austria 708; United Arab Emirates 549.</t>
  </si>
  <si>
    <t>Schist and shale</t>
  </si>
  <si>
    <t>Belgium 9,160; Netherlands 4,050; Denmark 3,060.</t>
  </si>
  <si>
    <t>Unworked stone, natural</t>
  </si>
  <si>
    <t>Netherlands 5,880; Belgium 1,280; Switzerland 818.</t>
  </si>
  <si>
    <t>Other natural stone, unspecified</t>
  </si>
  <si>
    <t>Netherlands 3,920; Switzerland 358; France 347.</t>
  </si>
  <si>
    <t>Sulfur, crude, including native and byproduct</t>
  </si>
  <si>
    <t>Morocco 210; Senegal 106; Poland 76.</t>
  </si>
  <si>
    <t>Talc, steatite, soapstone, pyrophyllite</t>
  </si>
  <si>
    <t>Romania 726; France 590; Denmark 434.</t>
  </si>
  <si>
    <t>Vermiculite, perlite, chlorite</t>
  </si>
  <si>
    <t>Belgium 686; Poland 497; Austria 494.</t>
  </si>
  <si>
    <t>Austria 23,600; Luxembourg 16,800; France 15,400.</t>
  </si>
  <si>
    <t xml:space="preserve">Anthracite </t>
  </si>
  <si>
    <t>Israel 5,020; Belgium 1,390; Austria 1,270.</t>
  </si>
  <si>
    <t>Austria 31.</t>
  </si>
  <si>
    <t>Other bituminous, including briquets</t>
  </si>
  <si>
    <t>France 111,000; Belgium 79,500; Poland 75,500.</t>
  </si>
  <si>
    <t>United Kingdom 28,700; Netherlands 14,300; Austria 9,090.</t>
  </si>
  <si>
    <t>Austria 5,550; Canada 1,490; Japan 658.</t>
  </si>
  <si>
    <t>Gas, natural, gaseous</t>
  </si>
  <si>
    <t>Petroleum, crude</t>
  </si>
  <si>
    <t>United Kingdom 1,220.</t>
  </si>
  <si>
    <t>Uranium, natural:</t>
  </si>
  <si>
    <t>Crude, U content</t>
  </si>
  <si>
    <t>France 64,000.</t>
  </si>
  <si>
    <t>Enriched, fissile isotopes</t>
  </si>
  <si>
    <t>Belgium 1,620; France 489; Finland 479.</t>
  </si>
  <si>
    <r>
      <t>e</t>
    </r>
    <r>
      <rPr>
        <sz val="8"/>
        <rFont val="Times"/>
        <family val="1"/>
      </rPr>
      <t>Estimated; estimated tonnages are rounded to no more than three significant digits; may not add to totals shown.  -- Less than 5%.</t>
    </r>
  </si>
  <si>
    <r>
      <t>1</t>
    </r>
    <r>
      <rPr>
        <sz val="8"/>
        <rFont val="Times"/>
        <family val="1"/>
      </rPr>
      <t xml:space="preserve">Source: Bundesanstalt für Geowissenschaften und Rohstoffe, 2006, Table1.2—Rohstoffsituation, 2005: Hannover, Germany, October. </t>
    </r>
  </si>
  <si>
    <r>
      <t>2</t>
    </r>
    <r>
      <rPr>
        <sz val="8"/>
        <rFont val="Times"/>
        <family val="1"/>
      </rPr>
      <t>Destination country was estimated to have accounted for at least 5% of Germany's total exports of the mineral commodity.</t>
    </r>
  </si>
  <si>
    <r>
      <t>GERMANY: EXPORTS OF SELECTED MINERAL COMMODITIES IN 2005</t>
    </r>
    <r>
      <rPr>
        <vertAlign val="superscript"/>
        <sz val="8"/>
        <rFont val="Times"/>
        <family val="1"/>
      </rPr>
      <t>1</t>
    </r>
  </si>
  <si>
    <r>
      <t>Destinations</t>
    </r>
    <r>
      <rPr>
        <vertAlign val="superscript"/>
        <sz val="8"/>
        <rFont val="Times"/>
        <family val="1"/>
      </rPr>
      <t>e</t>
    </r>
  </si>
  <si>
    <r>
      <t>Other (principal</t>
    </r>
    <r>
      <rPr>
        <vertAlign val="superscript"/>
        <sz val="8"/>
        <rFont val="Times"/>
        <family val="1"/>
      </rPr>
      <t>2</t>
    </r>
    <r>
      <rPr>
        <sz val="8"/>
        <rFont val="Times"/>
        <family val="1"/>
      </rPr>
      <t>)</t>
    </r>
  </si>
  <si>
    <t>IKO Minerals GmbH (S&amp;B Industrial Minerals</t>
  </si>
  <si>
    <t>Graphite, from imported ore</t>
  </si>
  <si>
    <t>Plants at Bous, Georgsmarienhuette, and Groeditz</t>
  </si>
  <si>
    <t>Plants at Burbach, Neunkirchen, and Voelklingen</t>
  </si>
  <si>
    <t>TABLE 4</t>
  </si>
  <si>
    <t>Guinea 1,920; Australia 134.</t>
  </si>
  <si>
    <t>Jamaica 465; Ireland 178; France 86.</t>
  </si>
  <si>
    <t>Ireland 117,000; Iran 25,000; Hungary 19,000.</t>
  </si>
  <si>
    <t>Netherlands 46,800; France 44,100; Denmark 18,400.</t>
  </si>
  <si>
    <t>Russia 151; Iceland 112; Brazil 97.</t>
  </si>
  <si>
    <t>Netherlands 175; Norway 149; United Kingdom 109.</t>
  </si>
  <si>
    <t>United Kingdom 129,000; Austria 46,200; Netherlands 40,100.</t>
  </si>
  <si>
    <t>Netherlands 94,200; France 49,500; Switzerland 46,900.</t>
  </si>
  <si>
    <t>China 106; Vietnam 20; Russia 17.</t>
  </si>
  <si>
    <t>China 2; Japan &lt; 1.</t>
  </si>
  <si>
    <t>United Kingdom 969; Mexico 404; Belgium 85.</t>
  </si>
  <si>
    <t>South Africa 93,200; Turkey 34,700.</t>
  </si>
  <si>
    <t>Finland 272; Belgium 78; Italy 74.</t>
  </si>
  <si>
    <t>Canada 329; Russia 314; Belgium 305.</t>
  </si>
  <si>
    <t>Netherlands 45; South Africa 33; Switzerland 28.</t>
  </si>
  <si>
    <t>Ore and concentrate, including tantalum</t>
  </si>
  <si>
    <t>Scrap containing both niobium and tantalum</t>
  </si>
  <si>
    <t>Malaysia 171; Belgium 137; Rwanda 47.</t>
  </si>
  <si>
    <t>Chile 412; Peru 213; Argentina 201.</t>
  </si>
  <si>
    <t>Brazil 16,100; Chile 5,050; Romania 3,370.</t>
  </si>
  <si>
    <t>Italy 11,500; Ukraine 6,940; Netherlands 5,800.</t>
  </si>
  <si>
    <t>Armenia 9,500; Chile 5,980; Peru 4,660.</t>
  </si>
  <si>
    <t>Russia 227; Chile 143; Poland 101.</t>
  </si>
  <si>
    <t>United Kingdom 6,000; Belgium 4,210; Poland 3,970.</t>
  </si>
  <si>
    <t>France 67,000; Netherlands 44,900; United Kingdom 38,500.</t>
  </si>
  <si>
    <t>Gallium, indium, and thallium, metal, including scrap</t>
  </si>
  <si>
    <t>United Kingdom 6; China 5; France 3.</t>
  </si>
  <si>
    <t>France 829; China 533; United Kingdom 331.</t>
  </si>
  <si>
    <t>France 11; Switzerland 4; United Kingdom 3.</t>
  </si>
  <si>
    <t>United Kingdom 435; Austria 424; Australia 339.</t>
  </si>
  <si>
    <t>Brazil 21,800; Sweden 5,390; Canada 5,230.</t>
  </si>
  <si>
    <t>Norway 19800.</t>
  </si>
  <si>
    <t>Austria 156,000; Luxembourg 23,500.</t>
  </si>
  <si>
    <t>Russia 167,000; South Africa 58,000; Canada 29,500.</t>
  </si>
  <si>
    <t>Netherlands 1,200; Poland 796; Czech Republic 733.</t>
  </si>
  <si>
    <t>Canada 58,800; Sweden 29,200; Trinidad &amp; Tobago 21,400.</t>
  </si>
  <si>
    <t>South Africa 295,000; Netherlands 55,900; Kazakhstan 35,500.</t>
  </si>
  <si>
    <t>South Africa 56,800; France 36,900; Spain 30,800.</t>
  </si>
  <si>
    <t>Belgium 7,310; Armenia 2,150; United Kingdom 1,330.</t>
  </si>
  <si>
    <t>United Kingdom 62,800; Greece 36,900; Venezuela 31,700.</t>
  </si>
  <si>
    <t>Russia 822; South Africa 422; China 186.</t>
  </si>
  <si>
    <t>Norway 4,600; Slovenia 1,560; Argentina 417.</t>
  </si>
  <si>
    <t>Ferrochrome</t>
  </si>
  <si>
    <t>Elektrowerk Weisweiler GmbH (Kermas Limited,</t>
  </si>
  <si>
    <t>Plant at Eschweiler-Weisweiler, near Aachen</t>
  </si>
  <si>
    <r>
      <t>Ceramic and refractory clays</t>
    </r>
    <r>
      <rPr>
        <vertAlign val="superscript"/>
        <sz val="8"/>
        <rFont val="Times"/>
        <family val="1"/>
      </rPr>
      <t>e</t>
    </r>
  </si>
  <si>
    <t>Norway 47,900; Ukraine 32,500; China 22,800.</t>
  </si>
  <si>
    <t>TABLE 4--Continued</t>
  </si>
  <si>
    <t>Norway 58,300; France 36,200; Poland 32,900.</t>
  </si>
  <si>
    <t>China 463; Netherlands 49.</t>
  </si>
  <si>
    <t>Russia 3,470; United Kingdom 2,660; Netherlands 1,960.</t>
  </si>
  <si>
    <t>Austria 2,700; Russia 1,210.</t>
  </si>
  <si>
    <t>Brazil 3,580; Canada 593.</t>
  </si>
  <si>
    <t>France 25,200; United Kingdom 9,000; Italy 8,120.</t>
  </si>
  <si>
    <t>Czech Republic 6,330; Poland, 1,780; United Kingdom 1,530.</t>
  </si>
  <si>
    <t>Australia 42,400; Sweden 36,900; Ireland 29,700.</t>
  </si>
  <si>
    <t>Sweden 5,140; Belgium 4,010; Ukraine 1,540.</t>
  </si>
  <si>
    <t>United Kingdom 4,810; France 2,280; Netherlands 2,200.</t>
  </si>
  <si>
    <t>United Kingdom 19,700; Belgium 17,600; Poland 12,600.</t>
  </si>
  <si>
    <t>Poland 4,970; Switzerland 2,030; United Kingdom 1,080.</t>
  </si>
  <si>
    <t>Belgium 25,000; United Kingdom 24,900; Netherlands 4,740.</t>
  </si>
  <si>
    <t>Lithium:</t>
  </si>
  <si>
    <t>Carbonate</t>
  </si>
  <si>
    <t>Chile 7,030.</t>
  </si>
  <si>
    <t>Switzerland 2,850; Russia 244.</t>
  </si>
  <si>
    <t>China 11,500; Austria 3,940; Switzerland 1,980.</t>
  </si>
  <si>
    <t>China 21,500; Czech Republic 5,350; Norway 5,090.</t>
  </si>
  <si>
    <t>Netherlands 3,660; France 1,450; Brazil 1,090.</t>
  </si>
  <si>
    <t>Spain 21; Finland 6.</t>
  </si>
  <si>
    <t>Belgium 1,950; China 1,880; Chile 1,750.</t>
  </si>
  <si>
    <t>Netherlands 6,860.</t>
  </si>
  <si>
    <t>Czech Republic 157; Canada 118; Belgium 80.</t>
  </si>
  <si>
    <t>Netherlands 2,830; France 935; Singapore 615.</t>
  </si>
  <si>
    <t>United Kingdom 1,130; Austria 454; Belgium 116.</t>
  </si>
  <si>
    <t>Russia 35,600; United Kingdom 27,100; Norway 10,600.</t>
  </si>
  <si>
    <t>Austria 2,520; United Kingdom 1,140; France 1,020.</t>
  </si>
  <si>
    <t>South Africa 1,100; Austria 414; United Kingdom 355.</t>
  </si>
  <si>
    <t>South Africa 15,400; Belgium 12,300; United Kingdom 7,610.</t>
  </si>
  <si>
    <t>Belgium 18,400; United Kingdom 8,330; South Africa 5,570.</t>
  </si>
  <si>
    <t>Belgium 3,050; United Kingdom 717; South Africa 490.</t>
  </si>
  <si>
    <t>Iridium, osmium, and ruthenium</t>
  </si>
  <si>
    <t xml:space="preserve">Primary smelter and refinery at Nordenham, and </t>
  </si>
  <si>
    <t>two combination plants at Langelsheim and Oker</t>
  </si>
  <si>
    <t>Stollberg plant at Oberhausen</t>
  </si>
  <si>
    <t>Cement--Continued</t>
  </si>
  <si>
    <t>South Africa 1,560; United Kingdom 810; Russia 443.</t>
  </si>
  <si>
    <t>China 234; Austria 116; Belgium 25.</t>
  </si>
  <si>
    <t>China 540; France 278; Austria 156.</t>
  </si>
  <si>
    <t>Canada 45; Uzbekistan 43; Russia 40.</t>
  </si>
  <si>
    <t>Norway 63,100; Brazil 48,600; France 16,300.</t>
  </si>
  <si>
    <t>Switzerland, 100%.</t>
  </si>
  <si>
    <t>Netherlands 761; Belgium 173.</t>
  </si>
  <si>
    <t>Peru 4,810; Indonesia 4,050; Thailand 3,630.</t>
  </si>
  <si>
    <t>Netherlands 175; France 119; Slovakia 39.</t>
  </si>
  <si>
    <t>Norway 232,000; Canada 154,000; South Africa 142,000.</t>
  </si>
  <si>
    <t>Brazil 128; Thailand 124; Canada 77.</t>
  </si>
  <si>
    <t>Tungsten--Continued:</t>
  </si>
  <si>
    <t>Austria 791; Canada 593; China 140.</t>
  </si>
  <si>
    <t>United Kingdom 449; Austria 396; Russia 306.</t>
  </si>
  <si>
    <t>China 200; Ireland 166.</t>
  </si>
  <si>
    <t>China 250; Unspecified 247; Australia 157.</t>
  </si>
  <si>
    <t>Ireland 110,000; Peru 66,300; Sweden 61,900.</t>
  </si>
  <si>
    <t>Netherlands 4,510; Belgium 2,730; France 2,090.</t>
  </si>
  <si>
    <t>Belgium 3,640; Norway 1,420; United Kingdom 337.</t>
  </si>
  <si>
    <t>Netherlands 4,770; Switzerland 4,390; France 2,890.</t>
  </si>
  <si>
    <t>Belgium 49,700; France 9,550; Finland 6,770.</t>
  </si>
  <si>
    <t>Spain 81,100; Finland 61,400; Netherlands 47,700.</t>
  </si>
  <si>
    <t>France 8,450; Netherlands 6,160; Denmark 2,230.</t>
  </si>
  <si>
    <t xml:space="preserve">Hamburger Aluminium-Werk GmbH (HAW) </t>
  </si>
  <si>
    <t>(Trimet Aluminium AG, 100%)</t>
  </si>
  <si>
    <t xml:space="preserve">Jahresbericht—Mineralöl-Zahlen, 2006: Hamburg, Germany, Mineralölwirtschaftsverband e.V., May, p. 48, and reflect significant digits </t>
  </si>
  <si>
    <t>110</t>
  </si>
  <si>
    <t>900</t>
  </si>
  <si>
    <t>350</t>
  </si>
  <si>
    <t>300</t>
  </si>
  <si>
    <t>600</t>
  </si>
  <si>
    <t>320</t>
  </si>
  <si>
    <t>175</t>
  </si>
  <si>
    <t>130</t>
  </si>
  <si>
    <t>100</t>
  </si>
  <si>
    <t>250</t>
  </si>
  <si>
    <t>5</t>
  </si>
  <si>
    <t>87</t>
  </si>
  <si>
    <t>50</t>
  </si>
  <si>
    <t>500</t>
  </si>
  <si>
    <t>200</t>
  </si>
  <si>
    <t>2,250</t>
  </si>
  <si>
    <t>9,500</t>
  </si>
  <si>
    <t>7,200</t>
  </si>
  <si>
    <t>6,000</t>
  </si>
  <si>
    <t>5,000</t>
  </si>
  <si>
    <t>3,600</t>
  </si>
  <si>
    <t>3,500</t>
  </si>
  <si>
    <t>1,600</t>
  </si>
  <si>
    <t>1,400</t>
  </si>
  <si>
    <t>NA</t>
  </si>
  <si>
    <t>16,000</t>
  </si>
  <si>
    <t>2,100</t>
  </si>
  <si>
    <t>2,000</t>
  </si>
  <si>
    <t>1,100</t>
  </si>
  <si>
    <t>560</t>
  </si>
  <si>
    <t>185</t>
  </si>
  <si>
    <t>7,500</t>
  </si>
  <si>
    <t>135</t>
  </si>
  <si>
    <t>30</t>
  </si>
  <si>
    <t>35</t>
  </si>
  <si>
    <t>20,000</t>
  </si>
  <si>
    <t>8,000</t>
  </si>
  <si>
    <t>150</t>
  </si>
  <si>
    <t>12,000</t>
  </si>
  <si>
    <t>145</t>
  </si>
  <si>
    <t>120</t>
  </si>
  <si>
    <t>105,000</t>
  </si>
  <si>
    <t>60,000</t>
  </si>
  <si>
    <t>25,000</t>
  </si>
  <si>
    <t>3,000</t>
  </si>
  <si>
    <t>26</t>
  </si>
  <si>
    <t>15</t>
  </si>
  <si>
    <t>4,000</t>
  </si>
  <si>
    <t>30,000</t>
  </si>
  <si>
    <t>21,000</t>
  </si>
  <si>
    <t>256,000</t>
  </si>
  <si>
    <t>245,000</t>
  </si>
  <si>
    <t>215,500</t>
  </si>
  <si>
    <t>145,000</t>
  </si>
  <si>
    <t>27,500</t>
  </si>
  <si>
    <t>6,400</t>
  </si>
  <si>
    <t>5,600</t>
  </si>
  <si>
    <t>2,800</t>
  </si>
  <si>
    <t>2,600</t>
  </si>
  <si>
    <t>2,300</t>
  </si>
  <si>
    <t>1,700</t>
  </si>
  <si>
    <t>1,300</t>
  </si>
  <si>
    <t>1,000</t>
  </si>
  <si>
    <t>95</t>
  </si>
  <si>
    <t>155</t>
  </si>
  <si>
    <t>140</t>
  </si>
  <si>
    <t>15,000</t>
  </si>
  <si>
    <t>Primary smelters: Elbewerk at Stade (closed end-2006)</t>
  </si>
  <si>
    <t>Secondary smelters: Erftwerk at Grevenbroich, Innwerk</t>
  </si>
  <si>
    <t>Amberger Kaolinwerke GmbH-Eduard Kick</t>
  </si>
  <si>
    <t>Zirconium, metal, including alloys</t>
  </si>
  <si>
    <t>Netherlands 100; France 31.</t>
  </si>
  <si>
    <t>India 7,410; Netherlands 1,080; United Kingdom 985.</t>
  </si>
  <si>
    <t>Italy 139,000; Iceland 25,800.</t>
  </si>
  <si>
    <t>Canada 73; South Africa 18; Zimbabwe 7.</t>
  </si>
  <si>
    <t>China 156,000; France 31,500; Bulgaria 27,100.</t>
  </si>
  <si>
    <t>Turkey 3,450; Belgium 2,920; Netherlands 2,410.</t>
  </si>
  <si>
    <t>France 371; Belgium 355; Czech Republic 300.</t>
  </si>
  <si>
    <t>Netherlands 130,000; France 54,600; Belgium 42,000.</t>
  </si>
  <si>
    <t>Netherlands 109,000; Italy 40,500; Czech Republic 38,500.</t>
  </si>
  <si>
    <t>Netherlands 215; Czech Republic 138; United Kingdom 133.</t>
  </si>
  <si>
    <t>Czech Republic 47,900; Luxembourg 21,400; United Kingdom 17,000.</t>
  </si>
  <si>
    <t>BEB Erdgas und Erdöl GmbH (ExxonMobil</t>
  </si>
  <si>
    <t>Belgium 154,000; India 153,000; Israel 44,600.</t>
  </si>
  <si>
    <t>thousand carats</t>
  </si>
  <si>
    <t>United Kingdom 513; Ireland 273; Belgium 173.</t>
  </si>
  <si>
    <t>Ireland 4,250; China 1,000; Ukraine 555.</t>
  </si>
  <si>
    <t>Spain 36,000; Denmark 16,800; Netherlands 10,500.</t>
  </si>
  <si>
    <t>France 38,100; Turkey 18,600; Norway 17,600.</t>
  </si>
  <si>
    <t>South Africa 96,100; Namibia 57,100; China 42,600.</t>
  </si>
  <si>
    <t>China 16,300; South Africa 3,070.</t>
  </si>
  <si>
    <t>China 19,600; Netherlands 16,400; Unspecified 11,600.</t>
  </si>
  <si>
    <t>France 53,600; Austria 51,700; Netherlands 16,000.</t>
  </si>
  <si>
    <t>South Africa 24,300; France 15,000; Belgium 5,470.</t>
  </si>
  <si>
    <t>Hungary 2,440; United Kingdom 1,640; Canada 465.</t>
  </si>
  <si>
    <t>France 121; Czech Republic 86; Belgium 51.</t>
  </si>
  <si>
    <t>China 279,000; Netherlands 78,700; Slovakia 26,600.</t>
  </si>
  <si>
    <t>Netherlands 144; Belgium 101; France 54.</t>
  </si>
  <si>
    <t>India 11,700; France 9,440; Netherlands 3,390.</t>
  </si>
  <si>
    <t>Netherlands 90,700; Latvia 68,500; Estonia 49,400.</t>
  </si>
  <si>
    <t>Israel 69,400; Russia 15,000.</t>
  </si>
  <si>
    <t>Belgium 16,000.</t>
  </si>
  <si>
    <t>Precious and semiprecious stones, natural</t>
  </si>
  <si>
    <t>Brazil 800; Madagascar 152; China 87.</t>
  </si>
  <si>
    <t>grams</t>
  </si>
  <si>
    <t>China 2,600.</t>
  </si>
  <si>
    <t>Finland 59,700.</t>
  </si>
  <si>
    <t>Netherlands 1,990; United Kingdom 131.</t>
  </si>
  <si>
    <t>Norway 33,100; Italy 15,200; Netherlands 7,060.</t>
  </si>
  <si>
    <t>Belgium 273,000; Estonia 267,000.</t>
  </si>
  <si>
    <t>Poland 28,300; Norway 13,700; Portugal 12,600.</t>
  </si>
  <si>
    <t>Norway 1,740; Austria 896; Italy 248.</t>
  </si>
  <si>
    <t>Belgium 625; Poland 525; Austria 490.</t>
  </si>
  <si>
    <t>Austria 34,000; Brazil 16,800; Sweden 9,000.</t>
  </si>
  <si>
    <t>France 871; Netherlands 294; Austria 162.</t>
  </si>
  <si>
    <t>India 6,720; Poland 6,460; Italy 1,710.</t>
  </si>
  <si>
    <t>France 24,800.</t>
  </si>
  <si>
    <t>Natural stones, unworked</t>
  </si>
  <si>
    <t>France 1,010; Netherlands 75.</t>
  </si>
  <si>
    <t>Norway 3,290; United Kingdom 1,510; Sweden 444.</t>
  </si>
  <si>
    <t>Belgium 10,200; Netherlands 9,730; Norway 7,060.</t>
  </si>
  <si>
    <t>Netherlands 121,000; France 91,900; Austria 76,800.</t>
  </si>
  <si>
    <t>Greece 67,100; Hungary 16,800; South Africa 11,000.</t>
  </si>
  <si>
    <t>Denmark 5,730; Switzerland 5,180; Trinidad &amp; Tobago 5,050.</t>
  </si>
  <si>
    <t>Bituminous:</t>
  </si>
  <si>
    <t>Anthracite</t>
  </si>
  <si>
    <t>Russia 424; Belgium 143; Ukraine 69.</t>
  </si>
  <si>
    <t>Coke</t>
  </si>
  <si>
    <t>Poland 1,170; Australia 1,150; China 1,030.</t>
  </si>
  <si>
    <t>Semicoke, coking coal</t>
  </si>
  <si>
    <t>Australia 1,960; Canada 1,510; Russia 481.</t>
  </si>
  <si>
    <t>Other, including briquets</t>
  </si>
  <si>
    <t>South Africa 6,120; Poland 5,970; Russia 5,630.</t>
  </si>
  <si>
    <t>Czech Republic 106.</t>
  </si>
  <si>
    <t>Coke of lignite</t>
  </si>
  <si>
    <t>Australia, 100%.</t>
  </si>
  <si>
    <t>Russia 37,100; United Kingdom 19,300; Norway 16,800.</t>
  </si>
  <si>
    <t>Canada 889; United Kingdom 633; France 252.</t>
  </si>
  <si>
    <t>France 6,030; Russia 4,510; Netherlands 2,590.</t>
  </si>
  <si>
    <r>
      <t>1</t>
    </r>
    <r>
      <rPr>
        <sz val="8"/>
        <rFont val="Times"/>
        <family val="1"/>
      </rPr>
      <t>Source: Bundesanstalt für Geowissenschaften und Rohstoffe, 2006, Table1.1—Rohstoffsituation, 2005: Hannover, Germany, October.</t>
    </r>
  </si>
  <si>
    <r>
      <t>2</t>
    </r>
    <r>
      <rPr>
        <sz val="8"/>
        <rFont val="Times"/>
        <family val="1"/>
      </rPr>
      <t>Source country was estimated to have accounted for at least 5% of Germany's total imports of the mineral commodity.</t>
    </r>
  </si>
  <si>
    <r>
      <t>GERMANY: IMPORTS OF SELECTED MINERAL COMMODITIES IN 2005</t>
    </r>
    <r>
      <rPr>
        <vertAlign val="superscript"/>
        <sz val="8"/>
        <rFont val="Times"/>
        <family val="1"/>
      </rPr>
      <t>1</t>
    </r>
  </si>
  <si>
    <r>
      <t>Sources</t>
    </r>
    <r>
      <rPr>
        <vertAlign val="superscript"/>
        <sz val="8"/>
        <rFont val="Times"/>
        <family val="1"/>
      </rPr>
      <t>e</t>
    </r>
  </si>
  <si>
    <t>Plant at Toeging am Inn</t>
  </si>
  <si>
    <t xml:space="preserve">Plants at Hahnstaetten, Steeden, Stromberg, </t>
  </si>
  <si>
    <t xml:space="preserve">and Grevenbrueck </t>
  </si>
  <si>
    <t>Quarry at Bad Koesen</t>
  </si>
  <si>
    <t>Quarry at Ruebeland</t>
  </si>
  <si>
    <t>and at Soehlde</t>
  </si>
  <si>
    <t>Eisenhuettenstadt, and Ruedersdorf</t>
  </si>
  <si>
    <t xml:space="preserve">Plants at Kall-Soetenich, Karsdorf, and Walzbachtal </t>
  </si>
  <si>
    <t>Quarry at Muelheim-Kaerlich</t>
  </si>
  <si>
    <t>at Toeging am Inn, and Neckarwerk at Deizisau</t>
  </si>
  <si>
    <t>cast alloy plants at Asperg and Bad Saeckingen</t>
  </si>
  <si>
    <t xml:space="preserve">Lippenwerk at Luenen (secondary) and primary rolling </t>
  </si>
  <si>
    <t xml:space="preserve">plants at Geseke; plants at Koenigs Wusterhausen, </t>
  </si>
  <si>
    <t>Plants at Deuna, Geseke, Goellheim, Lengerich, Neuss,</t>
  </si>
  <si>
    <t>HANSA plant at Bremen, plants at Laegerdorf and</t>
  </si>
  <si>
    <t>Quarries and plants at Laegerdorf, on Ruegen Island,</t>
  </si>
  <si>
    <t>Hoehr-Grenzhausen; Wiesa-Thonberg and</t>
  </si>
  <si>
    <t>Cunnersdorf quarries, Kamenz-Wiesa, Westerwald</t>
  </si>
  <si>
    <t>quarry, Dornburg-Langendernbach, Westerwald</t>
  </si>
  <si>
    <t xml:space="preserve">Quarry and plant in the Giessen/Lahn region </t>
  </si>
  <si>
    <t xml:space="preserve">Mine and chamotte plant at Maxhuette-Haidoff, and </t>
  </si>
  <si>
    <t>Secondary plant and refinery at Luenen</t>
  </si>
  <si>
    <t>Steinbruch-Donnerkuhle quarry and Hönnetal plant</t>
  </si>
  <si>
    <t>Schnaittenbach</t>
  </si>
  <si>
    <t>Mines at Caminau, Hirschau, Kemmlitz, and</t>
  </si>
  <si>
    <t xml:space="preserve">Kannenbäckerland plant in Hoehr-Grenzhausen, </t>
  </si>
  <si>
    <t xml:space="preserve">Open pit mines in Rhenish mining area: Bergheim, </t>
  </si>
  <si>
    <t xml:space="preserve">Jänschwalde-Cottbus-Nord, Nochten, and Welzow-Süd </t>
  </si>
  <si>
    <t>Plant at Eisenhuettenstadt</t>
  </si>
  <si>
    <t>TABLE 2</t>
  </si>
  <si>
    <t>(Thousand metric tons unless otherwise specified)</t>
  </si>
  <si>
    <t>Major operating companies and</t>
  </si>
  <si>
    <t>Annual</t>
  </si>
  <si>
    <t>Commodity</t>
  </si>
  <si>
    <r>
      <t>major equity owners</t>
    </r>
    <r>
      <rPr>
        <vertAlign val="superscript"/>
        <sz val="8"/>
        <rFont val="Times"/>
        <family val="1"/>
      </rPr>
      <t>2</t>
    </r>
  </si>
  <si>
    <t>Location of main facilities</t>
  </si>
  <si>
    <t>capacity</t>
  </si>
  <si>
    <t>Alumina</t>
  </si>
  <si>
    <t>Nabaltec GmbH</t>
  </si>
  <si>
    <t>Do.</t>
  </si>
  <si>
    <t>Aluminium Oxid Stade GmbH (DADCO</t>
  </si>
  <si>
    <t>Plant at Stade</t>
  </si>
  <si>
    <t xml:space="preserve"> Alumina &amp; Chemicals Ltd., 100%)</t>
  </si>
  <si>
    <t>Martinswerk GmbH</t>
  </si>
  <si>
    <t>Plant at Bergheim (fused alumina)</t>
  </si>
  <si>
    <t>(Albemarle Corporation, 100%)</t>
  </si>
  <si>
    <t>Aluminum</t>
  </si>
  <si>
    <t xml:space="preserve">Hydro Aluminium Deutschland GmbH </t>
  </si>
  <si>
    <t>(Norsk Hydro ASA, 100%)</t>
  </si>
  <si>
    <t>Metallhüttenwerke Bruch GmbH</t>
  </si>
  <si>
    <t xml:space="preserve">Secondary foundry alloy plant at Dortmund; secondary </t>
  </si>
  <si>
    <t>Trimet Aluminium AG</t>
  </si>
  <si>
    <t>Smelter at Essen-Borbeck</t>
  </si>
  <si>
    <t>e</t>
  </si>
  <si>
    <t>Arsenic, metal</t>
  </si>
  <si>
    <t>metric tons</t>
  </si>
  <si>
    <t>PPM Pure Metals GmbH (Metaleurop S.A., 100%)</t>
  </si>
  <si>
    <t>Plant at Langelsheim</t>
  </si>
  <si>
    <t>Barite</t>
  </si>
  <si>
    <t>Sachtleben Bergbau GmbH</t>
  </si>
  <si>
    <t>Wolkenhügel mine in the Harz Mountains and</t>
  </si>
  <si>
    <t xml:space="preserve"> plant at Bad Lauterberg </t>
  </si>
  <si>
    <t>Bentonite</t>
  </si>
  <si>
    <t>Süd-Chemie AG</t>
  </si>
  <si>
    <t>Plants at Moosburg, Duisburg, and Heufeld</t>
  </si>
  <si>
    <t xml:space="preserve">Kärlicher Ton- und Schamotte-Werke </t>
  </si>
  <si>
    <t>Mannheim &amp; Co. KG (KTS)</t>
  </si>
  <si>
    <t>Cement</t>
  </si>
  <si>
    <t>HeidelbergCement AG</t>
  </si>
  <si>
    <t>SCHWENK Zement KG</t>
  </si>
  <si>
    <t>Chalk</t>
  </si>
  <si>
    <t>Vereinigte Kreidewerke Dammann KG</t>
  </si>
  <si>
    <t>Coal, anthracite and bituminous</t>
  </si>
  <si>
    <t>Deutsche Steinkohle AG</t>
  </si>
  <si>
    <t>do.</t>
  </si>
  <si>
    <t>Refinery at Hamburg</t>
  </si>
  <si>
    <t xml:space="preserve">Hüttenwerke Kayser AG (Norddeutsche </t>
  </si>
  <si>
    <t>Affinerie AG, 100%)</t>
  </si>
  <si>
    <t>Fluorspar</t>
  </si>
  <si>
    <t>Graphit Kropfmühl AG</t>
  </si>
  <si>
    <t>Plants at Bad Godesberg and Wedel, Holstein</t>
  </si>
  <si>
    <t>Gypsum</t>
  </si>
  <si>
    <t xml:space="preserve">VG-ORTH GmbH &amp; Co. KG </t>
  </si>
  <si>
    <t>Gyproc GmbH Baustoff Production &amp; Co. KG</t>
  </si>
  <si>
    <t>Mines and plant in Lower Saxony</t>
  </si>
  <si>
    <t>See footnotes at end of table.</t>
  </si>
  <si>
    <t>TABLE 2--Continued</t>
  </si>
  <si>
    <t>Kaolin</t>
  </si>
  <si>
    <t>GmbH &amp; Co. KG (Quarzwerke GmbH, 100%)</t>
  </si>
  <si>
    <t>Limestone</t>
  </si>
  <si>
    <t>Harz-Kalk GmbH</t>
  </si>
  <si>
    <t>Kalkwerk Bad Kösen GmbH</t>
  </si>
  <si>
    <t>Fels-Werke GmbH</t>
  </si>
  <si>
    <t>Quarry at Kaltes Tal</t>
  </si>
  <si>
    <t>Schäfer Kalk GmbH &amp; Co KG</t>
  </si>
  <si>
    <t>Lead</t>
  </si>
  <si>
    <t>Metaleurop Weser GmbH</t>
  </si>
  <si>
    <t>(Metaleurop S.A., 100%)</t>
  </si>
  <si>
    <t>Berzelius Metall GmbH</t>
  </si>
  <si>
    <t>at Braubach am Rhein and Freiberg/Sachsen</t>
  </si>
  <si>
    <t>Sudamin MHD GmbH</t>
  </si>
  <si>
    <t>Refinery at Duisburg</t>
  </si>
  <si>
    <t>Norddeutsche Affinerie AG</t>
  </si>
  <si>
    <t>Lignite</t>
  </si>
  <si>
    <t>RWE Power Aktiengesellschaft</t>
  </si>
  <si>
    <t>Garzweiler, Inden, and Hambach</t>
  </si>
  <si>
    <t>Vattenfall Europe Mining AG</t>
  </si>
  <si>
    <t>Norsk Hydro Magnesiumgesellschaft GmbH</t>
  </si>
  <si>
    <t>Natural gas</t>
  </si>
  <si>
    <t>million cubic meters</t>
  </si>
  <si>
    <t>BEB Erdgas-Erdöl GmbH (ExxonMobil</t>
  </si>
  <si>
    <t>Plants at Clenze and Grossenkmeten</t>
  </si>
  <si>
    <t>Central Europe Holding GmbH, 50%)</t>
  </si>
  <si>
    <t>Mobil Erdgas-Erdöl GmbH (ExxonMobil</t>
  </si>
  <si>
    <t>Plants at Scholen</t>
  </si>
  <si>
    <t>Central Europe Holding GmbH, 100%)</t>
  </si>
  <si>
    <t>Crude</t>
  </si>
  <si>
    <t>The largest companies were:</t>
  </si>
  <si>
    <t>6 areas with about 85 oilfields, including:</t>
  </si>
  <si>
    <t>thousand 42-gallon barrels</t>
  </si>
  <si>
    <t>West of Ems River</t>
  </si>
  <si>
    <t>Wintershall AG (BASF AG, 100%)</t>
  </si>
  <si>
    <t>Weser-Ems Rivers</t>
  </si>
  <si>
    <t>Deutsche Texaco AG</t>
  </si>
  <si>
    <t>Elbe-Weser Rivers</t>
  </si>
  <si>
    <t>Refined</t>
  </si>
  <si>
    <t>About 20 refineries, including:</t>
  </si>
  <si>
    <t>Deutsche Shell AG</t>
  </si>
  <si>
    <t>Refineries at Godorf, Hamburg, and Grasbrook</t>
  </si>
  <si>
    <t>Esso Deutschland GmbH (ExxonMobil</t>
  </si>
  <si>
    <t>Refineries at Karlsruhe and Ingolstadt</t>
  </si>
  <si>
    <t xml:space="preserve">Ruhr Oel GmbH (Petróleos de Venezuela </t>
  </si>
  <si>
    <t>Refinery at Gelsenkirchen</t>
  </si>
  <si>
    <t>S.A., 50%, and BP Gelsenkirchen GmbH, 50%)</t>
  </si>
  <si>
    <t>BAYERNOIL Raffineriegesellschaft mbH</t>
  </si>
  <si>
    <t>Refinery at Neustadt-Donau</t>
  </si>
  <si>
    <t>(OMV AG, 45%; Ruhr Oel GmbH, 25%;</t>
  </si>
  <si>
    <t>AGIP Deutschland GmbH, 20%;</t>
  </si>
  <si>
    <t>Deutsche BP AG, 10%)</t>
  </si>
  <si>
    <t>Mines at Bergmannssegen-Hugo, Niedersachen-</t>
  </si>
  <si>
    <t>Riedel, Salzdetfurth, Sigmundshall, Hattorf,</t>
  </si>
  <si>
    <t>Neuhof-Ellers, Sondershausen, and Wintershall</t>
  </si>
  <si>
    <t>Salt (rock)</t>
  </si>
  <si>
    <t>Mines at Bad Friedrichshall-Kochendorf,</t>
  </si>
  <si>
    <t>Braunschweig-Luneburg, Heilbronn, Riedel,</t>
  </si>
  <si>
    <t>Stetten, and Wesel (Borth)</t>
  </si>
  <si>
    <t>Hüttenwerke Krupp Mannesmann GmbH</t>
  </si>
  <si>
    <t>Salzgitter AG</t>
  </si>
  <si>
    <t>Plants at Peine and Salzgitter</t>
  </si>
  <si>
    <t>Plant at Bremen</t>
  </si>
  <si>
    <t>Ruhr-Zink GmbH</t>
  </si>
  <si>
    <t>Refinery at Datteln</t>
  </si>
  <si>
    <t>Smelter at Duisburg</t>
  </si>
  <si>
    <t>Xstrata plc</t>
  </si>
  <si>
    <t>Smelter at Nordenham</t>
  </si>
  <si>
    <r>
      <t>Potash, 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 content</t>
    </r>
  </si>
  <si>
    <t>(RAG Aktiengesellschaft, 100%)</t>
  </si>
  <si>
    <t>Mine and plant at Stadtoldendorf, and plants at</t>
  </si>
  <si>
    <t xml:space="preserve">Gebrüder Dorfner GmbH &amp; Co Kaolin-und </t>
  </si>
  <si>
    <r>
      <t>2</t>
    </r>
    <r>
      <rPr>
        <sz val="8"/>
        <rFont val="Times"/>
        <family val="1"/>
      </rPr>
      <t>Many more industrial minerals companies are listed in the Industrial Minerals Directory, 2003, but an updated directory had not been published by October 2007.</t>
    </r>
  </si>
  <si>
    <t xml:space="preserve"> 42-gallon barrels</t>
  </si>
  <si>
    <t>thousand</t>
  </si>
  <si>
    <r>
      <t>Ore, run of mine:</t>
    </r>
    <r>
      <rPr>
        <vertAlign val="superscript"/>
        <sz val="8"/>
        <rFont val="Times"/>
        <family val="1"/>
      </rPr>
      <t>3</t>
    </r>
  </si>
  <si>
    <t>Osterode, Spremberg, and Witzenhausen</t>
  </si>
  <si>
    <t>Primary smelter at Stolberg and secondary smelters</t>
  </si>
  <si>
    <t>100%)</t>
  </si>
  <si>
    <t>Silicon, metal</t>
  </si>
  <si>
    <t>Steel, crude</t>
  </si>
  <si>
    <t>Adolf Gottfried Tonwerke GmbH</t>
  </si>
  <si>
    <t>Plant at Duisberg-Huckingen</t>
  </si>
  <si>
    <t xml:space="preserve">Rohstoffgesellschaft GmbH Ponholz </t>
  </si>
  <si>
    <t>RW Silicium GmbH (Graphit Kropfmühl AG, 100%)</t>
  </si>
  <si>
    <t>ThyssenKrupp Steel AG</t>
  </si>
  <si>
    <t>Mannesmannröhren-Werke GmbH, 30%)</t>
  </si>
  <si>
    <t xml:space="preserve">&amp; Mannesmann Tubes SA, 20%; </t>
  </si>
  <si>
    <t>Plant at Dillingen</t>
  </si>
  <si>
    <t>Plant at Bottrop</t>
  </si>
  <si>
    <t xml:space="preserve">Saarstahl AG (Struktur-Holding-Stahl GmbH &amp; Co </t>
  </si>
  <si>
    <t>Bruckhausen and Beeckerwerth plants, near Duisburg</t>
  </si>
  <si>
    <t>Mittal Steel Co. NV</t>
  </si>
  <si>
    <t>Clay, including ball and</t>
  </si>
  <si>
    <t>Stephan Schmidt KG</t>
  </si>
  <si>
    <t>Tonbergbau Grube Anton open pit mine, Dornburg-</t>
  </si>
  <si>
    <t>refractory clays</t>
  </si>
  <si>
    <t>Langendernbach, Müllenbach and Thewald Mines,</t>
  </si>
  <si>
    <t xml:space="preserve">Marx Bergbau GmbH &amp; Co. KG (Stephan </t>
  </si>
  <si>
    <t xml:space="preserve">Lämmersbach and Meudt Mines, Ruppach-Goldhausen </t>
  </si>
  <si>
    <t>Schmidt KG, 100%)</t>
  </si>
  <si>
    <t>Goerg &amp; Schneider GmbH &amp; Co.</t>
  </si>
  <si>
    <t xml:space="preserve">Quarry and main plant at Boden, others at Mogendorf, </t>
  </si>
  <si>
    <t>Goddert, Siershahn, Wirges/Staudt, and Kettenbach/</t>
  </si>
  <si>
    <t>Taunus, Westerwald region; others in Saxony and</t>
  </si>
  <si>
    <t>Eifel regions</t>
  </si>
  <si>
    <t>Mittelhessische Tonbergbau GmbH (Goerg &amp;</t>
  </si>
  <si>
    <t xml:space="preserve">Schneider GmbH &amp; Co., 50%, and Stephan </t>
  </si>
  <si>
    <t>Schmidt KG, 50%)</t>
  </si>
  <si>
    <t>Aufofweiher Mine, Bavaria</t>
  </si>
  <si>
    <t>Quarries and plant near Grossheirath, Coburg, Bavaria</t>
  </si>
  <si>
    <t>Saar Mine, Saar Basin, Saarland</t>
  </si>
  <si>
    <t>Ibbenbüren Mine, Steinfurt District, North Rhine-</t>
  </si>
  <si>
    <t>Westphalia</t>
  </si>
  <si>
    <t>Schwelgern plant at Duisburg</t>
  </si>
  <si>
    <t>Plant at Duisberg-Huckingen steel complex</t>
  </si>
  <si>
    <t>Copper (cathodes)</t>
  </si>
  <si>
    <t>Primary smelter and refinery and secondary plant at</t>
  </si>
  <si>
    <t>Hamburg</t>
  </si>
  <si>
    <t xml:space="preserve">WBB Fuchs GmbH &amp; Co. KG, subsidiary of </t>
  </si>
  <si>
    <t>25 quarries and 8 plants, including 2 at Ransbach and</t>
  </si>
  <si>
    <t>WBB Minerals plc (S.C.R.- Sibelco NV, 100%)</t>
  </si>
  <si>
    <t xml:space="preserve">Westerwald region; also including quarries and </t>
  </si>
  <si>
    <t>Saxony region</t>
  </si>
  <si>
    <t>Petroleum:</t>
  </si>
  <si>
    <t>K+S Kali GmbH (K+S Aktiengesellschaft, 100%)</t>
  </si>
  <si>
    <t>K+S Salz GmbH (K+S Aktiengesellschaft, 100%)</t>
  </si>
  <si>
    <t>Four electric arc furnaces in plant at Pocking</t>
  </si>
  <si>
    <t>Zinc, metal</t>
  </si>
  <si>
    <r>
      <t>e</t>
    </r>
    <r>
      <rPr>
        <sz val="8"/>
        <rFont val="Times"/>
        <family val="1"/>
      </rPr>
      <t>Estimated; estimated data are rounded to no more than three significant digits.  NA Not available.</t>
    </r>
  </si>
  <si>
    <r>
      <t>GERMANY: STRUCTURE OF THE MINERAL INDUSTRY IN 2006</t>
    </r>
    <r>
      <rPr>
        <vertAlign val="superscript"/>
        <sz val="8"/>
        <rFont val="Times"/>
        <family val="1"/>
      </rPr>
      <t>1</t>
    </r>
  </si>
  <si>
    <t>Märker Zement GmbH</t>
  </si>
  <si>
    <t>Plant at Hannover</t>
  </si>
  <si>
    <t>Mergelstetten, and Karlstadt</t>
  </si>
  <si>
    <t>Plants at Harburg and Lauffen</t>
  </si>
  <si>
    <t xml:space="preserve">CEMEX Deutschland AG (CEMEX S.A. de C.V., </t>
  </si>
  <si>
    <t>TEUTONIA Zementwerk AG (HeidelbergCement</t>
  </si>
  <si>
    <t>AG, 94.2%, and other private, 5.8%)</t>
  </si>
  <si>
    <t>Graphite, mine output</t>
  </si>
  <si>
    <r>
      <t>Uranium concentrate, 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0</t>
    </r>
    <r>
      <rPr>
        <vertAlign val="subscript"/>
        <sz val="8"/>
        <rFont val="Times"/>
        <family val="1"/>
      </rPr>
      <t>8</t>
    </r>
    <r>
      <rPr>
        <sz val="8"/>
        <rFont val="Times"/>
        <family val="1"/>
      </rPr>
      <t xml:space="preserve"> content</t>
    </r>
    <r>
      <rPr>
        <vertAlign val="superscript"/>
        <sz val="8"/>
        <rFont val="Times"/>
        <family val="1"/>
      </rPr>
      <t>r</t>
    </r>
  </si>
  <si>
    <t>Lafarge Zement GmbH (Lafarge S.A., 100%)</t>
  </si>
  <si>
    <t xml:space="preserve">Holcim (Deutschland) AG (Holcim Ltd., 88.9%, </t>
  </si>
  <si>
    <t>and other private, 11.1%)</t>
  </si>
  <si>
    <t>Holcim (Baden-Württemberg) AG (Holcim Ltd.,</t>
  </si>
  <si>
    <t>Plant at Dotternhausen</t>
  </si>
  <si>
    <t>Neuwied, and the Amöneburg plant at Wiesbaden</t>
  </si>
  <si>
    <t>Rostock, and the Höver plant at Sehnde</t>
  </si>
  <si>
    <t xml:space="preserve">Leimen, Paderborn, Mainz-Weisenau, and </t>
  </si>
  <si>
    <t xml:space="preserve">Schelklingen; the Lengfurt plant at Triefenstein; </t>
  </si>
  <si>
    <t>and plant at Wetzlar</t>
  </si>
  <si>
    <t>Two plants at Beckum; plants at Dortmund, Duisburg,</t>
  </si>
  <si>
    <t>Plants at Allmendingen, Bernburg, Heidenheim-</t>
  </si>
  <si>
    <t>Arcelor Bremen GmbH (Mittal Steel Co. NV,</t>
  </si>
  <si>
    <t>99.88%, and other private, 0.12%)</t>
  </si>
  <si>
    <t>Arcelor Eisenhüttenstadt GmbH (Mittal Steel Co.</t>
  </si>
  <si>
    <t>NV, 100%)</t>
  </si>
  <si>
    <t>AG der Dillinger Hüttenwerke (Mittal Steel Co.</t>
  </si>
  <si>
    <t>NV, 51.25%; Saarstahl AG, 33.75%; Struktur-</t>
  </si>
  <si>
    <t>Holding-Stahl GmbH &amp; Co KG, 15%)</t>
  </si>
  <si>
    <t xml:space="preserve">Stahlwerk Thüringen GmbH (Alfonso Gallardo </t>
  </si>
  <si>
    <t>S.A., 100%)</t>
  </si>
  <si>
    <t>Plants at Duisburg and Hamburg</t>
  </si>
  <si>
    <t>Badische Stahlwerke GmbH</t>
  </si>
  <si>
    <t>Plant at Kehl</t>
  </si>
  <si>
    <t>FIRE S.p.A, 100%)</t>
  </si>
  <si>
    <t>Hennigsdorfer Elektrostahlwerk GmbH (RIVA</t>
  </si>
  <si>
    <t>Brandenburger Elektrostahlwerk GmbH (RIVA</t>
  </si>
  <si>
    <t>Plant at Brandenburg</t>
  </si>
  <si>
    <t>Plant at Hennigsdorf</t>
  </si>
  <si>
    <t>ThyssenKrupp Nirosta (ThyssenKrupp Steel AG,</t>
  </si>
  <si>
    <t>Georgsmarienhütte GmbH</t>
  </si>
  <si>
    <t>Deutsche Edelstahlwerke GmbH</t>
  </si>
  <si>
    <t>Plants at Bochum and Krefeld</t>
  </si>
  <si>
    <t>Plant at Herbertshofen</t>
  </si>
  <si>
    <t>Plants at Siegen and Witten</t>
  </si>
  <si>
    <t>Plant at Unterwellenborn</t>
  </si>
  <si>
    <t>Lech-Stahlwerke GmbH (Max Aicher GmbH &amp;</t>
  </si>
  <si>
    <t>Co. KG, 100%)</t>
  </si>
  <si>
    <t>Plant at Riesa</t>
  </si>
  <si>
    <t xml:space="preserve">Elbe-Stahlwerke Feralpi GmbH (Feralpi </t>
  </si>
  <si>
    <t>Siderurgica S.p.A., 100%)</t>
  </si>
  <si>
    <t xml:space="preserve">and Rheinwerk at Neuss; Primary rolling mill at </t>
  </si>
  <si>
    <t>Grevenbroich</t>
  </si>
  <si>
    <t>mill at Neuss</t>
  </si>
  <si>
    <t>Plant at Deizisau</t>
  </si>
  <si>
    <t>Direct-reduced iron</t>
  </si>
  <si>
    <t>Magnesium, metal, including castings</t>
  </si>
  <si>
    <t>Of lignite, including dust and dried</t>
  </si>
  <si>
    <t>Pitside coking plant at the Prosper-Haniel Mine</t>
  </si>
  <si>
    <t>10%; other institutional investors, 45%; other</t>
  </si>
  <si>
    <t>Plant at Kropfmuehl, Passau</t>
  </si>
  <si>
    <t xml:space="preserve">plants of Kaolin-und Tonwerke Seilitz-Loethain, </t>
  </si>
  <si>
    <t>KG, 74.9%, and Dillinger Hüttenwerke AG, 25.1%)</t>
  </si>
  <si>
    <t>Niobium (columbium):</t>
  </si>
  <si>
    <t>Corus Aluminium Voerde GmbH (Corus Group plc.,</t>
  </si>
  <si>
    <t>Primary smelter at Voerde, North Rhine-Westphalia</t>
  </si>
  <si>
    <t>secondary</t>
  </si>
  <si>
    <t>Magnesium, metal,</t>
  </si>
  <si>
    <t>Norddeutsche Affinerie AG (L. Possehl &amp; Co. mbH,</t>
  </si>
  <si>
    <t>private investors, 45%)</t>
  </si>
  <si>
    <t>Hydro Aluminium Deutschland GmbH, 50%)</t>
  </si>
  <si>
    <t>Aluminium Norf GmbH (Novelis Inc., 50%, and</t>
  </si>
  <si>
    <t xml:space="preserve">Plant at Burglengenfeld; two plants at Ennigerloh; two </t>
  </si>
  <si>
    <t xml:space="preserve">Dyckerhoff AG (Buzzi Unicem SpA, 88.37%, </t>
  </si>
  <si>
    <t>and other private, 11.63%)</t>
  </si>
  <si>
    <t>Clara Mine in the Black Forest and plant at Wolfach,</t>
  </si>
  <si>
    <t>and Dreislar Mine at Medebach-Dreislar</t>
  </si>
  <si>
    <t>Deutsche Baryt-Industrie Dr. Rudolf Alberti GmbH</t>
  </si>
  <si>
    <t>&amp; Co. KG (Sachtleben Bergbau GmbH, 75%,</t>
  </si>
  <si>
    <t>and other private, 25%)</t>
  </si>
  <si>
    <t>Gallium</t>
  </si>
  <si>
    <t>Aluminum salt slag</t>
  </si>
  <si>
    <t>Calcium carbonate, natural, ground</t>
  </si>
  <si>
    <t>Alpha Calcit Fullstoff GmbH &amp; Co. KG</t>
  </si>
  <si>
    <t>Omya GmbH (Omya AG, 100%)</t>
  </si>
  <si>
    <t>Alsa Technologies GmbH (Agor AG, 100%)</t>
  </si>
  <si>
    <t>Ingal plant at Stade</t>
  </si>
  <si>
    <t xml:space="preserve">Geo Gallium S.A. (Mining &amp; Chemical Products </t>
  </si>
  <si>
    <t>Ltd., 50%, and Recapture Metals Inc., 50%)</t>
  </si>
  <si>
    <t>Plants at Hannover, Luenen, and Toeging</t>
  </si>
  <si>
    <t>K+S Entsorgung GmbH (K+S Aktiengesellschaft,</t>
  </si>
  <si>
    <t>Plant at Cologne</t>
  </si>
  <si>
    <t>and another plant near Hamburg</t>
  </si>
  <si>
    <t>Plants at Burgberg, Emden, Lagerdorf, and Sohlde,</t>
  </si>
  <si>
    <t>Aleris Recycling GmbH (Aleris International Inc.,</t>
  </si>
  <si>
    <t>Primary smelter at Hamburg (closed during 2006)</t>
  </si>
  <si>
    <t>REKAL plant at Sigmundshall</t>
  </si>
  <si>
    <t>Augusta Victoria/Blumenthal, Lippe, Ost, Prosper-</t>
  </si>
  <si>
    <t>North Rhine-Westphalia</t>
  </si>
  <si>
    <t>haniel, Walsum, and West Mines, Ruhr region,</t>
  </si>
  <si>
    <t>Coke from domestic coal</t>
  </si>
  <si>
    <t>Coke from imported coal</t>
  </si>
  <si>
    <r>
      <t>1</t>
    </r>
    <r>
      <rPr>
        <sz val="8"/>
        <rFont val="Times"/>
        <family val="1"/>
      </rPr>
      <t>Table includes data available through October 2007.</t>
    </r>
  </si>
  <si>
    <t>mines, Lausatian mining area</t>
  </si>
  <si>
    <t xml:space="preserve">Mitteldeutsche Braunkohlengesellschaft AG </t>
  </si>
  <si>
    <t>Profen and Vereinigtes Schleenhain mines</t>
  </si>
  <si>
    <t>TABLE 1</t>
  </si>
  <si>
    <t>(Metric tons unless otherwise specified)</t>
  </si>
  <si>
    <t>2002</t>
  </si>
  <si>
    <t>2003</t>
  </si>
  <si>
    <t>2004</t>
  </si>
  <si>
    <t>2005</t>
  </si>
  <si>
    <t>2006</t>
  </si>
  <si>
    <t>METALS</t>
  </si>
  <si>
    <t>Aluminum:</t>
  </si>
  <si>
    <t>thousand metric tons</t>
  </si>
  <si>
    <t>r</t>
  </si>
  <si>
    <t>Metal:</t>
  </si>
  <si>
    <t>Primary</t>
  </si>
  <si>
    <t>Secondary</t>
  </si>
  <si>
    <t>Total</t>
  </si>
  <si>
    <t>--</t>
  </si>
  <si>
    <t>2</t>
  </si>
  <si>
    <t>Copper, metal:</t>
  </si>
  <si>
    <t>Smelter:</t>
  </si>
  <si>
    <t>Refined:</t>
  </si>
  <si>
    <t>Iron and steel:</t>
  </si>
  <si>
    <t>Gross weight</t>
  </si>
  <si>
    <t>Fe content</t>
  </si>
  <si>
    <t>Pig iron</t>
  </si>
  <si>
    <t>Ferroalloys:</t>
  </si>
  <si>
    <t>Fluorspar, acid-grade</t>
  </si>
  <si>
    <t>Ferrochromium</t>
  </si>
  <si>
    <t>Semimanufactures</t>
  </si>
  <si>
    <t>Lead, metal, refined:</t>
  </si>
  <si>
    <t>Platinum-group metals, metal, refined</t>
  </si>
  <si>
    <t>kilograms</t>
  </si>
  <si>
    <t>r, 2</t>
  </si>
  <si>
    <t>Tin, alloys</t>
  </si>
  <si>
    <t xml:space="preserve">Zinc, metal: </t>
  </si>
  <si>
    <t>INDUSTRIAL MINERALS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</si>
</sst>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\(#,###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"/>
      <family val="1"/>
    </font>
    <font>
      <sz val="8"/>
      <name val="Times New Roman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vertAlign val="superscript"/>
      <sz val="8"/>
      <name val="Times New Roman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5" fillId="0" borderId="0" xfId="0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3" fontId="4" fillId="0" borderId="0" xfId="0" applyNumberFormat="1" applyFont="1" applyAlignment="1">
      <alignment horizontal="left" vertical="center" indent="1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 horizontal="left" vertical="center" indent="1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/>
    </xf>
    <xf numFmtId="3" fontId="4" fillId="0" borderId="0" xfId="0" applyNumberFormat="1" applyFont="1" applyBorder="1" applyAlignment="1">
      <alignment horizontal="left" vertical="center" indent="1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left" vertical="center" indent="1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/>
    </xf>
    <xf numFmtId="3" fontId="4" fillId="0" borderId="3" xfId="0" applyNumberFormat="1" applyFont="1" applyBorder="1" applyAlignment="1">
      <alignment horizontal="left" vertical="center" indent="1"/>
    </xf>
    <xf numFmtId="0" fontId="6" fillId="0" borderId="3" xfId="0" applyFont="1" applyBorder="1" applyAlignment="1">
      <alignment/>
    </xf>
    <xf numFmtId="3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3" fontId="4" fillId="0" borderId="3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left" vertical="center" indent="2"/>
    </xf>
    <xf numFmtId="3" fontId="4" fillId="0" borderId="1" xfId="0" applyNumberFormat="1" applyFont="1" applyBorder="1" applyAlignment="1">
      <alignment horizontal="left" vertical="center" indent="2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left" vertical="center" indent="2"/>
    </xf>
    <xf numFmtId="3" fontId="4" fillId="0" borderId="2" xfId="0" applyNumberFormat="1" applyFont="1" applyBorder="1" applyAlignment="1">
      <alignment horizontal="left" vertical="center" indent="2"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3" fontId="4" fillId="0" borderId="2" xfId="0" applyNumberFormat="1" applyFont="1" applyBorder="1" applyAlignment="1" quotePrefix="1">
      <alignment horizontal="right" vertical="center"/>
    </xf>
    <xf numFmtId="0" fontId="6" fillId="0" borderId="1" xfId="0" applyFont="1" applyBorder="1" applyAlignment="1">
      <alignment/>
    </xf>
    <xf numFmtId="0" fontId="4" fillId="0" borderId="2" xfId="0" applyFont="1" applyBorder="1" applyAlignment="1" quotePrefix="1">
      <alignment/>
    </xf>
    <xf numFmtId="3" fontId="4" fillId="0" borderId="3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3" xfId="15" applyNumberFormat="1" applyFont="1" applyBorder="1" applyAlignment="1" quotePrefix="1">
      <alignment horizontal="right" vertical="center"/>
    </xf>
    <xf numFmtId="0" fontId="6" fillId="0" borderId="3" xfId="0" applyFont="1" applyBorder="1" applyAlignment="1">
      <alignment vertical="center"/>
    </xf>
    <xf numFmtId="3" fontId="4" fillId="0" borderId="0" xfId="15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indent="1"/>
    </xf>
    <xf numFmtId="3" fontId="4" fillId="0" borderId="3" xfId="16" applyNumberFormat="1" applyFont="1" applyBorder="1" applyAlignment="1">
      <alignment horizontal="right" vertical="center"/>
    </xf>
    <xf numFmtId="3" fontId="4" fillId="0" borderId="4" xfId="15" applyNumberFormat="1" applyFont="1" applyBorder="1" applyAlignment="1">
      <alignment vertical="center"/>
    </xf>
    <xf numFmtId="0" fontId="6" fillId="0" borderId="4" xfId="0" applyFont="1" applyBorder="1" applyAlignment="1" quotePrefix="1">
      <alignment vertical="center"/>
    </xf>
    <xf numFmtId="0" fontId="6" fillId="0" borderId="4" xfId="0" applyFont="1" applyBorder="1" applyAlignment="1">
      <alignment vertical="center"/>
    </xf>
    <xf numFmtId="3" fontId="4" fillId="0" borderId="4" xfId="15" applyNumberFormat="1" applyFont="1" applyBorder="1" applyAlignment="1">
      <alignment horizontal="right" vertical="center"/>
    </xf>
    <xf numFmtId="3" fontId="4" fillId="0" borderId="0" xfId="1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0" xfId="15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indent="2"/>
    </xf>
    <xf numFmtId="0" fontId="6" fillId="0" borderId="0" xfId="0" applyFont="1" applyBorder="1" applyAlignment="1" quotePrefix="1">
      <alignment vertical="center"/>
    </xf>
    <xf numFmtId="3" fontId="4" fillId="0" borderId="1" xfId="15" applyNumberFormat="1" applyFont="1" applyBorder="1" applyAlignment="1">
      <alignment vertical="center"/>
    </xf>
    <xf numFmtId="0" fontId="6" fillId="0" borderId="1" xfId="0" applyFont="1" applyBorder="1" applyAlignment="1" quotePrefix="1">
      <alignment vertical="center"/>
    </xf>
    <xf numFmtId="0" fontId="6" fillId="0" borderId="1" xfId="0" applyFont="1" applyBorder="1" applyAlignment="1">
      <alignment vertical="center"/>
    </xf>
    <xf numFmtId="3" fontId="4" fillId="0" borderId="1" xfId="15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indent="3"/>
    </xf>
    <xf numFmtId="3" fontId="4" fillId="0" borderId="0" xfId="15" applyNumberFormat="1" applyFont="1" applyBorder="1" applyAlignment="1" quotePrefix="1">
      <alignment horizontal="right" vertical="center"/>
    </xf>
    <xf numFmtId="3" fontId="4" fillId="0" borderId="5" xfId="15" applyNumberFormat="1" applyFont="1" applyBorder="1" applyAlignment="1">
      <alignment vertical="center"/>
    </xf>
    <xf numFmtId="0" fontId="6" fillId="0" borderId="5" xfId="0" applyFont="1" applyBorder="1" applyAlignment="1" quotePrefix="1">
      <alignment vertical="center"/>
    </xf>
    <xf numFmtId="3" fontId="4" fillId="0" borderId="5" xfId="15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4" fillId="0" borderId="6" xfId="15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 quotePrefix="1">
      <alignment vertical="center"/>
    </xf>
    <xf numFmtId="0" fontId="4" fillId="0" borderId="0" xfId="0" applyFont="1" applyBorder="1" applyAlignment="1">
      <alignment vertical="center"/>
    </xf>
    <xf numFmtId="3" fontId="4" fillId="0" borderId="4" xfId="15" applyNumberFormat="1" applyFont="1" applyBorder="1" applyAlignment="1" quotePrefix="1">
      <alignment horizontal="right" vertical="center"/>
    </xf>
    <xf numFmtId="3" fontId="4" fillId="0" borderId="1" xfId="15" applyNumberFormat="1" applyFont="1" applyBorder="1" applyAlignment="1" quotePrefix="1">
      <alignment horizontal="right" vertical="center"/>
    </xf>
    <xf numFmtId="3" fontId="4" fillId="0" borderId="1" xfId="16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3"/>
    </xf>
    <xf numFmtId="3" fontId="5" fillId="0" borderId="0" xfId="15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41" fontId="4" fillId="0" borderId="0" xfId="16" applyFont="1" applyBorder="1" applyAlignment="1">
      <alignment horizontal="right" vertical="center"/>
    </xf>
    <xf numFmtId="3" fontId="4" fillId="0" borderId="2" xfId="15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 quotePrefix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0" xfId="15" applyNumberFormat="1" applyFont="1" applyBorder="1" applyAlignment="1">
      <alignment horizontal="center" vertical="center"/>
    </xf>
    <xf numFmtId="0" fontId="4" fillId="0" borderId="0" xfId="21">
      <alignment/>
      <protection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1" xfId="15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4" fillId="0" borderId="2" xfId="15" applyNumberFormat="1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41" fontId="4" fillId="0" borderId="3" xfId="16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0" fontId="4" fillId="0" borderId="0" xfId="15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left" vertical="center" indent="1"/>
    </xf>
    <xf numFmtId="0" fontId="6" fillId="0" borderId="1" xfId="0" applyNumberFormat="1" applyFont="1" applyBorder="1" applyAlignment="1" quotePrefix="1">
      <alignment vertical="center"/>
    </xf>
    <xf numFmtId="0" fontId="6" fillId="0" borderId="1" xfId="0" applyNumberFormat="1" applyFont="1" applyBorder="1" applyAlignment="1">
      <alignment vertical="center"/>
    </xf>
    <xf numFmtId="0" fontId="6" fillId="0" borderId="0" xfId="0" applyNumberFormat="1" applyFont="1" applyBorder="1" applyAlignment="1" quotePrefix="1">
      <alignment vertical="center"/>
    </xf>
    <xf numFmtId="0" fontId="4" fillId="0" borderId="3" xfId="0" applyNumberFormat="1" applyFont="1" applyBorder="1" applyAlignment="1">
      <alignment horizontal="left" vertical="center" indent="2"/>
    </xf>
    <xf numFmtId="0" fontId="4" fillId="0" borderId="3" xfId="0" applyNumberFormat="1" applyFont="1" applyBorder="1" applyAlignment="1">
      <alignment horizontal="left" vertical="center" indent="3"/>
    </xf>
    <xf numFmtId="0" fontId="4" fillId="0" borderId="0" xfId="15" applyNumberFormat="1" applyFont="1" applyBorder="1" applyAlignment="1" quotePrefix="1">
      <alignment horizontal="right" vertical="center"/>
    </xf>
    <xf numFmtId="0" fontId="4" fillId="0" borderId="2" xfId="0" applyNumberFormat="1" applyFont="1" applyBorder="1" applyAlignment="1">
      <alignment horizontal="left" vertical="center" indent="2"/>
    </xf>
    <xf numFmtId="3" fontId="4" fillId="0" borderId="3" xfId="15" applyNumberFormat="1" applyFont="1" applyBorder="1" applyAlignment="1">
      <alignment vertical="center"/>
    </xf>
    <xf numFmtId="0" fontId="6" fillId="0" borderId="3" xfId="0" applyNumberFormat="1" applyFont="1" applyBorder="1" applyAlignment="1" quotePrefix="1">
      <alignment vertical="center"/>
    </xf>
    <xf numFmtId="9" fontId="4" fillId="0" borderId="1" xfId="15" applyNumberFormat="1" applyFont="1" applyBorder="1" applyAlignment="1" quotePrefix="1">
      <alignment horizontal="right" vertical="center"/>
    </xf>
    <xf numFmtId="0" fontId="4" fillId="0" borderId="1" xfId="0" applyNumberFormat="1" applyFont="1" applyBorder="1" applyAlignment="1">
      <alignment horizontal="left" vertical="center" indent="1"/>
    </xf>
    <xf numFmtId="0" fontId="4" fillId="0" borderId="3" xfId="16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3" fontId="4" fillId="0" borderId="2" xfId="15" applyNumberFormat="1" applyFont="1" applyBorder="1" applyAlignment="1" quotePrefix="1">
      <alignment horizontal="right" vertical="center"/>
    </xf>
    <xf numFmtId="0" fontId="6" fillId="0" borderId="2" xfId="0" applyNumberFormat="1" applyFont="1" applyBorder="1" applyAlignment="1" quotePrefix="1">
      <alignment vertical="center"/>
    </xf>
    <xf numFmtId="0" fontId="4" fillId="0" borderId="2" xfId="0" applyNumberFormat="1" applyFont="1" applyBorder="1" applyAlignment="1">
      <alignment horizontal="left" vertical="center" indent="1"/>
    </xf>
    <xf numFmtId="0" fontId="4" fillId="0" borderId="2" xfId="0" applyNumberFormat="1" applyFont="1" applyBorder="1" applyAlignment="1">
      <alignment horizontal="left" vertical="center" indent="3"/>
    </xf>
    <xf numFmtId="0" fontId="4" fillId="0" borderId="0" xfId="0" applyFont="1" applyAlignment="1">
      <alignment horizontal="left" vertical="center" indent="2"/>
    </xf>
    <xf numFmtId="0" fontId="4" fillId="0" borderId="1" xfId="16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indent="2"/>
    </xf>
    <xf numFmtId="0" fontId="4" fillId="0" borderId="2" xfId="0" applyNumberFormat="1" applyFont="1" applyBorder="1" applyAlignment="1" quotePrefix="1">
      <alignment horizontal="right" vertical="center"/>
    </xf>
    <xf numFmtId="3" fontId="4" fillId="0" borderId="0" xfId="0" applyNumberFormat="1" applyFont="1" applyAlignment="1" quotePrefix="1">
      <alignment horizontal="right" vertical="center"/>
    </xf>
    <xf numFmtId="3" fontId="4" fillId="0" borderId="0" xfId="0" applyNumberFormat="1" applyFont="1" applyBorder="1" applyAlignment="1" quotePrefix="1">
      <alignment horizontal="right" vertical="center"/>
    </xf>
    <xf numFmtId="174" fontId="4" fillId="0" borderId="0" xfId="0" applyNumberFormat="1" applyFont="1" applyBorder="1" applyAlignment="1" quotePrefix="1">
      <alignment horizontal="right" vertical="center"/>
    </xf>
    <xf numFmtId="3" fontId="4" fillId="0" borderId="1" xfId="0" applyNumberFormat="1" applyFont="1" applyBorder="1" applyAlignment="1" quotePrefix="1">
      <alignment horizontal="right" vertical="center"/>
    </xf>
    <xf numFmtId="0" fontId="4" fillId="0" borderId="1" xfId="0" applyNumberFormat="1" applyFont="1" applyBorder="1" applyAlignment="1" quotePrefix="1">
      <alignment horizontal="right" vertical="center"/>
    </xf>
    <xf numFmtId="0" fontId="4" fillId="0" borderId="3" xfId="16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right" vertical="center"/>
    </xf>
    <xf numFmtId="0" fontId="4" fillId="0" borderId="1" xfId="16" applyNumberFormat="1" applyFont="1" applyBorder="1" applyAlignment="1">
      <alignment horizontal="right" vertical="center"/>
    </xf>
    <xf numFmtId="0" fontId="4" fillId="0" borderId="2" xfId="16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3" xfId="21" applyBorder="1">
      <alignment/>
      <protection/>
    </xf>
    <xf numFmtId="0" fontId="4" fillId="0" borderId="2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2" xfId="15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15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15" applyNumberFormat="1" applyFont="1" applyBorder="1" applyAlignment="1">
      <alignment vertical="center"/>
    </xf>
    <xf numFmtId="0" fontId="6" fillId="0" borderId="2" xfId="0" applyNumberFormat="1" applyFont="1" applyBorder="1" applyAlignment="1" quotePrefix="1">
      <alignment vertical="center" wrapText="1"/>
    </xf>
    <xf numFmtId="0" fontId="4" fillId="0" borderId="1" xfId="15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" xfId="15" applyNumberFormat="1" applyFont="1" applyBorder="1" applyAlignment="1" quotePrefix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6384" width="8.00390625" style="101" customWidth="1"/>
  </cols>
  <sheetData>
    <row r="1" spans="1:12" ht="11.2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1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11.2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ht="11.25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2" ht="11.2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11.25" customHeight="1">
      <c r="A6" s="187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</row>
    <row r="7" spans="1:12" ht="12" customHeight="1">
      <c r="A7" s="189" t="s">
        <v>115</v>
      </c>
      <c r="B7" s="189"/>
      <c r="C7" s="189"/>
      <c r="D7" s="189"/>
      <c r="E7" s="189"/>
      <c r="F7" s="189"/>
      <c r="G7" s="189"/>
      <c r="H7" s="186"/>
      <c r="I7" s="186"/>
      <c r="J7" s="186"/>
      <c r="K7" s="186"/>
      <c r="L7" s="186"/>
    </row>
    <row r="8" spans="1:12" ht="11.25" customHeight="1">
      <c r="A8" s="188" t="s">
        <v>116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</row>
    <row r="9" spans="1:12" ht="11.25" customHeight="1">
      <c r="A9" s="187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1:12" ht="11.25" customHeight="1">
      <c r="A10" s="187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2" ht="11.25" customHeight="1">
      <c r="A11" s="187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12" ht="11.25" customHeight="1">
      <c r="A12" s="187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</row>
    <row r="13" spans="1:12" ht="11.25" customHeight="1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</row>
    <row r="14" spans="1:12" ht="11.25" customHeight="1">
      <c r="A14" s="187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</row>
    <row r="15" spans="1:12" ht="11.25" customHeight="1">
      <c r="A15" s="187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</row>
    <row r="16" spans="1:12" ht="11.25" customHeight="1">
      <c r="A16" s="188" t="s">
        <v>114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8635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9"/>
  <sheetViews>
    <sheetView workbookViewId="0" topLeftCell="A1">
      <selection activeCell="A1" sqref="A1:N1"/>
    </sheetView>
  </sheetViews>
  <sheetFormatPr defaultColWidth="9.140625" defaultRowHeight="11.25" customHeight="1"/>
  <cols>
    <col min="1" max="1" width="20.28125" style="97" customWidth="1"/>
    <col min="2" max="2" width="17.00390625" style="97" customWidth="1"/>
    <col min="3" max="3" width="1.7109375" style="98" customWidth="1"/>
    <col min="4" max="4" width="1.7109375" style="97" customWidth="1"/>
    <col min="5" max="5" width="8.7109375" style="89" customWidth="1"/>
    <col min="6" max="6" width="2.28125" style="90" customWidth="1"/>
    <col min="7" max="7" width="8.7109375" style="89" customWidth="1"/>
    <col min="8" max="8" width="2.28125" style="90" customWidth="1"/>
    <col min="9" max="9" width="8.7109375" style="89" customWidth="1"/>
    <col min="10" max="10" width="2.28125" style="90" customWidth="1"/>
    <col min="11" max="11" width="8.7109375" style="89" customWidth="1"/>
    <col min="12" max="12" width="2.28125" style="90" customWidth="1"/>
    <col min="13" max="13" width="8.7109375" style="89" customWidth="1"/>
    <col min="14" max="14" width="1.7109375" style="90" customWidth="1"/>
  </cols>
  <sheetData>
    <row r="1" spans="1:14" ht="11.25" customHeight="1">
      <c r="A1" s="155" t="s">
        <v>1003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1.25" customHeight="1">
      <c r="A2" s="155" t="s">
        <v>83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1.2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ht="11.25" customHeight="1">
      <c r="A4" s="155" t="s">
        <v>1004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4" ht="11.2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1:14" ht="11.25" customHeight="1">
      <c r="A6" s="156" t="s">
        <v>713</v>
      </c>
      <c r="B6" s="156"/>
      <c r="C6" s="156"/>
      <c r="D6" s="50"/>
      <c r="E6" s="51" t="s">
        <v>1005</v>
      </c>
      <c r="F6" s="52"/>
      <c r="G6" s="51" t="s">
        <v>1006</v>
      </c>
      <c r="H6" s="52"/>
      <c r="I6" s="51" t="s">
        <v>1007</v>
      </c>
      <c r="J6" s="52"/>
      <c r="K6" s="51" t="s">
        <v>1008</v>
      </c>
      <c r="L6" s="52"/>
      <c r="M6" s="51" t="s">
        <v>1009</v>
      </c>
      <c r="N6" s="52"/>
    </row>
    <row r="7" spans="1:14" ht="11.25" customHeight="1">
      <c r="A7" s="156" t="s">
        <v>1010</v>
      </c>
      <c r="B7" s="156"/>
      <c r="C7" s="156"/>
      <c r="D7" s="47"/>
      <c r="E7" s="53"/>
      <c r="F7" s="54"/>
      <c r="G7" s="53"/>
      <c r="H7" s="54"/>
      <c r="I7" s="53"/>
      <c r="J7" s="54"/>
      <c r="K7" s="53"/>
      <c r="L7" s="54"/>
      <c r="M7" s="53"/>
      <c r="N7" s="54"/>
    </row>
    <row r="8" spans="1:14" ht="11.25" customHeight="1">
      <c r="A8" s="55" t="s">
        <v>1011</v>
      </c>
      <c r="B8" s="50"/>
      <c r="C8" s="8"/>
      <c r="D8" s="47"/>
      <c r="E8" s="53"/>
      <c r="F8" s="54"/>
      <c r="G8" s="53"/>
      <c r="H8" s="54"/>
      <c r="I8" s="53"/>
      <c r="J8" s="54"/>
      <c r="K8" s="53"/>
      <c r="L8" s="54"/>
      <c r="M8" s="53"/>
      <c r="N8" s="54"/>
    </row>
    <row r="9" spans="1:14" ht="11.25" customHeight="1">
      <c r="A9" s="56" t="s">
        <v>84</v>
      </c>
      <c r="B9" s="56"/>
      <c r="C9" s="57" t="s">
        <v>1012</v>
      </c>
      <c r="D9" s="47"/>
      <c r="E9" s="58">
        <v>717</v>
      </c>
      <c r="F9" s="59"/>
      <c r="G9" s="58">
        <v>830</v>
      </c>
      <c r="H9" s="60"/>
      <c r="I9" s="58">
        <v>835</v>
      </c>
      <c r="J9" s="60"/>
      <c r="K9" s="58">
        <v>830</v>
      </c>
      <c r="L9" s="60"/>
      <c r="M9" s="61">
        <v>850</v>
      </c>
      <c r="N9" s="60"/>
    </row>
    <row r="10" spans="1:14" ht="11.25" customHeight="1">
      <c r="A10" s="56" t="s">
        <v>1014</v>
      </c>
      <c r="B10" s="56"/>
      <c r="C10" s="57"/>
      <c r="D10" s="47"/>
      <c r="E10" s="62"/>
      <c r="F10" s="63"/>
      <c r="G10" s="62"/>
      <c r="H10" s="63"/>
      <c r="I10" s="62"/>
      <c r="J10" s="63"/>
      <c r="K10" s="62"/>
      <c r="L10" s="63"/>
      <c r="M10" s="64"/>
      <c r="N10" s="63"/>
    </row>
    <row r="11" spans="1:14" ht="11.25" customHeight="1">
      <c r="A11" s="65" t="s">
        <v>1015</v>
      </c>
      <c r="B11" s="56"/>
      <c r="C11" s="57"/>
      <c r="D11" s="47"/>
      <c r="E11" s="62">
        <v>652845</v>
      </c>
      <c r="F11" s="66"/>
      <c r="G11" s="62">
        <v>660793</v>
      </c>
      <c r="H11" s="66"/>
      <c r="I11" s="62">
        <v>667839</v>
      </c>
      <c r="J11" s="66"/>
      <c r="K11" s="62">
        <v>647934</v>
      </c>
      <c r="L11" s="66"/>
      <c r="M11" s="64">
        <v>515539</v>
      </c>
      <c r="N11" s="66"/>
    </row>
    <row r="12" spans="1:14" ht="11.25" customHeight="1">
      <c r="A12" s="65" t="s">
        <v>1016</v>
      </c>
      <c r="B12" s="56"/>
      <c r="C12" s="57"/>
      <c r="D12" s="47"/>
      <c r="E12" s="67">
        <v>666148</v>
      </c>
      <c r="F12" s="68"/>
      <c r="G12" s="67">
        <v>680385</v>
      </c>
      <c r="H12" s="68"/>
      <c r="I12" s="67">
        <v>703756</v>
      </c>
      <c r="J12" s="68"/>
      <c r="K12" s="67">
        <v>718291</v>
      </c>
      <c r="L12" s="69" t="s">
        <v>1013</v>
      </c>
      <c r="M12" s="70">
        <v>795668</v>
      </c>
      <c r="N12" s="68"/>
    </row>
    <row r="13" spans="1:14" ht="11.25" customHeight="1">
      <c r="A13" s="71" t="s">
        <v>1017</v>
      </c>
      <c r="B13" s="56"/>
      <c r="C13" s="57"/>
      <c r="D13" s="47"/>
      <c r="E13" s="62">
        <f>SUM(E11:E12)</f>
        <v>1318993</v>
      </c>
      <c r="F13" s="66"/>
      <c r="G13" s="62">
        <f>SUM(G11:G12)</f>
        <v>1341178</v>
      </c>
      <c r="H13" s="66"/>
      <c r="I13" s="62">
        <f>SUM(I11:I12)</f>
        <v>1371595</v>
      </c>
      <c r="J13" s="66"/>
      <c r="K13" s="62">
        <f>SUM(K11:K12)</f>
        <v>1366225</v>
      </c>
      <c r="L13" s="63" t="s">
        <v>1013</v>
      </c>
      <c r="M13" s="62">
        <f>SUM(M11:M12)</f>
        <v>1311207</v>
      </c>
      <c r="N13" s="66"/>
    </row>
    <row r="14" spans="1:14" ht="11.25" customHeight="1">
      <c r="A14" s="55" t="s">
        <v>85</v>
      </c>
      <c r="B14" s="56"/>
      <c r="C14" s="57"/>
      <c r="D14" s="47"/>
      <c r="E14" s="72">
        <v>100</v>
      </c>
      <c r="F14" s="66"/>
      <c r="G14" s="72" t="s">
        <v>1018</v>
      </c>
      <c r="H14" s="66"/>
      <c r="I14" s="72" t="s">
        <v>1018</v>
      </c>
      <c r="J14" s="66" t="s">
        <v>1019</v>
      </c>
      <c r="K14" s="72" t="s">
        <v>1018</v>
      </c>
      <c r="L14" s="66" t="s">
        <v>1019</v>
      </c>
      <c r="M14" s="72" t="s">
        <v>1018</v>
      </c>
      <c r="N14" s="66"/>
    </row>
    <row r="15" spans="1:14" ht="11.25" customHeight="1">
      <c r="A15" s="55" t="s">
        <v>86</v>
      </c>
      <c r="B15" s="56"/>
      <c r="C15" s="57"/>
      <c r="D15" s="47"/>
      <c r="E15" s="62">
        <v>422</v>
      </c>
      <c r="F15" s="66" t="s">
        <v>1019</v>
      </c>
      <c r="G15" s="62">
        <v>640</v>
      </c>
      <c r="H15" s="66" t="s">
        <v>1019</v>
      </c>
      <c r="I15" s="62">
        <v>640</v>
      </c>
      <c r="J15" s="66"/>
      <c r="K15" s="62">
        <v>640</v>
      </c>
      <c r="L15" s="66"/>
      <c r="M15" s="64">
        <v>640</v>
      </c>
      <c r="N15" s="66"/>
    </row>
    <row r="16" spans="1:14" ht="11.25" customHeight="1">
      <c r="A16" s="55" t="s">
        <v>1020</v>
      </c>
      <c r="B16" s="56"/>
      <c r="C16" s="57"/>
      <c r="D16" s="47"/>
      <c r="E16" s="58"/>
      <c r="F16" s="60"/>
      <c r="G16" s="58"/>
      <c r="H16" s="60"/>
      <c r="I16" s="58"/>
      <c r="J16" s="60"/>
      <c r="K16" s="58"/>
      <c r="L16" s="60"/>
      <c r="M16" s="58"/>
      <c r="N16" s="60"/>
    </row>
    <row r="17" spans="1:14" ht="11.25" customHeight="1">
      <c r="A17" s="56" t="s">
        <v>1021</v>
      </c>
      <c r="B17" s="56"/>
      <c r="C17" s="57"/>
      <c r="D17" s="47"/>
      <c r="E17" s="62"/>
      <c r="F17" s="63"/>
      <c r="G17" s="62"/>
      <c r="H17" s="63"/>
      <c r="I17" s="62"/>
      <c r="J17" s="63"/>
      <c r="K17" s="62"/>
      <c r="L17" s="63"/>
      <c r="M17" s="62"/>
      <c r="N17" s="63"/>
    </row>
    <row r="18" spans="1:14" ht="11.25" customHeight="1">
      <c r="A18" s="65" t="s">
        <v>1015</v>
      </c>
      <c r="B18" s="56"/>
      <c r="C18" s="57"/>
      <c r="D18" s="47"/>
      <c r="E18" s="62">
        <v>295100</v>
      </c>
      <c r="F18" s="66"/>
      <c r="G18" s="62">
        <v>288800</v>
      </c>
      <c r="H18" s="66"/>
      <c r="I18" s="62">
        <v>278600</v>
      </c>
      <c r="J18" s="66"/>
      <c r="K18" s="62">
        <v>257200</v>
      </c>
      <c r="L18" s="66"/>
      <c r="M18" s="64">
        <v>273800</v>
      </c>
      <c r="N18" s="66"/>
    </row>
    <row r="19" spans="1:14" ht="11.25" customHeight="1">
      <c r="A19" s="65" t="s">
        <v>1016</v>
      </c>
      <c r="B19" s="56"/>
      <c r="C19" s="57"/>
      <c r="D19" s="47"/>
      <c r="E19" s="62">
        <v>283100</v>
      </c>
      <c r="F19" s="66"/>
      <c r="G19" s="62">
        <v>306600</v>
      </c>
      <c r="H19" s="66"/>
      <c r="I19" s="62">
        <v>262600</v>
      </c>
      <c r="J19" s="66"/>
      <c r="K19" s="62">
        <v>251400</v>
      </c>
      <c r="L19" s="66"/>
      <c r="M19" s="64">
        <v>266300</v>
      </c>
      <c r="N19" s="66"/>
    </row>
    <row r="20" spans="1:14" ht="11.25" customHeight="1">
      <c r="A20" s="71" t="s">
        <v>1017</v>
      </c>
      <c r="B20" s="56"/>
      <c r="C20" s="57"/>
      <c r="D20" s="47"/>
      <c r="E20" s="73">
        <f>SUM(E18:E19)</f>
        <v>578200</v>
      </c>
      <c r="F20" s="74"/>
      <c r="G20" s="73">
        <f>SUM(G18:G19)</f>
        <v>595400</v>
      </c>
      <c r="H20" s="74"/>
      <c r="I20" s="73">
        <f>SUM(I18:I19)</f>
        <v>541200</v>
      </c>
      <c r="J20" s="74"/>
      <c r="K20" s="73">
        <f>SUM(K18:K19)</f>
        <v>508600</v>
      </c>
      <c r="L20" s="74"/>
      <c r="M20" s="75">
        <v>540100</v>
      </c>
      <c r="N20" s="74"/>
    </row>
    <row r="21" spans="1:14" ht="11.25" customHeight="1">
      <c r="A21" s="56" t="s">
        <v>1022</v>
      </c>
      <c r="B21" s="56"/>
      <c r="C21" s="57"/>
      <c r="D21" s="47"/>
      <c r="E21" s="62"/>
      <c r="F21" s="63"/>
      <c r="G21" s="62"/>
      <c r="H21" s="63"/>
      <c r="I21" s="62"/>
      <c r="J21" s="63"/>
      <c r="K21" s="62"/>
      <c r="L21" s="63"/>
      <c r="M21" s="62"/>
      <c r="N21" s="63"/>
    </row>
    <row r="22" spans="1:14" ht="11.25" customHeight="1">
      <c r="A22" s="65" t="s">
        <v>1015</v>
      </c>
      <c r="B22" s="56"/>
      <c r="C22" s="57"/>
      <c r="D22" s="47"/>
      <c r="E22" s="62">
        <v>327000</v>
      </c>
      <c r="F22" s="66"/>
      <c r="G22" s="62">
        <v>286653</v>
      </c>
      <c r="H22" s="66"/>
      <c r="I22" s="62">
        <v>283686</v>
      </c>
      <c r="J22" s="66"/>
      <c r="K22" s="62">
        <v>293812</v>
      </c>
      <c r="L22" s="63" t="s">
        <v>1013</v>
      </c>
      <c r="M22" s="64">
        <v>312092</v>
      </c>
      <c r="N22" s="66"/>
    </row>
    <row r="23" spans="1:14" ht="11.25" customHeight="1">
      <c r="A23" s="65" t="s">
        <v>1016</v>
      </c>
      <c r="B23" s="56"/>
      <c r="C23" s="57"/>
      <c r="D23" s="47"/>
      <c r="E23" s="67">
        <v>368791</v>
      </c>
      <c r="F23" s="68"/>
      <c r="G23" s="67">
        <v>310925</v>
      </c>
      <c r="H23" s="68"/>
      <c r="I23" s="67">
        <v>368956</v>
      </c>
      <c r="J23" s="68"/>
      <c r="K23" s="67">
        <v>344446</v>
      </c>
      <c r="L23" s="69" t="s">
        <v>1013</v>
      </c>
      <c r="M23" s="70">
        <v>350246</v>
      </c>
      <c r="N23" s="68"/>
    </row>
    <row r="24" spans="1:14" ht="11.25" customHeight="1">
      <c r="A24" s="71" t="s">
        <v>1017</v>
      </c>
      <c r="B24" s="56"/>
      <c r="C24" s="57"/>
      <c r="D24" s="47"/>
      <c r="E24" s="62">
        <f>SUM(E22:E23)</f>
        <v>695791</v>
      </c>
      <c r="F24" s="66"/>
      <c r="G24" s="62">
        <f>SUM(G22:G23)</f>
        <v>597578</v>
      </c>
      <c r="H24" s="66"/>
      <c r="I24" s="62">
        <f>SUM(I22:I23)</f>
        <v>652642</v>
      </c>
      <c r="J24" s="66"/>
      <c r="K24" s="62">
        <f>SUM(K22:K23)</f>
        <v>638258</v>
      </c>
      <c r="L24" s="63" t="s">
        <v>1013</v>
      </c>
      <c r="M24" s="62">
        <f>SUM(M22:M23)</f>
        <v>662338</v>
      </c>
      <c r="N24" s="66"/>
    </row>
    <row r="25" spans="1:14" ht="11.25" customHeight="1">
      <c r="A25" s="50" t="s">
        <v>87</v>
      </c>
      <c r="B25" s="56"/>
      <c r="C25" s="57"/>
      <c r="D25" s="47"/>
      <c r="E25" s="62">
        <v>12</v>
      </c>
      <c r="F25" s="66"/>
      <c r="G25" s="62">
        <v>12</v>
      </c>
      <c r="H25" s="66"/>
      <c r="I25" s="62">
        <v>12</v>
      </c>
      <c r="J25" s="66"/>
      <c r="K25" s="62">
        <v>12</v>
      </c>
      <c r="L25" s="63"/>
      <c r="M25" s="62">
        <v>12</v>
      </c>
      <c r="N25" s="66"/>
    </row>
    <row r="26" spans="1:14" ht="11.25" customHeight="1">
      <c r="A26" s="55" t="s">
        <v>1023</v>
      </c>
      <c r="B26" s="56"/>
      <c r="C26" s="57"/>
      <c r="D26" s="47"/>
      <c r="E26" s="62"/>
      <c r="F26" s="63"/>
      <c r="G26" s="62"/>
      <c r="H26" s="63"/>
      <c r="I26" s="62"/>
      <c r="J26" s="63"/>
      <c r="K26" s="62"/>
      <c r="L26" s="63"/>
      <c r="M26" s="62"/>
      <c r="N26" s="63"/>
    </row>
    <row r="27" spans="1:14" ht="11.25" customHeight="1">
      <c r="A27" s="56" t="s">
        <v>842</v>
      </c>
      <c r="B27" s="56"/>
      <c r="C27" s="57"/>
      <c r="D27" s="47"/>
      <c r="E27" s="62"/>
      <c r="F27" s="63"/>
      <c r="G27" s="62"/>
      <c r="H27" s="63"/>
      <c r="I27" s="62"/>
      <c r="J27" s="63"/>
      <c r="K27" s="62"/>
      <c r="L27" s="63"/>
      <c r="M27" s="62"/>
      <c r="N27" s="63"/>
    </row>
    <row r="28" spans="1:14" ht="11.25" customHeight="1">
      <c r="A28" s="65" t="s">
        <v>1024</v>
      </c>
      <c r="B28" s="56"/>
      <c r="C28" s="57" t="s">
        <v>1012</v>
      </c>
      <c r="D28" s="47"/>
      <c r="E28" s="62">
        <v>419</v>
      </c>
      <c r="F28" s="63"/>
      <c r="G28" s="62">
        <v>429</v>
      </c>
      <c r="H28" s="63"/>
      <c r="I28" s="62">
        <v>412</v>
      </c>
      <c r="J28" s="63"/>
      <c r="K28" s="62">
        <v>362</v>
      </c>
      <c r="L28" s="63"/>
      <c r="M28" s="64">
        <v>412</v>
      </c>
      <c r="N28" s="63"/>
    </row>
    <row r="29" spans="1:14" ht="11.25" customHeight="1">
      <c r="A29" s="65" t="s">
        <v>1025</v>
      </c>
      <c r="B29" s="56"/>
      <c r="C29" s="57" t="s">
        <v>754</v>
      </c>
      <c r="D29" s="47"/>
      <c r="E29" s="62">
        <v>59</v>
      </c>
      <c r="F29" s="63"/>
      <c r="G29" s="62">
        <v>60</v>
      </c>
      <c r="H29" s="63"/>
      <c r="I29" s="62">
        <v>58</v>
      </c>
      <c r="J29" s="63"/>
      <c r="K29" s="62">
        <v>38</v>
      </c>
      <c r="L29" s="63"/>
      <c r="M29" s="64">
        <v>44</v>
      </c>
      <c r="N29" s="63"/>
    </row>
    <row r="30" spans="1:14" ht="11.25" customHeight="1">
      <c r="A30" s="56" t="s">
        <v>1014</v>
      </c>
      <c r="B30" s="56"/>
      <c r="C30" s="57"/>
      <c r="D30" s="47"/>
      <c r="E30" s="62"/>
      <c r="F30" s="63"/>
      <c r="G30" s="62"/>
      <c r="H30" s="63"/>
      <c r="I30" s="62"/>
      <c r="J30" s="63"/>
      <c r="K30" s="62"/>
      <c r="L30" s="63"/>
      <c r="M30" s="62"/>
      <c r="N30" s="63"/>
    </row>
    <row r="31" spans="1:14" ht="11.25" customHeight="1">
      <c r="A31" s="65" t="s">
        <v>1026</v>
      </c>
      <c r="B31" s="56"/>
      <c r="C31" s="57" t="s">
        <v>754</v>
      </c>
      <c r="D31" s="47"/>
      <c r="E31" s="62">
        <v>29427</v>
      </c>
      <c r="F31" s="66"/>
      <c r="G31" s="62">
        <v>29461</v>
      </c>
      <c r="H31" s="66"/>
      <c r="I31" s="62">
        <v>30018</v>
      </c>
      <c r="J31" s="66"/>
      <c r="K31" s="62">
        <v>28854</v>
      </c>
      <c r="L31" s="66"/>
      <c r="M31" s="62">
        <v>30362</v>
      </c>
      <c r="N31" s="66"/>
    </row>
    <row r="32" spans="1:14" ht="11.25" customHeight="1">
      <c r="A32" s="65" t="s">
        <v>952</v>
      </c>
      <c r="B32" s="56"/>
      <c r="C32" s="57" t="s">
        <v>754</v>
      </c>
      <c r="D32" s="47"/>
      <c r="E32" s="62">
        <v>540</v>
      </c>
      <c r="F32" s="66"/>
      <c r="G32" s="62">
        <v>590</v>
      </c>
      <c r="H32" s="66"/>
      <c r="I32" s="62">
        <v>593</v>
      </c>
      <c r="J32" s="63" t="s">
        <v>1013</v>
      </c>
      <c r="K32" s="62">
        <v>440</v>
      </c>
      <c r="L32" s="63" t="s">
        <v>1013</v>
      </c>
      <c r="M32" s="62">
        <v>580</v>
      </c>
      <c r="N32" s="63"/>
    </row>
    <row r="33" spans="1:14" ht="11.25" customHeight="1">
      <c r="A33" s="65" t="s">
        <v>1027</v>
      </c>
      <c r="B33" s="56"/>
      <c r="C33" s="57"/>
      <c r="D33" s="47"/>
      <c r="E33" s="62"/>
      <c r="F33" s="63"/>
      <c r="G33" s="62"/>
      <c r="H33" s="63"/>
      <c r="I33" s="62"/>
      <c r="J33" s="63"/>
      <c r="K33" s="62"/>
      <c r="L33" s="63"/>
      <c r="M33" s="62"/>
      <c r="N33" s="63"/>
    </row>
    <row r="34" spans="1:14" ht="11.25" customHeight="1">
      <c r="A34" s="71" t="s">
        <v>1029</v>
      </c>
      <c r="B34" s="56"/>
      <c r="C34" s="57"/>
      <c r="D34" s="47"/>
      <c r="E34" s="62">
        <v>20018</v>
      </c>
      <c r="F34" s="66"/>
      <c r="G34" s="62">
        <v>18318</v>
      </c>
      <c r="H34" s="66"/>
      <c r="I34" s="62">
        <v>24857</v>
      </c>
      <c r="J34" s="63"/>
      <c r="K34" s="62">
        <v>22672</v>
      </c>
      <c r="L34" s="63"/>
      <c r="M34" s="64">
        <v>26710</v>
      </c>
      <c r="N34" s="63"/>
    </row>
    <row r="35" spans="1:14" ht="11.25" customHeight="1">
      <c r="A35" s="71" t="s">
        <v>88</v>
      </c>
      <c r="B35" s="56"/>
      <c r="C35" s="57"/>
      <c r="D35" s="47"/>
      <c r="E35" s="62">
        <v>30000</v>
      </c>
      <c r="F35" s="66"/>
      <c r="G35" s="62">
        <v>32000</v>
      </c>
      <c r="H35" s="66"/>
      <c r="I35" s="62">
        <v>26000</v>
      </c>
      <c r="J35" s="63"/>
      <c r="K35" s="62">
        <v>25000</v>
      </c>
      <c r="L35" s="63"/>
      <c r="M35" s="64">
        <v>20500</v>
      </c>
      <c r="N35" s="63"/>
    </row>
    <row r="36" spans="1:14" ht="11.25" customHeight="1">
      <c r="A36" s="65" t="s">
        <v>847</v>
      </c>
      <c r="B36" s="56"/>
      <c r="C36" s="57" t="s">
        <v>1012</v>
      </c>
      <c r="D36" s="47"/>
      <c r="E36" s="62">
        <v>45015</v>
      </c>
      <c r="F36" s="66"/>
      <c r="G36" s="62">
        <v>44809</v>
      </c>
      <c r="H36" s="66"/>
      <c r="I36" s="62">
        <v>46374</v>
      </c>
      <c r="J36" s="63"/>
      <c r="K36" s="62">
        <v>44524</v>
      </c>
      <c r="L36" s="63"/>
      <c r="M36" s="62">
        <v>47224</v>
      </c>
      <c r="N36" s="63"/>
    </row>
    <row r="37" spans="1:14" ht="11.25" customHeight="1">
      <c r="A37" s="65" t="s">
        <v>1030</v>
      </c>
      <c r="B37" s="56"/>
      <c r="C37" s="57" t="s">
        <v>754</v>
      </c>
      <c r="D37" s="47"/>
      <c r="E37" s="58">
        <v>37763</v>
      </c>
      <c r="F37" s="59"/>
      <c r="G37" s="58">
        <v>37174</v>
      </c>
      <c r="H37" s="59"/>
      <c r="I37" s="58">
        <v>39976</v>
      </c>
      <c r="J37" s="59"/>
      <c r="K37" s="58">
        <v>37771</v>
      </c>
      <c r="L37" s="59"/>
      <c r="M37" s="61">
        <v>41174</v>
      </c>
      <c r="N37" s="59"/>
    </row>
    <row r="38" spans="1:14" ht="11.25" customHeight="1">
      <c r="A38" s="55" t="s">
        <v>1031</v>
      </c>
      <c r="B38" s="56"/>
      <c r="C38" s="57"/>
      <c r="D38" s="47"/>
      <c r="E38" s="62"/>
      <c r="F38" s="63"/>
      <c r="G38" s="62"/>
      <c r="H38" s="63"/>
      <c r="I38" s="62"/>
      <c r="J38" s="63"/>
      <c r="K38" s="62"/>
      <c r="L38" s="63"/>
      <c r="M38" s="62"/>
      <c r="N38" s="63"/>
    </row>
    <row r="39" spans="1:14" ht="11.25" customHeight="1">
      <c r="A39" s="56" t="s">
        <v>1015</v>
      </c>
      <c r="B39" s="56"/>
      <c r="C39" s="57"/>
      <c r="D39" s="47"/>
      <c r="E39" s="62">
        <v>141202</v>
      </c>
      <c r="F39" s="63"/>
      <c r="G39" s="62">
        <v>132155</v>
      </c>
      <c r="H39" s="63"/>
      <c r="I39" s="62">
        <v>115869</v>
      </c>
      <c r="J39" s="66"/>
      <c r="K39" s="62">
        <v>118778</v>
      </c>
      <c r="L39" s="66"/>
      <c r="M39" s="64">
        <v>100450</v>
      </c>
      <c r="N39" s="66"/>
    </row>
    <row r="40" spans="1:14" ht="11.25" customHeight="1">
      <c r="A40" s="56" t="s">
        <v>1016</v>
      </c>
      <c r="B40" s="56"/>
      <c r="C40" s="57"/>
      <c r="D40" s="47"/>
      <c r="E40" s="67">
        <f>E41-E39</f>
        <v>238700</v>
      </c>
      <c r="F40" s="76">
        <v>5</v>
      </c>
      <c r="G40" s="67">
        <v>224700</v>
      </c>
      <c r="H40" s="76">
        <v>5</v>
      </c>
      <c r="I40" s="67">
        <v>243304</v>
      </c>
      <c r="J40" s="68"/>
      <c r="K40" s="67">
        <v>222932</v>
      </c>
      <c r="L40" s="68"/>
      <c r="M40" s="70">
        <v>221050</v>
      </c>
      <c r="N40" s="68"/>
    </row>
    <row r="41" spans="1:14" ht="11.25" customHeight="1">
      <c r="A41" s="65" t="s">
        <v>1017</v>
      </c>
      <c r="B41" s="56"/>
      <c r="C41" s="57"/>
      <c r="D41" s="47"/>
      <c r="E41" s="62">
        <v>379902</v>
      </c>
      <c r="F41" s="66"/>
      <c r="G41" s="62">
        <v>356900</v>
      </c>
      <c r="H41" s="66"/>
      <c r="I41" s="62">
        <f>SUM(I39:I40)</f>
        <v>359173</v>
      </c>
      <c r="J41" s="66"/>
      <c r="K41" s="62">
        <f>SUM(K39:K40)</f>
        <v>341710</v>
      </c>
      <c r="L41" s="66"/>
      <c r="M41" s="62">
        <f>SUM(M39:M40)</f>
        <v>321500</v>
      </c>
      <c r="N41" s="66"/>
    </row>
    <row r="42" spans="1:14" ht="11.25" customHeight="1">
      <c r="A42" s="55" t="s">
        <v>953</v>
      </c>
      <c r="B42" s="56"/>
      <c r="C42" s="57"/>
      <c r="D42" s="47"/>
      <c r="E42" s="62">
        <v>24506</v>
      </c>
      <c r="F42" s="66"/>
      <c r="G42" s="62">
        <v>25987</v>
      </c>
      <c r="H42" s="66"/>
      <c r="I42" s="62">
        <v>26591</v>
      </c>
      <c r="J42" s="66"/>
      <c r="K42" s="62">
        <v>27282</v>
      </c>
      <c r="L42" s="63" t="s">
        <v>1013</v>
      </c>
      <c r="M42" s="64">
        <v>30556</v>
      </c>
      <c r="N42" s="66"/>
    </row>
    <row r="43" spans="1:14" ht="11.25" customHeight="1">
      <c r="A43" s="55" t="s">
        <v>1032</v>
      </c>
      <c r="B43" s="56"/>
      <c r="C43" s="57" t="s">
        <v>1033</v>
      </c>
      <c r="D43" s="47"/>
      <c r="E43" s="62">
        <v>35561</v>
      </c>
      <c r="F43" s="63"/>
      <c r="G43" s="62">
        <v>51847</v>
      </c>
      <c r="H43" s="63"/>
      <c r="I43" s="62">
        <v>95135</v>
      </c>
      <c r="J43" s="63"/>
      <c r="K43" s="62">
        <v>104725</v>
      </c>
      <c r="L43" s="63"/>
      <c r="M43" s="64">
        <v>100000</v>
      </c>
      <c r="N43" s="63" t="s">
        <v>733</v>
      </c>
    </row>
    <row r="44" spans="1:14" ht="11.25" customHeight="1">
      <c r="A44" s="55" t="s">
        <v>89</v>
      </c>
      <c r="B44" s="65"/>
      <c r="C44" s="57"/>
      <c r="D44" s="47"/>
      <c r="E44" s="62">
        <v>600</v>
      </c>
      <c r="F44" s="63" t="s">
        <v>1013</v>
      </c>
      <c r="G44" s="62">
        <v>661</v>
      </c>
      <c r="H44" s="77" t="s">
        <v>1034</v>
      </c>
      <c r="I44" s="62">
        <v>1000</v>
      </c>
      <c r="J44" s="63" t="s">
        <v>1013</v>
      </c>
      <c r="K44" s="62">
        <v>2000</v>
      </c>
      <c r="L44" s="63" t="s">
        <v>1013</v>
      </c>
      <c r="M44" s="64">
        <v>2500</v>
      </c>
      <c r="N44" s="63"/>
    </row>
    <row r="45" spans="1:14" ht="11.25" customHeight="1">
      <c r="A45" s="55" t="s">
        <v>846</v>
      </c>
      <c r="B45" s="65"/>
      <c r="C45" s="57"/>
      <c r="D45" s="47"/>
      <c r="E45" s="62">
        <v>25257</v>
      </c>
      <c r="F45" s="66"/>
      <c r="G45" s="62">
        <v>27870</v>
      </c>
      <c r="H45" s="63" t="s">
        <v>1013</v>
      </c>
      <c r="I45" s="62">
        <v>28773</v>
      </c>
      <c r="J45" s="63" t="s">
        <v>1013</v>
      </c>
      <c r="K45" s="62">
        <v>29349</v>
      </c>
      <c r="L45" s="63" t="s">
        <v>1013</v>
      </c>
      <c r="M45" s="64">
        <v>30000</v>
      </c>
      <c r="N45" s="63"/>
    </row>
    <row r="46" spans="1:14" ht="11.25" customHeight="1">
      <c r="A46" s="55" t="s">
        <v>52</v>
      </c>
      <c r="B46" s="71"/>
      <c r="C46" s="57"/>
      <c r="D46" s="47"/>
      <c r="E46" s="62">
        <v>520</v>
      </c>
      <c r="F46" s="63"/>
      <c r="G46" s="62">
        <v>592</v>
      </c>
      <c r="H46" s="63"/>
      <c r="I46" s="62">
        <v>568</v>
      </c>
      <c r="J46" s="66"/>
      <c r="K46" s="62">
        <v>546</v>
      </c>
      <c r="L46" s="66"/>
      <c r="M46" s="64">
        <v>424</v>
      </c>
      <c r="N46" s="66"/>
    </row>
    <row r="47" spans="1:14" ht="11.25" customHeight="1">
      <c r="A47" s="55" t="s">
        <v>1035</v>
      </c>
      <c r="B47" s="71"/>
      <c r="C47" s="57"/>
      <c r="D47" s="47"/>
      <c r="E47" s="62">
        <v>11447</v>
      </c>
      <c r="F47" s="63"/>
      <c r="G47" s="62">
        <v>6143</v>
      </c>
      <c r="H47" s="63"/>
      <c r="I47" s="62">
        <v>5431</v>
      </c>
      <c r="J47" s="66"/>
      <c r="K47" s="62">
        <v>4912</v>
      </c>
      <c r="L47" s="59"/>
      <c r="M47" s="64">
        <v>5016</v>
      </c>
      <c r="N47" s="66"/>
    </row>
    <row r="48" spans="1:14" ht="11.25" customHeight="1">
      <c r="A48" s="55" t="s">
        <v>1036</v>
      </c>
      <c r="B48" s="56"/>
      <c r="C48" s="57"/>
      <c r="D48" s="47"/>
      <c r="E48" s="78"/>
      <c r="F48" s="79"/>
      <c r="G48" s="78"/>
      <c r="H48" s="80"/>
      <c r="I48" s="78"/>
      <c r="J48" s="80"/>
      <c r="K48" s="78"/>
      <c r="L48" s="66"/>
      <c r="M48" s="78"/>
      <c r="N48" s="66"/>
    </row>
    <row r="49" spans="1:14" ht="11.25" customHeight="1">
      <c r="A49" s="56" t="s">
        <v>1015</v>
      </c>
      <c r="B49" s="56"/>
      <c r="C49" s="57"/>
      <c r="D49" s="47"/>
      <c r="E49" s="62">
        <v>272900</v>
      </c>
      <c r="F49" s="63"/>
      <c r="G49" s="62">
        <v>255200</v>
      </c>
      <c r="H49" s="66"/>
      <c r="I49" s="62">
        <v>252133</v>
      </c>
      <c r="J49" s="66"/>
      <c r="K49" s="62">
        <v>245140</v>
      </c>
      <c r="L49" s="66"/>
      <c r="M49" s="64">
        <v>245883</v>
      </c>
      <c r="N49" s="66"/>
    </row>
    <row r="50" spans="1:14" ht="11.25" customHeight="1">
      <c r="A50" s="56" t="s">
        <v>1016</v>
      </c>
      <c r="B50" s="56"/>
      <c r="C50" s="57"/>
      <c r="D50" s="47"/>
      <c r="E50" s="67">
        <v>105700</v>
      </c>
      <c r="F50" s="76">
        <v>5</v>
      </c>
      <c r="G50" s="67">
        <v>132900</v>
      </c>
      <c r="H50" s="76">
        <v>5</v>
      </c>
      <c r="I50" s="67">
        <v>129887</v>
      </c>
      <c r="J50" s="68"/>
      <c r="K50" s="67">
        <v>89751</v>
      </c>
      <c r="L50" s="68"/>
      <c r="M50" s="70">
        <v>96683</v>
      </c>
      <c r="N50" s="68"/>
    </row>
    <row r="51" spans="1:14" ht="12" customHeight="1">
      <c r="A51" s="65" t="s">
        <v>1017</v>
      </c>
      <c r="B51" s="56"/>
      <c r="C51" s="57"/>
      <c r="D51" s="47"/>
      <c r="E51" s="62">
        <v>378561</v>
      </c>
      <c r="F51" s="66"/>
      <c r="G51" s="62">
        <v>388131</v>
      </c>
      <c r="H51" s="66"/>
      <c r="I51" s="62">
        <f>SUM(I49:I50)</f>
        <v>382020</v>
      </c>
      <c r="J51" s="66"/>
      <c r="K51" s="62">
        <f>SUM(K49:K50)</f>
        <v>334891</v>
      </c>
      <c r="L51" s="66"/>
      <c r="M51" s="62">
        <f>SUM(M49:M50)</f>
        <v>342566</v>
      </c>
      <c r="N51" s="66"/>
    </row>
    <row r="52" spans="1:14" ht="11.25" customHeight="1">
      <c r="A52" s="156" t="s">
        <v>1037</v>
      </c>
      <c r="B52" s="156"/>
      <c r="C52" s="156"/>
      <c r="D52" s="47"/>
      <c r="E52" s="62"/>
      <c r="F52" s="63"/>
      <c r="G52" s="62"/>
      <c r="H52" s="63"/>
      <c r="I52" s="62"/>
      <c r="J52" s="63"/>
      <c r="K52" s="62"/>
      <c r="L52" s="63"/>
      <c r="M52" s="62"/>
      <c r="N52" s="63"/>
    </row>
    <row r="53" spans="1:14" ht="11.25" customHeight="1">
      <c r="A53" s="55" t="s">
        <v>0</v>
      </c>
      <c r="B53" s="65"/>
      <c r="C53" s="57"/>
      <c r="D53" s="47"/>
      <c r="E53" s="62"/>
      <c r="F53" s="63"/>
      <c r="G53" s="62"/>
      <c r="H53" s="63"/>
      <c r="I53" s="62"/>
      <c r="J53" s="63"/>
      <c r="K53" s="62"/>
      <c r="L53" s="63"/>
      <c r="M53" s="62"/>
      <c r="N53" s="63"/>
    </row>
    <row r="54" spans="1:14" ht="11.25" customHeight="1">
      <c r="A54" s="56" t="s">
        <v>1</v>
      </c>
      <c r="B54" s="65"/>
      <c r="C54" s="57"/>
      <c r="D54" s="47"/>
      <c r="E54" s="62">
        <v>43354</v>
      </c>
      <c r="F54" s="63"/>
      <c r="G54" s="72" t="s">
        <v>1018</v>
      </c>
      <c r="H54" s="66"/>
      <c r="I54" s="72" t="s">
        <v>1018</v>
      </c>
      <c r="J54" s="66"/>
      <c r="K54" s="72" t="s">
        <v>1018</v>
      </c>
      <c r="L54" s="66"/>
      <c r="M54" s="72" t="s">
        <v>1018</v>
      </c>
      <c r="N54" s="66"/>
    </row>
    <row r="55" spans="1:14" ht="11.25" customHeight="1">
      <c r="A55" s="56" t="s">
        <v>2</v>
      </c>
      <c r="B55" s="65"/>
      <c r="C55" s="57"/>
      <c r="D55" s="47"/>
      <c r="E55" s="62">
        <v>56728</v>
      </c>
      <c r="F55" s="66"/>
      <c r="G55" s="62">
        <v>59097</v>
      </c>
      <c r="H55" s="66"/>
      <c r="I55" s="62">
        <v>72565</v>
      </c>
      <c r="J55" s="63"/>
      <c r="K55" s="62">
        <v>73620</v>
      </c>
      <c r="L55" s="63"/>
      <c r="M55" s="64">
        <v>75817</v>
      </c>
      <c r="N55" s="63"/>
    </row>
    <row r="56" spans="1:14" ht="11.25" customHeight="1">
      <c r="A56" s="50" t="s">
        <v>90</v>
      </c>
      <c r="B56" s="65"/>
      <c r="C56" s="57" t="s">
        <v>1012</v>
      </c>
      <c r="D56" s="47"/>
      <c r="E56" s="64">
        <v>200</v>
      </c>
      <c r="F56" s="66"/>
      <c r="G56" s="64">
        <v>200</v>
      </c>
      <c r="H56" s="66"/>
      <c r="I56" s="62">
        <v>200</v>
      </c>
      <c r="J56" s="63"/>
      <c r="K56" s="62">
        <v>200</v>
      </c>
      <c r="L56" s="63"/>
      <c r="M56" s="64">
        <v>200</v>
      </c>
      <c r="N56" s="63"/>
    </row>
    <row r="57" spans="1:14" ht="11.25" customHeight="1">
      <c r="A57" s="55" t="s">
        <v>91</v>
      </c>
      <c r="B57" s="49"/>
      <c r="C57" s="57"/>
      <c r="D57" s="81"/>
      <c r="E57" s="72">
        <v>100993</v>
      </c>
      <c r="F57" s="66"/>
      <c r="G57" s="72">
        <v>109506</v>
      </c>
      <c r="H57" s="66"/>
      <c r="I57" s="72">
        <v>93624</v>
      </c>
      <c r="J57" s="66"/>
      <c r="K57" s="72">
        <v>88591</v>
      </c>
      <c r="L57" s="66"/>
      <c r="M57" s="64">
        <v>85524</v>
      </c>
      <c r="N57" s="66"/>
    </row>
    <row r="58" spans="1:14" ht="11.25" customHeight="1">
      <c r="A58" s="55" t="s">
        <v>3</v>
      </c>
      <c r="B58" s="49"/>
      <c r="C58" s="57"/>
      <c r="D58" s="81"/>
      <c r="E58" s="72">
        <v>168250</v>
      </c>
      <c r="F58" s="63"/>
      <c r="G58" s="72">
        <v>176837</v>
      </c>
      <c r="H58" s="63"/>
      <c r="I58" s="72">
        <v>168841</v>
      </c>
      <c r="J58" s="63"/>
      <c r="K58" s="72">
        <v>203475</v>
      </c>
      <c r="L58" s="63"/>
      <c r="M58" s="64">
        <v>222169</v>
      </c>
      <c r="N58" s="63"/>
    </row>
    <row r="59" spans="1:14" ht="11.25" customHeight="1">
      <c r="A59" s="55" t="s">
        <v>4</v>
      </c>
      <c r="B59" s="49"/>
      <c r="C59" s="57"/>
      <c r="D59" s="81"/>
      <c r="E59" s="72">
        <v>413</v>
      </c>
      <c r="F59" s="63"/>
      <c r="G59" s="72">
        <v>388</v>
      </c>
      <c r="H59" s="63"/>
      <c r="I59" s="72">
        <v>248</v>
      </c>
      <c r="J59" s="63"/>
      <c r="K59" s="72">
        <v>274</v>
      </c>
      <c r="L59" s="63"/>
      <c r="M59" s="64">
        <v>431</v>
      </c>
      <c r="N59" s="63"/>
    </row>
    <row r="60" spans="1:14" ht="11.25" customHeight="1">
      <c r="A60" s="55" t="s">
        <v>7</v>
      </c>
      <c r="B60" s="49"/>
      <c r="C60" s="57"/>
      <c r="D60" s="81"/>
      <c r="E60" s="72"/>
      <c r="F60" s="63"/>
      <c r="G60" s="72"/>
      <c r="H60" s="63"/>
      <c r="I60" s="72"/>
      <c r="J60" s="63"/>
      <c r="K60" s="72"/>
      <c r="L60" s="63"/>
      <c r="M60" s="72"/>
      <c r="N60" s="63"/>
    </row>
    <row r="61" spans="1:14" ht="11.25" customHeight="1">
      <c r="A61" s="56" t="s">
        <v>8</v>
      </c>
      <c r="B61" s="49"/>
      <c r="C61" s="57" t="s">
        <v>1012</v>
      </c>
      <c r="D61" s="81"/>
      <c r="E61" s="72">
        <v>23954</v>
      </c>
      <c r="F61" s="66"/>
      <c r="G61" s="72">
        <v>25233</v>
      </c>
      <c r="H61" s="66"/>
      <c r="I61" s="72">
        <v>26281</v>
      </c>
      <c r="J61" s="63"/>
      <c r="K61" s="72">
        <v>24378</v>
      </c>
      <c r="L61" s="63" t="s">
        <v>1013</v>
      </c>
      <c r="M61" s="64">
        <v>24952</v>
      </c>
      <c r="N61" s="63" t="s">
        <v>9</v>
      </c>
    </row>
    <row r="62" spans="1:14" ht="11.25" customHeight="1">
      <c r="A62" s="56" t="s">
        <v>10</v>
      </c>
      <c r="B62" s="49"/>
      <c r="C62" s="57" t="s">
        <v>754</v>
      </c>
      <c r="D62" s="81"/>
      <c r="E62" s="72">
        <v>31009</v>
      </c>
      <c r="F62" s="66"/>
      <c r="G62" s="72">
        <v>32749</v>
      </c>
      <c r="H62" s="66"/>
      <c r="I62" s="72">
        <v>31854</v>
      </c>
      <c r="J62" s="63"/>
      <c r="K62" s="72">
        <v>31009</v>
      </c>
      <c r="L62" s="63" t="s">
        <v>1013</v>
      </c>
      <c r="M62" s="64">
        <v>33516</v>
      </c>
      <c r="N62" s="63" t="s">
        <v>9</v>
      </c>
    </row>
    <row r="63" spans="1:14" ht="11.25" customHeight="1">
      <c r="A63" s="159" t="s">
        <v>765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</row>
    <row r="64" spans="1:14" ht="11.25" customHeight="1">
      <c r="A64" s="155" t="s">
        <v>5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</row>
    <row r="65" spans="1:14" ht="11.25" customHeight="1">
      <c r="A65" s="155" t="s">
        <v>83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</row>
    <row r="66" spans="1:14" ht="11.25" customHeight="1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</row>
    <row r="67" spans="1:14" ht="11.25" customHeight="1">
      <c r="A67" s="155" t="s">
        <v>1004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</row>
    <row r="68" spans="1:14" ht="11.25" customHeight="1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1:14" ht="11.25" customHeight="1">
      <c r="A69" s="156" t="s">
        <v>713</v>
      </c>
      <c r="B69" s="156"/>
      <c r="C69" s="156"/>
      <c r="D69" s="50"/>
      <c r="E69" s="51" t="s">
        <v>1005</v>
      </c>
      <c r="F69" s="52"/>
      <c r="G69" s="51" t="s">
        <v>1006</v>
      </c>
      <c r="H69" s="52"/>
      <c r="I69" s="51" t="s">
        <v>1007</v>
      </c>
      <c r="J69" s="52"/>
      <c r="K69" s="51" t="s">
        <v>1008</v>
      </c>
      <c r="L69" s="52"/>
      <c r="M69" s="51" t="s">
        <v>1009</v>
      </c>
      <c r="N69" s="52"/>
    </row>
    <row r="70" spans="1:14" ht="11.25" customHeight="1">
      <c r="A70" s="156" t="s">
        <v>6</v>
      </c>
      <c r="B70" s="156"/>
      <c r="C70" s="156"/>
      <c r="D70" s="81"/>
      <c r="E70" s="72"/>
      <c r="F70" s="63"/>
      <c r="G70" s="72"/>
      <c r="H70" s="63"/>
      <c r="I70" s="72"/>
      <c r="J70" s="63"/>
      <c r="K70" s="72"/>
      <c r="L70" s="63"/>
      <c r="M70" s="72"/>
      <c r="N70" s="63"/>
    </row>
    <row r="71" spans="1:14" ht="11.25" customHeight="1">
      <c r="A71" s="55" t="s">
        <v>11</v>
      </c>
      <c r="B71" s="49"/>
      <c r="C71" s="57" t="s">
        <v>1012</v>
      </c>
      <c r="D71" s="81"/>
      <c r="E71" s="72">
        <v>1022</v>
      </c>
      <c r="F71" s="66"/>
      <c r="G71" s="72">
        <v>1001</v>
      </c>
      <c r="H71" s="66"/>
      <c r="I71" s="72">
        <v>1005</v>
      </c>
      <c r="J71" s="66"/>
      <c r="K71" s="72">
        <v>1068</v>
      </c>
      <c r="L71" s="66"/>
      <c r="M71" s="64">
        <v>1309</v>
      </c>
      <c r="N71" s="66"/>
    </row>
    <row r="72" spans="1:14" ht="11.25" customHeight="1">
      <c r="A72" s="55" t="s">
        <v>12</v>
      </c>
      <c r="B72" s="49"/>
      <c r="C72" s="8"/>
      <c r="D72" s="81"/>
      <c r="E72" s="72"/>
      <c r="F72" s="63"/>
      <c r="G72" s="72"/>
      <c r="H72" s="63"/>
      <c r="I72" s="72"/>
      <c r="J72" s="63"/>
      <c r="K72" s="72"/>
      <c r="L72" s="63"/>
      <c r="M72" s="72"/>
      <c r="N72" s="63"/>
    </row>
    <row r="73" spans="1:14" ht="11.25" customHeight="1">
      <c r="A73" s="56" t="s">
        <v>742</v>
      </c>
      <c r="B73" s="49"/>
      <c r="C73" s="57" t="s">
        <v>754</v>
      </c>
      <c r="D73" s="81"/>
      <c r="E73" s="72">
        <v>495</v>
      </c>
      <c r="F73" s="66"/>
      <c r="G73" s="72">
        <v>479</v>
      </c>
      <c r="H73" s="66"/>
      <c r="I73" s="72">
        <v>405</v>
      </c>
      <c r="J73" s="66"/>
      <c r="K73" s="72">
        <v>352</v>
      </c>
      <c r="L73" s="63" t="s">
        <v>1013</v>
      </c>
      <c r="M73" s="64">
        <v>364</v>
      </c>
      <c r="N73" s="66"/>
    </row>
    <row r="74" spans="1:14" ht="11.25" customHeight="1">
      <c r="A74" s="56" t="s">
        <v>471</v>
      </c>
      <c r="B74" s="49"/>
      <c r="C74" s="57" t="s">
        <v>754</v>
      </c>
      <c r="D74" s="81"/>
      <c r="E74" s="72">
        <v>4700</v>
      </c>
      <c r="F74" s="66"/>
      <c r="G74" s="72">
        <v>4300</v>
      </c>
      <c r="H74" s="66"/>
      <c r="I74" s="72">
        <v>4400</v>
      </c>
      <c r="J74" s="63"/>
      <c r="K74" s="72">
        <v>4500</v>
      </c>
      <c r="L74" s="63"/>
      <c r="M74" s="64">
        <v>4600</v>
      </c>
      <c r="N74" s="63"/>
    </row>
    <row r="75" spans="1:14" ht="11.25" customHeight="1">
      <c r="A75" s="65" t="s">
        <v>13</v>
      </c>
      <c r="B75" s="49"/>
      <c r="C75" s="57" t="s">
        <v>754</v>
      </c>
      <c r="D75" s="81"/>
      <c r="E75" s="72">
        <v>167</v>
      </c>
      <c r="F75" s="66"/>
      <c r="G75" s="72">
        <v>167</v>
      </c>
      <c r="H75" s="66"/>
      <c r="I75" s="72">
        <v>176</v>
      </c>
      <c r="J75" s="63"/>
      <c r="K75" s="72">
        <v>176</v>
      </c>
      <c r="L75" s="63"/>
      <c r="M75" s="64">
        <v>194</v>
      </c>
      <c r="N75" s="63"/>
    </row>
    <row r="76" spans="1:14" ht="11.25" customHeight="1">
      <c r="A76" s="56" t="s">
        <v>14</v>
      </c>
      <c r="B76" s="49"/>
      <c r="C76" s="57" t="s">
        <v>754</v>
      </c>
      <c r="D76" s="81"/>
      <c r="E76" s="72">
        <v>3682</v>
      </c>
      <c r="F76" s="63" t="s">
        <v>1013</v>
      </c>
      <c r="G76" s="72">
        <v>3504</v>
      </c>
      <c r="H76" s="63" t="s">
        <v>1013</v>
      </c>
      <c r="I76" s="72">
        <v>3752</v>
      </c>
      <c r="J76" s="66"/>
      <c r="K76" s="72">
        <v>3768</v>
      </c>
      <c r="L76" s="66"/>
      <c r="M76" s="64">
        <v>3815</v>
      </c>
      <c r="N76" s="66"/>
    </row>
    <row r="77" spans="1:14" ht="11.25" customHeight="1">
      <c r="A77" s="56" t="s">
        <v>15</v>
      </c>
      <c r="B77" s="49"/>
      <c r="C77" s="57" t="s">
        <v>754</v>
      </c>
      <c r="D77" s="81"/>
      <c r="E77" s="72">
        <v>281</v>
      </c>
      <c r="F77" s="63"/>
      <c r="G77" s="72">
        <v>191</v>
      </c>
      <c r="H77" s="63"/>
      <c r="I77" s="72">
        <v>197</v>
      </c>
      <c r="J77" s="63"/>
      <c r="K77" s="72">
        <v>185</v>
      </c>
      <c r="L77" s="63"/>
      <c r="M77" s="64">
        <v>509</v>
      </c>
      <c r="N77" s="63"/>
    </row>
    <row r="78" spans="1:14" ht="11.25" customHeight="1">
      <c r="A78" s="55" t="s">
        <v>92</v>
      </c>
      <c r="B78" s="49"/>
      <c r="C78" s="57" t="s">
        <v>754</v>
      </c>
      <c r="D78" s="81"/>
      <c r="E78" s="72">
        <v>54</v>
      </c>
      <c r="F78" s="66" t="s">
        <v>1019</v>
      </c>
      <c r="G78" s="72">
        <v>55</v>
      </c>
      <c r="H78" s="66" t="s">
        <v>1019</v>
      </c>
      <c r="I78" s="72">
        <v>54</v>
      </c>
      <c r="J78" s="66"/>
      <c r="K78" s="72">
        <v>54</v>
      </c>
      <c r="L78" s="66"/>
      <c r="M78" s="64">
        <v>54</v>
      </c>
      <c r="N78" s="66"/>
    </row>
    <row r="79" spans="1:14" ht="11.25" customHeight="1">
      <c r="A79" s="55" t="s">
        <v>16</v>
      </c>
      <c r="B79" s="49"/>
      <c r="C79" s="57"/>
      <c r="D79" s="81"/>
      <c r="E79" s="72">
        <v>243368</v>
      </c>
      <c r="F79" s="66"/>
      <c r="G79" s="72">
        <v>233028</v>
      </c>
      <c r="H79" s="63" t="s">
        <v>1013</v>
      </c>
      <c r="I79" s="72">
        <v>182842</v>
      </c>
      <c r="J79" s="63" t="s">
        <v>1013</v>
      </c>
      <c r="K79" s="72">
        <v>168640</v>
      </c>
      <c r="L79" s="63" t="s">
        <v>1013</v>
      </c>
      <c r="M79" s="64">
        <v>167332</v>
      </c>
      <c r="N79" s="63"/>
    </row>
    <row r="80" spans="1:14" ht="11.25" customHeight="1">
      <c r="A80" s="55" t="s">
        <v>1028</v>
      </c>
      <c r="B80" s="49"/>
      <c r="C80" s="57"/>
      <c r="D80" s="81"/>
      <c r="E80" s="72">
        <v>34429</v>
      </c>
      <c r="F80" s="63"/>
      <c r="G80" s="72">
        <v>33289</v>
      </c>
      <c r="H80" s="63"/>
      <c r="I80" s="72">
        <v>33203</v>
      </c>
      <c r="J80" s="63"/>
      <c r="K80" s="64">
        <v>35364</v>
      </c>
      <c r="L80" s="63"/>
      <c r="M80" s="64">
        <v>53009</v>
      </c>
      <c r="N80" s="63"/>
    </row>
    <row r="81" spans="1:14" ht="11.25" customHeight="1">
      <c r="A81" s="55" t="s">
        <v>905</v>
      </c>
      <c r="B81" s="49"/>
      <c r="C81" s="57"/>
      <c r="D81" s="81"/>
      <c r="E81" s="72">
        <v>3312</v>
      </c>
      <c r="F81" s="66"/>
      <c r="G81" s="72">
        <v>2840</v>
      </c>
      <c r="H81" s="66"/>
      <c r="I81" s="72">
        <v>3155</v>
      </c>
      <c r="J81" s="63"/>
      <c r="K81" s="72">
        <v>2638</v>
      </c>
      <c r="L81" s="63"/>
      <c r="M81" s="72" t="s">
        <v>1018</v>
      </c>
      <c r="N81" s="63"/>
    </row>
    <row r="82" spans="1:14" ht="11.25" customHeight="1">
      <c r="A82" s="55" t="s">
        <v>21</v>
      </c>
      <c r="B82" s="49"/>
      <c r="C82" s="57"/>
      <c r="D82" s="81"/>
      <c r="E82" s="72"/>
      <c r="F82" s="66"/>
      <c r="G82" s="72"/>
      <c r="H82" s="66"/>
      <c r="I82" s="72"/>
      <c r="J82" s="66"/>
      <c r="K82" s="72"/>
      <c r="L82" s="66"/>
      <c r="M82" s="64"/>
      <c r="N82" s="66"/>
    </row>
    <row r="83" spans="1:14" ht="11.25" customHeight="1">
      <c r="A83" s="56" t="s">
        <v>22</v>
      </c>
      <c r="B83" s="49"/>
      <c r="C83" s="57" t="s">
        <v>1012</v>
      </c>
      <c r="D83" s="81"/>
      <c r="E83" s="72">
        <v>1761</v>
      </c>
      <c r="F83" s="66"/>
      <c r="G83" s="72">
        <v>1748</v>
      </c>
      <c r="H83" s="66"/>
      <c r="I83" s="72">
        <v>1579</v>
      </c>
      <c r="J83" s="66"/>
      <c r="K83" s="72">
        <v>1644</v>
      </c>
      <c r="L83" s="66"/>
      <c r="M83" s="64">
        <v>1771</v>
      </c>
      <c r="N83" s="66"/>
    </row>
    <row r="84" spans="1:14" ht="11.25" customHeight="1">
      <c r="A84" s="56" t="s">
        <v>352</v>
      </c>
      <c r="B84" s="49"/>
      <c r="C84" s="57" t="s">
        <v>754</v>
      </c>
      <c r="D84" s="81"/>
      <c r="E84" s="72">
        <v>7100</v>
      </c>
      <c r="F84" s="66"/>
      <c r="G84" s="72">
        <v>7660</v>
      </c>
      <c r="H84" s="66"/>
      <c r="I84" s="72">
        <v>7660</v>
      </c>
      <c r="J84" s="66"/>
      <c r="K84" s="72">
        <v>7640</v>
      </c>
      <c r="L84" s="63"/>
      <c r="M84" s="64">
        <v>7600</v>
      </c>
      <c r="N84" s="63" t="s">
        <v>9</v>
      </c>
    </row>
    <row r="85" spans="1:14" ht="11.25" customHeight="1">
      <c r="A85" s="55" t="s">
        <v>23</v>
      </c>
      <c r="B85" s="49"/>
      <c r="C85" s="57" t="s">
        <v>754</v>
      </c>
      <c r="D85" s="81"/>
      <c r="E85" s="72">
        <v>7139</v>
      </c>
      <c r="F85" s="63"/>
      <c r="G85" s="72">
        <v>6876</v>
      </c>
      <c r="H85" s="63"/>
      <c r="I85" s="72">
        <v>6947</v>
      </c>
      <c r="J85" s="63"/>
      <c r="K85" s="72">
        <v>6823</v>
      </c>
      <c r="L85" s="63" t="s">
        <v>1013</v>
      </c>
      <c r="M85" s="64">
        <v>7119</v>
      </c>
      <c r="N85" s="63"/>
    </row>
    <row r="86" spans="1:14" ht="11.25" customHeight="1">
      <c r="A86" s="55" t="s">
        <v>24</v>
      </c>
      <c r="B86" s="49"/>
      <c r="C86" s="57" t="s">
        <v>754</v>
      </c>
      <c r="D86" s="81"/>
      <c r="E86" s="72">
        <v>1411</v>
      </c>
      <c r="F86" s="66"/>
      <c r="G86" s="72">
        <v>1288</v>
      </c>
      <c r="H86" s="66"/>
      <c r="I86" s="72">
        <v>1197</v>
      </c>
      <c r="J86" s="66"/>
      <c r="K86" s="72">
        <v>1290</v>
      </c>
      <c r="L86" s="66" t="s">
        <v>1013</v>
      </c>
      <c r="M86" s="64">
        <v>1203</v>
      </c>
      <c r="N86" s="63"/>
    </row>
    <row r="87" spans="1:14" ht="11.25" customHeight="1">
      <c r="A87" s="55" t="s">
        <v>25</v>
      </c>
      <c r="B87" s="49"/>
      <c r="C87" s="57" t="s">
        <v>754</v>
      </c>
      <c r="D87" s="81"/>
      <c r="E87" s="72">
        <v>2560</v>
      </c>
      <c r="F87" s="63"/>
      <c r="G87" s="72">
        <v>2803</v>
      </c>
      <c r="H87" s="66"/>
      <c r="I87" s="72">
        <v>2741</v>
      </c>
      <c r="J87" s="63"/>
      <c r="K87" s="72">
        <v>2789</v>
      </c>
      <c r="L87" s="63" t="s">
        <v>1013</v>
      </c>
      <c r="M87" s="64">
        <v>2718</v>
      </c>
      <c r="N87" s="63"/>
    </row>
    <row r="88" spans="1:14" ht="11.25" customHeight="1">
      <c r="A88" s="50" t="s">
        <v>26</v>
      </c>
      <c r="B88" s="56"/>
      <c r="C88" s="57"/>
      <c r="D88" s="47"/>
      <c r="E88" s="62">
        <v>122696</v>
      </c>
      <c r="F88" s="66"/>
      <c r="G88" s="62">
        <v>135356</v>
      </c>
      <c r="H88" s="66"/>
      <c r="I88" s="62">
        <v>119961</v>
      </c>
      <c r="J88" s="66"/>
      <c r="K88" s="62">
        <v>120000</v>
      </c>
      <c r="L88" s="63" t="s">
        <v>733</v>
      </c>
      <c r="M88" s="64">
        <v>120000</v>
      </c>
      <c r="N88" s="63" t="s">
        <v>733</v>
      </c>
    </row>
    <row r="89" spans="1:14" ht="11.25" customHeight="1">
      <c r="A89" s="50" t="s">
        <v>93</v>
      </c>
      <c r="B89" s="49"/>
      <c r="C89" s="57"/>
      <c r="D89" s="81"/>
      <c r="E89" s="72">
        <v>34486</v>
      </c>
      <c r="F89" s="63"/>
      <c r="G89" s="72">
        <v>32569</v>
      </c>
      <c r="H89" s="63"/>
      <c r="I89" s="72">
        <v>37810</v>
      </c>
      <c r="J89" s="63"/>
      <c r="K89" s="72">
        <v>37374</v>
      </c>
      <c r="L89" s="63"/>
      <c r="M89" s="72">
        <v>34373</v>
      </c>
      <c r="N89" s="63"/>
    </row>
    <row r="90" spans="1:14" ht="11.25" customHeight="1">
      <c r="A90" s="55" t="s">
        <v>94</v>
      </c>
      <c r="B90" s="49"/>
      <c r="C90" s="8"/>
      <c r="D90" s="81"/>
      <c r="E90" s="72">
        <v>4000</v>
      </c>
      <c r="F90" s="63"/>
      <c r="G90" s="72">
        <v>4000</v>
      </c>
      <c r="H90" s="63"/>
      <c r="I90" s="72">
        <v>4000</v>
      </c>
      <c r="J90" s="63"/>
      <c r="K90" s="72">
        <v>4000</v>
      </c>
      <c r="L90" s="66"/>
      <c r="M90" s="64">
        <v>4000</v>
      </c>
      <c r="N90" s="66"/>
    </row>
    <row r="91" spans="1:14" ht="11.25" customHeight="1">
      <c r="A91" s="55" t="s">
        <v>95</v>
      </c>
      <c r="B91" s="49"/>
      <c r="C91" s="8"/>
      <c r="D91" s="81"/>
      <c r="E91" s="72"/>
      <c r="F91" s="66"/>
      <c r="G91" s="72"/>
      <c r="H91" s="66"/>
      <c r="I91" s="72"/>
      <c r="J91" s="66"/>
      <c r="K91" s="72"/>
      <c r="L91" s="66"/>
      <c r="M91" s="72"/>
      <c r="N91" s="66"/>
    </row>
    <row r="92" spans="1:14" ht="11.25" customHeight="1">
      <c r="A92" s="56" t="s">
        <v>796</v>
      </c>
      <c r="B92" s="49"/>
      <c r="C92" s="57" t="s">
        <v>1012</v>
      </c>
      <c r="D92" s="81"/>
      <c r="E92" s="72">
        <v>4278</v>
      </c>
      <c r="F92" s="66"/>
      <c r="G92" s="72">
        <v>4413</v>
      </c>
      <c r="H92" s="66"/>
      <c r="I92" s="72">
        <v>4439</v>
      </c>
      <c r="J92" s="66"/>
      <c r="K92" s="72">
        <v>4434</v>
      </c>
      <c r="L92" s="66"/>
      <c r="M92" s="64">
        <v>4385</v>
      </c>
      <c r="N92" s="66"/>
    </row>
    <row r="93" spans="1:14" ht="11.25" customHeight="1">
      <c r="A93" s="56" t="s">
        <v>27</v>
      </c>
      <c r="B93" s="49"/>
      <c r="C93" s="57" t="s">
        <v>754</v>
      </c>
      <c r="D93" s="81"/>
      <c r="E93" s="82">
        <v>3472</v>
      </c>
      <c r="F93" s="59"/>
      <c r="G93" s="82">
        <v>3563</v>
      </c>
      <c r="H93" s="60"/>
      <c r="I93" s="82">
        <v>3627</v>
      </c>
      <c r="J93" s="60"/>
      <c r="K93" s="82">
        <v>3664</v>
      </c>
      <c r="L93" s="59"/>
      <c r="M93" s="61">
        <v>3625</v>
      </c>
      <c r="N93" s="59"/>
    </row>
    <row r="94" spans="1:14" ht="11.25" customHeight="1">
      <c r="A94" s="55" t="s">
        <v>28</v>
      </c>
      <c r="B94" s="49"/>
      <c r="C94" s="84"/>
      <c r="D94" s="81"/>
      <c r="E94" s="72"/>
      <c r="F94" s="63"/>
      <c r="G94" s="72"/>
      <c r="H94" s="63"/>
      <c r="I94" s="72"/>
      <c r="J94" s="63"/>
      <c r="K94" s="72"/>
      <c r="L94" s="63"/>
      <c r="M94" s="72"/>
      <c r="N94" s="63"/>
    </row>
    <row r="95" spans="1:14" ht="11.25" customHeight="1">
      <c r="A95" s="85" t="s">
        <v>29</v>
      </c>
      <c r="B95" s="86"/>
      <c r="C95" s="57" t="s">
        <v>754</v>
      </c>
      <c r="D95" s="81"/>
      <c r="E95" s="72">
        <v>858</v>
      </c>
      <c r="F95" s="66"/>
      <c r="G95" s="72">
        <v>727</v>
      </c>
      <c r="H95" s="66"/>
      <c r="I95" s="72">
        <v>572</v>
      </c>
      <c r="J95" s="63"/>
      <c r="K95" s="72">
        <v>594</v>
      </c>
      <c r="L95" s="63"/>
      <c r="M95" s="64">
        <v>593</v>
      </c>
      <c r="N95" s="63"/>
    </row>
    <row r="96" spans="1:14" ht="11.25" customHeight="1">
      <c r="A96" s="85" t="s">
        <v>30</v>
      </c>
      <c r="B96" s="86"/>
      <c r="C96" s="57" t="s">
        <v>754</v>
      </c>
      <c r="D96" s="81"/>
      <c r="E96" s="72">
        <v>8307</v>
      </c>
      <c r="F96" s="66"/>
      <c r="G96" s="72">
        <v>9078</v>
      </c>
      <c r="H96" s="66"/>
      <c r="I96" s="72">
        <v>10432</v>
      </c>
      <c r="J96" s="66"/>
      <c r="K96" s="72">
        <v>9904</v>
      </c>
      <c r="L96" s="66"/>
      <c r="M96" s="64">
        <v>9590</v>
      </c>
      <c r="N96" s="66"/>
    </row>
    <row r="97" spans="1:14" ht="11.25" customHeight="1">
      <c r="A97" s="85" t="s">
        <v>353</v>
      </c>
      <c r="B97" s="86"/>
      <c r="C97" s="57" t="s">
        <v>754</v>
      </c>
      <c r="D97" s="81"/>
      <c r="E97" s="83">
        <v>6572</v>
      </c>
      <c r="F97" s="69" t="s">
        <v>1013</v>
      </c>
      <c r="G97" s="83">
        <v>6620</v>
      </c>
      <c r="H97" s="69" t="s">
        <v>1013</v>
      </c>
      <c r="I97" s="83">
        <v>7833</v>
      </c>
      <c r="J97" s="69" t="s">
        <v>1013</v>
      </c>
      <c r="K97" s="83">
        <v>8834</v>
      </c>
      <c r="L97" s="69" t="s">
        <v>1013</v>
      </c>
      <c r="M97" s="70">
        <v>9663</v>
      </c>
      <c r="N97" s="68"/>
    </row>
    <row r="98" spans="1:14" ht="11.25" customHeight="1">
      <c r="A98" s="65" t="s">
        <v>1017</v>
      </c>
      <c r="B98" s="86"/>
      <c r="C98" s="57" t="s">
        <v>754</v>
      </c>
      <c r="D98" s="81"/>
      <c r="E98" s="72">
        <f>SUM(E95:E97)</f>
        <v>15737</v>
      </c>
      <c r="F98" s="63" t="s">
        <v>1013</v>
      </c>
      <c r="G98" s="72">
        <f>SUM(G95:G97)</f>
        <v>16425</v>
      </c>
      <c r="H98" s="63" t="s">
        <v>1013</v>
      </c>
      <c r="I98" s="72">
        <f>SUM(I95:I97)</f>
        <v>18837</v>
      </c>
      <c r="J98" s="63" t="s">
        <v>1013</v>
      </c>
      <c r="K98" s="72">
        <f>SUM(K95:K97)</f>
        <v>19332</v>
      </c>
      <c r="L98" s="63" t="s">
        <v>1013</v>
      </c>
      <c r="M98" s="72">
        <f>SUM(M95:M97)</f>
        <v>19846</v>
      </c>
      <c r="N98" s="63"/>
    </row>
    <row r="99" spans="1:14" ht="11.25" customHeight="1">
      <c r="A99" s="48" t="s">
        <v>31</v>
      </c>
      <c r="B99" s="86"/>
      <c r="C99" s="84"/>
      <c r="D99" s="81"/>
      <c r="E99" s="72">
        <v>53711</v>
      </c>
      <c r="F99" s="63"/>
      <c r="G99" s="72">
        <v>54517</v>
      </c>
      <c r="H99" s="63"/>
      <c r="I99" s="72">
        <v>54801</v>
      </c>
      <c r="J99" s="66"/>
      <c r="K99" s="64">
        <v>50399</v>
      </c>
      <c r="L99" s="63" t="s">
        <v>1013</v>
      </c>
      <c r="M99" s="64">
        <v>53282</v>
      </c>
      <c r="N99" s="63"/>
    </row>
    <row r="100" spans="1:14" ht="11.25" customHeight="1">
      <c r="A100" s="48" t="s">
        <v>96</v>
      </c>
      <c r="B100" s="86"/>
      <c r="C100" s="57" t="s">
        <v>1012</v>
      </c>
      <c r="D100" s="81"/>
      <c r="E100" s="72">
        <v>1512</v>
      </c>
      <c r="F100" s="63"/>
      <c r="G100" s="72">
        <v>1493</v>
      </c>
      <c r="H100" s="63"/>
      <c r="I100" s="72">
        <v>1438</v>
      </c>
      <c r="J100" s="63"/>
      <c r="K100" s="72">
        <v>1533</v>
      </c>
      <c r="L100" s="63"/>
      <c r="M100" s="72">
        <v>1515</v>
      </c>
      <c r="N100" s="63"/>
    </row>
    <row r="101" spans="1:14" ht="11.25" customHeight="1">
      <c r="A101" s="55" t="s">
        <v>32</v>
      </c>
      <c r="B101" s="86"/>
      <c r="C101" s="84"/>
      <c r="D101" s="81"/>
      <c r="E101" s="72"/>
      <c r="F101" s="63"/>
      <c r="G101" s="72"/>
      <c r="H101" s="63"/>
      <c r="I101" s="72"/>
      <c r="J101" s="63"/>
      <c r="K101" s="72"/>
      <c r="L101" s="63"/>
      <c r="M101" s="72"/>
      <c r="N101" s="63"/>
    </row>
    <row r="102" spans="1:14" ht="11.25" customHeight="1">
      <c r="A102" s="85" t="s">
        <v>33</v>
      </c>
      <c r="B102" s="86"/>
      <c r="C102" s="84"/>
      <c r="D102" s="81"/>
      <c r="E102" s="72"/>
      <c r="F102" s="63"/>
      <c r="G102" s="72"/>
      <c r="H102" s="63"/>
      <c r="I102" s="72"/>
      <c r="J102" s="63"/>
      <c r="K102" s="72"/>
      <c r="L102" s="63"/>
      <c r="M102" s="72"/>
      <c r="N102" s="63"/>
    </row>
    <row r="103" spans="1:14" ht="11.25" customHeight="1">
      <c r="A103" s="87" t="s">
        <v>34</v>
      </c>
      <c r="B103" s="86"/>
      <c r="C103" s="57" t="s">
        <v>754</v>
      </c>
      <c r="D103" s="81"/>
      <c r="E103" s="72">
        <v>237</v>
      </c>
      <c r="F103" s="66"/>
      <c r="G103" s="72">
        <v>167</v>
      </c>
      <c r="H103" s="66"/>
      <c r="I103" s="72">
        <v>229</v>
      </c>
      <c r="J103" s="66"/>
      <c r="K103" s="72">
        <v>212</v>
      </c>
      <c r="L103" s="66"/>
      <c r="M103" s="64">
        <v>219</v>
      </c>
      <c r="N103" s="66"/>
    </row>
    <row r="104" spans="1:14" ht="11.25" customHeight="1">
      <c r="A104" s="88" t="s">
        <v>35</v>
      </c>
      <c r="B104" s="86"/>
      <c r="C104" s="57" t="s">
        <v>754</v>
      </c>
      <c r="D104" s="81"/>
      <c r="E104" s="72">
        <v>76</v>
      </c>
      <c r="F104" s="66"/>
      <c r="G104" s="72">
        <v>106</v>
      </c>
      <c r="H104" s="66"/>
      <c r="I104" s="72">
        <v>76</v>
      </c>
      <c r="J104" s="66"/>
      <c r="K104" s="72">
        <v>75</v>
      </c>
      <c r="L104" s="66"/>
      <c r="M104" s="64">
        <v>75</v>
      </c>
      <c r="N104" s="66"/>
    </row>
    <row r="105" spans="1:14" ht="11.25" customHeight="1">
      <c r="A105" s="87" t="s">
        <v>36</v>
      </c>
      <c r="B105" s="86"/>
      <c r="C105" s="57" t="s">
        <v>754</v>
      </c>
      <c r="D105" s="81"/>
      <c r="E105" s="72">
        <v>166798</v>
      </c>
      <c r="F105" s="66"/>
      <c r="G105" s="72">
        <v>160851</v>
      </c>
      <c r="H105" s="66"/>
      <c r="I105" s="72">
        <v>152985</v>
      </c>
      <c r="J105" s="63" t="s">
        <v>1013</v>
      </c>
      <c r="K105" s="72">
        <v>150117</v>
      </c>
      <c r="L105" s="63" t="s">
        <v>1013</v>
      </c>
      <c r="M105" s="64">
        <v>162168</v>
      </c>
      <c r="N105" s="66"/>
    </row>
    <row r="106" spans="1:14" ht="11.25" customHeight="1">
      <c r="A106" s="87" t="s">
        <v>37</v>
      </c>
      <c r="B106" s="86"/>
      <c r="C106" s="57" t="s">
        <v>754</v>
      </c>
      <c r="D106" s="81"/>
      <c r="E106" s="82">
        <v>31300</v>
      </c>
      <c r="F106" s="59"/>
      <c r="G106" s="82">
        <v>30000</v>
      </c>
      <c r="H106" s="59"/>
      <c r="I106" s="82">
        <v>23700</v>
      </c>
      <c r="J106" s="60"/>
      <c r="K106" s="82">
        <v>20600</v>
      </c>
      <c r="L106" s="59"/>
      <c r="M106" s="61">
        <v>22400</v>
      </c>
      <c r="N106" s="59"/>
    </row>
    <row r="107" spans="1:14" ht="11.25" customHeight="1">
      <c r="A107" s="85" t="s">
        <v>38</v>
      </c>
      <c r="B107" s="86"/>
      <c r="C107" s="84"/>
      <c r="D107" s="81"/>
      <c r="E107" s="72"/>
      <c r="F107" s="63"/>
      <c r="G107" s="72"/>
      <c r="H107" s="63"/>
      <c r="I107" s="72"/>
      <c r="J107" s="63"/>
      <c r="K107" s="72"/>
      <c r="L107" s="63"/>
      <c r="M107" s="72"/>
      <c r="N107" s="63"/>
    </row>
    <row r="108" spans="1:14" ht="11.25" customHeight="1">
      <c r="A108" s="87" t="s">
        <v>39</v>
      </c>
      <c r="B108" s="86"/>
      <c r="C108" s="57" t="s">
        <v>754</v>
      </c>
      <c r="D108" s="81"/>
      <c r="E108" s="72">
        <v>73131</v>
      </c>
      <c r="F108" s="66"/>
      <c r="G108" s="72">
        <v>70173</v>
      </c>
      <c r="H108" s="66"/>
      <c r="I108" s="72">
        <v>65566</v>
      </c>
      <c r="J108" s="63"/>
      <c r="K108" s="72">
        <v>62498</v>
      </c>
      <c r="L108" s="63" t="s">
        <v>1013</v>
      </c>
      <c r="M108" s="64">
        <v>68706</v>
      </c>
      <c r="N108" s="66"/>
    </row>
    <row r="109" spans="1:14" ht="11.25" customHeight="1">
      <c r="A109" s="87" t="s">
        <v>40</v>
      </c>
      <c r="B109" s="86"/>
      <c r="C109" s="57" t="s">
        <v>754</v>
      </c>
      <c r="D109" s="81"/>
      <c r="E109" s="72">
        <v>14505</v>
      </c>
      <c r="F109" s="66"/>
      <c r="G109" s="72">
        <v>13632</v>
      </c>
      <c r="H109" s="66"/>
      <c r="I109" s="72">
        <v>12889</v>
      </c>
      <c r="J109" s="63"/>
      <c r="K109" s="72">
        <v>12753</v>
      </c>
      <c r="L109" s="63" t="s">
        <v>1013</v>
      </c>
      <c r="M109" s="64">
        <v>13301</v>
      </c>
      <c r="N109" s="66"/>
    </row>
    <row r="110" spans="1:14" ht="11.25" customHeight="1">
      <c r="A110" s="87" t="s">
        <v>41</v>
      </c>
      <c r="B110" s="86"/>
      <c r="C110" s="57" t="s">
        <v>754</v>
      </c>
      <c r="D110" s="81"/>
      <c r="E110" s="72">
        <v>11877</v>
      </c>
      <c r="F110" s="66"/>
      <c r="G110" s="72">
        <v>13295</v>
      </c>
      <c r="H110" s="66"/>
      <c r="I110" s="72">
        <v>10898</v>
      </c>
      <c r="J110" s="66"/>
      <c r="K110" s="72">
        <v>12014</v>
      </c>
      <c r="L110" s="63" t="s">
        <v>1013</v>
      </c>
      <c r="M110" s="64">
        <v>13326</v>
      </c>
      <c r="N110" s="63"/>
    </row>
    <row r="111" spans="1:4" ht="11.25" customHeight="1">
      <c r="A111" s="56" t="s">
        <v>42</v>
      </c>
      <c r="B111" s="86"/>
      <c r="C111" s="57"/>
      <c r="D111" s="81"/>
    </row>
    <row r="112" spans="1:14" ht="11.25" customHeight="1">
      <c r="A112" s="87" t="s">
        <v>43</v>
      </c>
      <c r="B112" s="86"/>
      <c r="C112" s="57" t="s">
        <v>754</v>
      </c>
      <c r="D112" s="81"/>
      <c r="E112" s="72">
        <v>65414</v>
      </c>
      <c r="F112" s="66"/>
      <c r="G112" s="72">
        <v>67603</v>
      </c>
      <c r="H112" s="66"/>
      <c r="I112" s="72">
        <v>63619</v>
      </c>
      <c r="J112" s="63" t="s">
        <v>1013</v>
      </c>
      <c r="K112" s="72">
        <v>57463</v>
      </c>
      <c r="L112" s="63" t="s">
        <v>1013</v>
      </c>
      <c r="M112" s="64">
        <v>59767</v>
      </c>
      <c r="N112" s="66"/>
    </row>
    <row r="113" spans="1:14" ht="11.25" customHeight="1">
      <c r="A113" s="87" t="s">
        <v>44</v>
      </c>
      <c r="B113" s="85"/>
      <c r="C113" s="57" t="s">
        <v>754</v>
      </c>
      <c r="D113" s="81"/>
      <c r="E113" s="72">
        <v>7839</v>
      </c>
      <c r="F113" s="66"/>
      <c r="G113" s="72">
        <v>7953</v>
      </c>
      <c r="H113" s="66"/>
      <c r="I113" s="72">
        <v>8162</v>
      </c>
      <c r="J113" s="63"/>
      <c r="K113" s="72">
        <v>7681</v>
      </c>
      <c r="L113" s="63" t="s">
        <v>1013</v>
      </c>
      <c r="M113" s="64">
        <v>7703</v>
      </c>
      <c r="N113" s="63"/>
    </row>
    <row r="114" spans="1:14" ht="11.25" customHeight="1">
      <c r="A114" s="87" t="s">
        <v>45</v>
      </c>
      <c r="B114" s="88"/>
      <c r="C114" s="57" t="s">
        <v>754</v>
      </c>
      <c r="D114" s="81"/>
      <c r="E114" s="83">
        <v>11617</v>
      </c>
      <c r="F114" s="68"/>
      <c r="G114" s="83">
        <v>13115</v>
      </c>
      <c r="H114" s="68"/>
      <c r="I114" s="83">
        <v>13239</v>
      </c>
      <c r="J114" s="69"/>
      <c r="K114" s="83">
        <v>13185</v>
      </c>
      <c r="L114" s="69" t="s">
        <v>1013</v>
      </c>
      <c r="M114" s="70">
        <v>13578</v>
      </c>
      <c r="N114" s="69"/>
    </row>
    <row r="115" spans="1:14" ht="11.25" customHeight="1">
      <c r="A115" s="88" t="s">
        <v>46</v>
      </c>
      <c r="B115" s="86"/>
      <c r="C115" s="57" t="s">
        <v>754</v>
      </c>
      <c r="D115" s="81"/>
      <c r="E115" s="72">
        <f>SUM(E108:E114)</f>
        <v>184383</v>
      </c>
      <c r="F115" s="63"/>
      <c r="G115" s="72">
        <f>SUM(G108:G114)</f>
        <v>185771</v>
      </c>
      <c r="H115" s="63"/>
      <c r="I115" s="72">
        <f>SUM(I108:I114)</f>
        <v>174373</v>
      </c>
      <c r="J115" s="63" t="s">
        <v>1013</v>
      </c>
      <c r="K115" s="72">
        <f>SUM(K108:K114)</f>
        <v>165594</v>
      </c>
      <c r="L115" s="63" t="s">
        <v>1013</v>
      </c>
      <c r="M115" s="72">
        <f>SUM(M108:M114)</f>
        <v>176381</v>
      </c>
      <c r="N115" s="63"/>
    </row>
    <row r="116" spans="1:14" ht="11.25" customHeight="1">
      <c r="A116" s="50" t="s">
        <v>97</v>
      </c>
      <c r="B116" s="86"/>
      <c r="C116" s="57" t="s">
        <v>754</v>
      </c>
      <c r="D116" s="81"/>
      <c r="E116" s="72">
        <v>80</v>
      </c>
      <c r="F116" s="63"/>
      <c r="G116" s="72">
        <v>80</v>
      </c>
      <c r="H116" s="63"/>
      <c r="I116" s="72">
        <v>80</v>
      </c>
      <c r="J116" s="63"/>
      <c r="K116" s="72">
        <v>80</v>
      </c>
      <c r="L116" s="63"/>
      <c r="M116" s="72">
        <v>80</v>
      </c>
      <c r="N116" s="63"/>
    </row>
    <row r="117" spans="1:14" ht="11.25" customHeight="1">
      <c r="A117" s="55" t="s">
        <v>47</v>
      </c>
      <c r="B117" s="88"/>
      <c r="C117" s="84"/>
      <c r="D117" s="81"/>
      <c r="E117" s="72"/>
      <c r="F117" s="63"/>
      <c r="G117" s="72"/>
      <c r="H117" s="63"/>
      <c r="I117" s="72"/>
      <c r="J117" s="63"/>
      <c r="K117" s="72"/>
      <c r="L117" s="63"/>
      <c r="M117" s="72"/>
      <c r="N117" s="63"/>
    </row>
    <row r="118" spans="1:14" ht="11.25" customHeight="1">
      <c r="A118" s="85" t="s">
        <v>27</v>
      </c>
      <c r="B118" s="86"/>
      <c r="C118" s="57" t="s">
        <v>754</v>
      </c>
      <c r="D118" s="81"/>
      <c r="E118" s="82">
        <v>1093</v>
      </c>
      <c r="F118" s="60"/>
      <c r="G118" s="82">
        <v>1014</v>
      </c>
      <c r="H118" s="60"/>
      <c r="I118" s="82">
        <v>939</v>
      </c>
      <c r="J118" s="60"/>
      <c r="K118" s="82">
        <v>1055</v>
      </c>
      <c r="L118" s="60"/>
      <c r="M118" s="61">
        <v>1114</v>
      </c>
      <c r="N118" s="60"/>
    </row>
    <row r="119" spans="1:14" ht="11.25" customHeight="1">
      <c r="A119" s="85" t="s">
        <v>48</v>
      </c>
      <c r="B119" s="86"/>
      <c r="C119" s="84"/>
      <c r="D119" s="81"/>
      <c r="E119" s="72"/>
      <c r="F119" s="63"/>
      <c r="G119" s="72"/>
      <c r="H119" s="63"/>
      <c r="I119" s="72"/>
      <c r="J119" s="63"/>
      <c r="K119" s="72"/>
      <c r="L119" s="63"/>
      <c r="M119" s="72"/>
      <c r="N119" s="63"/>
    </row>
    <row r="120" spans="1:14" ht="11.25" customHeight="1">
      <c r="A120" s="87" t="s">
        <v>98</v>
      </c>
      <c r="B120" s="86"/>
      <c r="C120" s="57" t="s">
        <v>754</v>
      </c>
      <c r="D120" s="81"/>
      <c r="E120" s="72">
        <v>754</v>
      </c>
      <c r="F120" s="66"/>
      <c r="G120" s="72">
        <v>701</v>
      </c>
      <c r="H120" s="66"/>
      <c r="I120" s="72">
        <v>591</v>
      </c>
      <c r="J120" s="63"/>
      <c r="K120" s="72">
        <v>600</v>
      </c>
      <c r="L120" s="63"/>
      <c r="M120" s="64">
        <v>600</v>
      </c>
      <c r="N120" s="63"/>
    </row>
    <row r="121" spans="1:14" ht="11.25" customHeight="1">
      <c r="A121" s="87" t="s">
        <v>49</v>
      </c>
      <c r="B121" s="86"/>
      <c r="C121" s="57" t="s">
        <v>754</v>
      </c>
      <c r="D121" s="81"/>
      <c r="E121" s="83">
        <v>1745</v>
      </c>
      <c r="F121" s="68"/>
      <c r="G121" s="83">
        <v>1661</v>
      </c>
      <c r="H121" s="68"/>
      <c r="I121" s="83">
        <v>1503</v>
      </c>
      <c r="J121" s="69"/>
      <c r="K121" s="83">
        <v>1585</v>
      </c>
      <c r="L121" s="69"/>
      <c r="M121" s="83">
        <v>1686</v>
      </c>
      <c r="N121" s="69"/>
    </row>
    <row r="122" spans="1:14" ht="11.25" customHeight="1">
      <c r="A122" s="88" t="s">
        <v>1017</v>
      </c>
      <c r="B122" s="86"/>
      <c r="C122" s="57" t="s">
        <v>754</v>
      </c>
      <c r="D122" s="81"/>
      <c r="E122" s="72">
        <f>SUM(E120:E121)</f>
        <v>2499</v>
      </c>
      <c r="F122" s="66"/>
      <c r="G122" s="72">
        <f>SUM(G120:G121)</f>
        <v>2362</v>
      </c>
      <c r="H122" s="66"/>
      <c r="I122" s="72">
        <f>SUM(I120:I121)</f>
        <v>2094</v>
      </c>
      <c r="J122" s="63"/>
      <c r="K122" s="72">
        <v>2190</v>
      </c>
      <c r="L122" s="63" t="s">
        <v>733</v>
      </c>
      <c r="M122" s="72">
        <v>2290</v>
      </c>
      <c r="N122" s="63" t="s">
        <v>733</v>
      </c>
    </row>
    <row r="123" spans="1:14" ht="11.25" customHeight="1">
      <c r="A123" s="159" t="s">
        <v>765</v>
      </c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</row>
    <row r="124" spans="1:14" ht="11.25" customHeight="1">
      <c r="A124" s="157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</row>
    <row r="125" spans="1:14" ht="11.25" customHeight="1">
      <c r="A125" s="157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</row>
    <row r="126" spans="1:14" ht="11.25" customHeight="1">
      <c r="A126" s="157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</row>
    <row r="127" spans="1:14" ht="11.25" customHeight="1">
      <c r="A127" s="155" t="s">
        <v>5</v>
      </c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</row>
    <row r="128" spans="1:14" ht="11.25" customHeight="1">
      <c r="A128" s="155" t="s">
        <v>83</v>
      </c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</row>
    <row r="129" spans="1:14" ht="11.25" customHeight="1">
      <c r="A129" s="158"/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</row>
    <row r="130" spans="1:14" ht="11.25" customHeight="1">
      <c r="A130" s="155" t="s">
        <v>1004</v>
      </c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</row>
    <row r="131" spans="1:14" ht="11.25" customHeight="1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</row>
    <row r="132" spans="1:14" ht="11.25" customHeight="1">
      <c r="A132" s="156" t="s">
        <v>713</v>
      </c>
      <c r="B132" s="156"/>
      <c r="C132" s="156"/>
      <c r="D132" s="50"/>
      <c r="E132" s="51" t="s">
        <v>1005</v>
      </c>
      <c r="F132" s="52"/>
      <c r="G132" s="51" t="s">
        <v>1006</v>
      </c>
      <c r="H132" s="52"/>
      <c r="I132" s="51" t="s">
        <v>1007</v>
      </c>
      <c r="J132" s="52"/>
      <c r="K132" s="51" t="s">
        <v>1008</v>
      </c>
      <c r="L132" s="52"/>
      <c r="M132" s="51" t="s">
        <v>1009</v>
      </c>
      <c r="N132" s="52"/>
    </row>
    <row r="133" spans="1:14" ht="11.25" customHeight="1">
      <c r="A133" s="161" t="s">
        <v>50</v>
      </c>
      <c r="B133" s="161"/>
      <c r="C133" s="161"/>
      <c r="D133" s="47"/>
      <c r="E133" s="62"/>
      <c r="F133" s="63"/>
      <c r="G133" s="62"/>
      <c r="H133" s="63"/>
      <c r="I133" s="62"/>
      <c r="J133" s="63"/>
      <c r="K133" s="62"/>
      <c r="L133" s="63"/>
      <c r="M133" s="62"/>
      <c r="N133" s="63"/>
    </row>
    <row r="134" spans="1:14" ht="11.25" customHeight="1">
      <c r="A134" s="55" t="s">
        <v>51</v>
      </c>
      <c r="B134" s="50"/>
      <c r="C134" s="57"/>
      <c r="D134" s="47"/>
      <c r="E134" s="62">
        <v>8011</v>
      </c>
      <c r="F134" s="66"/>
      <c r="G134" s="62">
        <v>1680</v>
      </c>
      <c r="H134" s="66"/>
      <c r="I134" s="72" t="s">
        <v>1018</v>
      </c>
      <c r="J134" s="63"/>
      <c r="K134" s="72" t="s">
        <v>1018</v>
      </c>
      <c r="L134" s="66"/>
      <c r="M134" s="72" t="s">
        <v>1018</v>
      </c>
      <c r="N134" s="66"/>
    </row>
    <row r="135" spans="1:14" ht="11.25" customHeight="1">
      <c r="A135" s="55" t="s">
        <v>56</v>
      </c>
      <c r="B135" s="56"/>
      <c r="C135" s="57"/>
      <c r="D135" s="47"/>
      <c r="E135" s="62"/>
      <c r="F135" s="66"/>
      <c r="G135" s="62"/>
      <c r="H135" s="66"/>
      <c r="I135" s="62"/>
      <c r="J135" s="63"/>
      <c r="K135" s="62"/>
      <c r="L135" s="63"/>
      <c r="M135" s="62"/>
      <c r="N135" s="63"/>
    </row>
    <row r="136" spans="1:14" ht="11.25" customHeight="1">
      <c r="A136" s="56" t="s">
        <v>57</v>
      </c>
      <c r="B136" s="56"/>
      <c r="C136" s="57" t="s">
        <v>1012</v>
      </c>
      <c r="D136" s="47"/>
      <c r="E136" s="62">
        <v>26363</v>
      </c>
      <c r="F136" s="63" t="s">
        <v>1013</v>
      </c>
      <c r="G136" s="62">
        <v>25873</v>
      </c>
      <c r="H136" s="63" t="s">
        <v>1013</v>
      </c>
      <c r="I136" s="62">
        <v>25872</v>
      </c>
      <c r="J136" s="63" t="s">
        <v>1013</v>
      </c>
      <c r="K136" s="62">
        <v>24907</v>
      </c>
      <c r="L136" s="63" t="s">
        <v>1013</v>
      </c>
      <c r="M136" s="62">
        <v>20882</v>
      </c>
      <c r="N136" s="66"/>
    </row>
    <row r="137" spans="1:14" ht="11.25" customHeight="1">
      <c r="A137" s="56" t="s">
        <v>783</v>
      </c>
      <c r="B137" s="56"/>
      <c r="C137" s="57" t="s">
        <v>754</v>
      </c>
      <c r="D137" s="81"/>
      <c r="E137" s="62">
        <v>181746</v>
      </c>
      <c r="F137" s="63" t="s">
        <v>1013</v>
      </c>
      <c r="G137" s="62">
        <v>179087</v>
      </c>
      <c r="H137" s="63" t="s">
        <v>1013</v>
      </c>
      <c r="I137" s="62">
        <v>181926</v>
      </c>
      <c r="J137" s="66"/>
      <c r="K137" s="62">
        <v>177908</v>
      </c>
      <c r="L137" s="63" t="s">
        <v>1013</v>
      </c>
      <c r="M137" s="62">
        <v>176324</v>
      </c>
      <c r="N137" s="66"/>
    </row>
    <row r="138" spans="1:14" ht="11.25" customHeight="1">
      <c r="A138" s="55" t="s">
        <v>58</v>
      </c>
      <c r="B138" s="56"/>
      <c r="C138" s="57"/>
      <c r="D138" s="47"/>
      <c r="E138" s="62"/>
      <c r="F138" s="63"/>
      <c r="G138" s="62"/>
      <c r="H138" s="63"/>
      <c r="I138" s="62"/>
      <c r="J138" s="63"/>
      <c r="K138" s="62"/>
      <c r="L138" s="63"/>
      <c r="M138" s="62"/>
      <c r="N138" s="63"/>
    </row>
    <row r="139" spans="1:14" ht="11.25" customHeight="1">
      <c r="A139" s="56" t="s">
        <v>59</v>
      </c>
      <c r="B139" s="56"/>
      <c r="C139" s="57" t="s">
        <v>754</v>
      </c>
      <c r="D139" s="47"/>
      <c r="E139" s="62">
        <v>7226</v>
      </c>
      <c r="F139" s="66"/>
      <c r="G139" s="62">
        <v>7827</v>
      </c>
      <c r="H139" s="66"/>
      <c r="I139" s="62">
        <v>8479</v>
      </c>
      <c r="J139" s="63" t="s">
        <v>1013</v>
      </c>
      <c r="K139" s="62">
        <v>8397</v>
      </c>
      <c r="L139" s="63" t="s">
        <v>1013</v>
      </c>
      <c r="M139" s="62">
        <v>8372</v>
      </c>
      <c r="N139" s="63"/>
    </row>
    <row r="140" spans="1:14" ht="11.25" customHeight="1">
      <c r="A140" s="56" t="s">
        <v>60</v>
      </c>
      <c r="B140" s="56"/>
      <c r="C140" s="57" t="s">
        <v>754</v>
      </c>
      <c r="D140" s="47"/>
      <c r="E140" s="62">
        <v>154</v>
      </c>
      <c r="F140" s="63" t="s">
        <v>733</v>
      </c>
      <c r="G140" s="62">
        <v>165</v>
      </c>
      <c r="H140" s="66"/>
      <c r="I140" s="62">
        <v>187</v>
      </c>
      <c r="J140" s="66"/>
      <c r="K140" s="62">
        <v>173</v>
      </c>
      <c r="L140" s="66"/>
      <c r="M140" s="64">
        <v>181</v>
      </c>
      <c r="N140" s="66"/>
    </row>
    <row r="141" spans="1:14" ht="11.25" customHeight="1">
      <c r="A141" s="55" t="s">
        <v>61</v>
      </c>
      <c r="B141" s="56"/>
      <c r="C141" s="57"/>
      <c r="D141" s="47"/>
      <c r="E141" s="62"/>
      <c r="F141" s="63"/>
      <c r="G141" s="62"/>
      <c r="H141" s="63"/>
      <c r="I141" s="62"/>
      <c r="J141" s="63"/>
      <c r="K141" s="62"/>
      <c r="L141" s="63"/>
      <c r="M141" s="64"/>
      <c r="N141" s="63"/>
    </row>
    <row r="142" spans="1:14" ht="11.25" customHeight="1">
      <c r="A142" s="56" t="s">
        <v>59</v>
      </c>
      <c r="B142" s="56"/>
      <c r="C142" s="57" t="s">
        <v>754</v>
      </c>
      <c r="D142" s="47"/>
      <c r="E142" s="62">
        <v>124</v>
      </c>
      <c r="F142" s="66"/>
      <c r="G142" s="62">
        <v>114</v>
      </c>
      <c r="H142" s="66"/>
      <c r="I142" s="62">
        <v>102</v>
      </c>
      <c r="J142" s="66"/>
      <c r="K142" s="62">
        <v>92</v>
      </c>
      <c r="L142" s="66"/>
      <c r="M142" s="64">
        <v>96</v>
      </c>
      <c r="N142" s="66"/>
    </row>
    <row r="143" spans="1:14" ht="11.25" customHeight="1">
      <c r="A143" s="56" t="s">
        <v>954</v>
      </c>
      <c r="B143" s="56"/>
      <c r="C143" s="57" t="s">
        <v>754</v>
      </c>
      <c r="D143" s="81"/>
      <c r="E143" s="62">
        <v>1365</v>
      </c>
      <c r="F143" s="66"/>
      <c r="G143" s="62">
        <v>1466</v>
      </c>
      <c r="H143" s="66"/>
      <c r="I143" s="62">
        <v>1435</v>
      </c>
      <c r="J143" s="66"/>
      <c r="K143" s="62">
        <v>1490</v>
      </c>
      <c r="L143" s="63" t="s">
        <v>1013</v>
      </c>
      <c r="M143" s="62">
        <v>1662</v>
      </c>
      <c r="N143" s="66"/>
    </row>
    <row r="144" spans="1:14" ht="11.25" customHeight="1">
      <c r="A144" s="55" t="s">
        <v>62</v>
      </c>
      <c r="B144" s="56"/>
      <c r="C144" s="57"/>
      <c r="D144" s="47"/>
      <c r="E144" s="58"/>
      <c r="F144" s="60"/>
      <c r="G144" s="58"/>
      <c r="H144" s="60"/>
      <c r="I144" s="58"/>
      <c r="J144" s="60"/>
      <c r="K144" s="58"/>
      <c r="L144" s="60"/>
      <c r="M144" s="58"/>
      <c r="N144" s="60"/>
    </row>
    <row r="145" spans="1:14" ht="11.25" customHeight="1">
      <c r="A145" s="56" t="s">
        <v>99</v>
      </c>
      <c r="B145" s="56"/>
      <c r="C145" s="57"/>
      <c r="D145" s="47"/>
      <c r="E145" s="62"/>
      <c r="F145" s="63"/>
      <c r="G145" s="62"/>
      <c r="H145" s="63"/>
      <c r="I145" s="62"/>
      <c r="J145" s="63"/>
      <c r="K145" s="62"/>
      <c r="L145" s="63"/>
      <c r="M145" s="62"/>
      <c r="N145" s="63"/>
    </row>
    <row r="146" spans="1:14" ht="11.25" customHeight="1">
      <c r="A146" s="65" t="s">
        <v>63</v>
      </c>
      <c r="B146" s="56"/>
      <c r="C146" s="57" t="s">
        <v>64</v>
      </c>
      <c r="D146" s="47"/>
      <c r="E146" s="62">
        <v>8781</v>
      </c>
      <c r="F146" s="77">
        <v>2</v>
      </c>
      <c r="G146" s="62">
        <v>8936</v>
      </c>
      <c r="H146" s="77">
        <v>2</v>
      </c>
      <c r="I146" s="62">
        <v>9100</v>
      </c>
      <c r="J146" s="63"/>
      <c r="K146" s="62">
        <v>8800</v>
      </c>
      <c r="L146" s="63"/>
      <c r="M146" s="64">
        <v>9000</v>
      </c>
      <c r="N146" s="63"/>
    </row>
    <row r="147" spans="1:14" ht="11.25" customHeight="1">
      <c r="A147" s="65" t="s">
        <v>65</v>
      </c>
      <c r="B147" s="56"/>
      <c r="C147" s="57" t="s">
        <v>754</v>
      </c>
      <c r="D147" s="47"/>
      <c r="E147" s="67">
        <v>3310</v>
      </c>
      <c r="F147" s="76">
        <v>2</v>
      </c>
      <c r="G147" s="67">
        <v>2870</v>
      </c>
      <c r="H147" s="91">
        <v>2</v>
      </c>
      <c r="I147" s="67">
        <v>3000</v>
      </c>
      <c r="J147" s="69"/>
      <c r="K147" s="67">
        <v>2900</v>
      </c>
      <c r="L147" s="69"/>
      <c r="M147" s="70">
        <v>3000</v>
      </c>
      <c r="N147" s="69"/>
    </row>
    <row r="148" spans="1:14" ht="11.25" customHeight="1">
      <c r="A148" s="71" t="s">
        <v>1017</v>
      </c>
      <c r="B148" s="56"/>
      <c r="C148" s="57" t="s">
        <v>754</v>
      </c>
      <c r="D148" s="47"/>
      <c r="E148" s="62">
        <f>SUM(E146:E147)</f>
        <v>12091</v>
      </c>
      <c r="F148" s="77">
        <v>2</v>
      </c>
      <c r="G148" s="62">
        <f>SUM(G146:G147)</f>
        <v>11806</v>
      </c>
      <c r="H148" s="92">
        <v>2</v>
      </c>
      <c r="I148" s="62">
        <f>SUM(I146:I147)</f>
        <v>12100</v>
      </c>
      <c r="J148" s="63"/>
      <c r="K148" s="62">
        <f>SUM(K146:K147)</f>
        <v>11700</v>
      </c>
      <c r="L148" s="63"/>
      <c r="M148" s="62">
        <f>SUM(M146:M147)</f>
        <v>12000</v>
      </c>
      <c r="N148" s="63"/>
    </row>
    <row r="149" spans="1:14" ht="11.25" customHeight="1">
      <c r="A149" s="56" t="s">
        <v>66</v>
      </c>
      <c r="B149" s="56"/>
      <c r="C149" s="57"/>
      <c r="D149" s="47"/>
      <c r="E149" s="62"/>
      <c r="F149" s="63"/>
      <c r="G149" s="62"/>
      <c r="H149" s="63"/>
      <c r="I149" s="62"/>
      <c r="J149" s="63"/>
      <c r="K149" s="62"/>
      <c r="L149" s="63"/>
      <c r="M149" s="62"/>
      <c r="N149" s="63"/>
    </row>
    <row r="150" spans="1:14" ht="11.25" customHeight="1">
      <c r="A150" s="65" t="s">
        <v>67</v>
      </c>
      <c r="B150" s="56"/>
      <c r="C150" s="57" t="s">
        <v>789</v>
      </c>
      <c r="D150" s="47"/>
      <c r="E150" s="62">
        <v>21422</v>
      </c>
      <c r="F150" s="66"/>
      <c r="G150" s="62">
        <v>22092</v>
      </c>
      <c r="H150" s="63"/>
      <c r="I150" s="62">
        <v>20264</v>
      </c>
      <c r="J150" s="63" t="s">
        <v>1013</v>
      </c>
      <c r="K150" s="62">
        <v>19762</v>
      </c>
      <c r="L150" s="63" t="s">
        <v>1013</v>
      </c>
      <c r="M150" s="62">
        <v>19667</v>
      </c>
      <c r="N150" s="63"/>
    </row>
    <row r="151" spans="1:14" ht="11.25" customHeight="1">
      <c r="A151" s="65" t="s">
        <v>27</v>
      </c>
      <c r="B151" s="56"/>
      <c r="C151" s="57" t="s">
        <v>754</v>
      </c>
      <c r="D151" s="47"/>
      <c r="E151" s="62">
        <v>20116</v>
      </c>
      <c r="F151" s="63"/>
      <c r="G151" s="62">
        <v>20190</v>
      </c>
      <c r="H151" s="63"/>
      <c r="I151" s="62">
        <v>19333</v>
      </c>
      <c r="J151" s="63"/>
      <c r="K151" s="62">
        <v>18666</v>
      </c>
      <c r="L151" s="63" t="s">
        <v>1013</v>
      </c>
      <c r="M151" s="62">
        <v>18443</v>
      </c>
      <c r="N151" s="63"/>
    </row>
    <row r="152" spans="1:14" ht="11.25" customHeight="1">
      <c r="A152" s="55" t="s">
        <v>55</v>
      </c>
      <c r="B152" s="56"/>
      <c r="C152" s="57"/>
      <c r="D152" s="47"/>
      <c r="E152" s="62"/>
      <c r="F152" s="63"/>
      <c r="G152" s="62"/>
      <c r="H152" s="63"/>
      <c r="I152" s="62"/>
      <c r="J152" s="63"/>
      <c r="K152" s="62"/>
      <c r="L152" s="63"/>
      <c r="M152" s="62"/>
      <c r="N152" s="63"/>
    </row>
    <row r="153" spans="1:14" ht="11.25" customHeight="1">
      <c r="A153" s="56" t="s">
        <v>796</v>
      </c>
      <c r="B153" s="56"/>
      <c r="C153" s="57" t="s">
        <v>799</v>
      </c>
      <c r="D153" s="47"/>
      <c r="E153" s="58">
        <f>ROUND((3768054*7.33)/1000,-2)</f>
        <v>27600</v>
      </c>
      <c r="F153" s="59"/>
      <c r="G153" s="58">
        <f>ROUND((3799864*7.33)/1000,-2)</f>
        <v>27900</v>
      </c>
      <c r="H153" s="59"/>
      <c r="I153" s="58">
        <f>ROUND((3515537*7.33)/1000,-2)</f>
        <v>25800</v>
      </c>
      <c r="J153" s="59"/>
      <c r="K153" s="58">
        <f>ROUND(3572.764*7.33,-2)</f>
        <v>26200</v>
      </c>
      <c r="L153" s="59"/>
      <c r="M153" s="58">
        <f>ROUND(3514*7.33,-2)</f>
        <v>25800</v>
      </c>
      <c r="N153" s="59"/>
    </row>
    <row r="154" spans="1:14" ht="11.25" customHeight="1">
      <c r="A154" s="56" t="s">
        <v>68</v>
      </c>
      <c r="B154" s="56"/>
      <c r="C154" s="57"/>
      <c r="D154" s="47"/>
      <c r="E154" s="62"/>
      <c r="F154" s="63"/>
      <c r="G154" s="62"/>
      <c r="H154" s="63"/>
      <c r="I154" s="62"/>
      <c r="J154" s="63"/>
      <c r="K154" s="62"/>
      <c r="L154" s="63"/>
      <c r="M154" s="62"/>
      <c r="N154" s="63"/>
    </row>
    <row r="155" spans="1:14" ht="11.25" customHeight="1">
      <c r="A155" s="65" t="s">
        <v>69</v>
      </c>
      <c r="B155" s="56"/>
      <c r="C155" s="57" t="s">
        <v>754</v>
      </c>
      <c r="D155" s="47"/>
      <c r="E155" s="62">
        <f>ROUND(37180.60514,-3)</f>
        <v>37000</v>
      </c>
      <c r="F155" s="63"/>
      <c r="G155" s="62">
        <f>ROUND(38441.63692,-3)</f>
        <v>38000</v>
      </c>
      <c r="H155" s="63"/>
      <c r="I155" s="62">
        <f>ROUND(36709.99992,-3)</f>
        <v>37000</v>
      </c>
      <c r="J155" s="63"/>
      <c r="K155" s="62">
        <f>ROUND(37126.93886,-3)</f>
        <v>37000</v>
      </c>
      <c r="L155" s="66"/>
      <c r="M155" s="62">
        <f>ROUND(36796.5,-3)</f>
        <v>37000</v>
      </c>
      <c r="N155" s="66"/>
    </row>
    <row r="156" spans="1:14" ht="11.25" customHeight="1">
      <c r="A156" s="65" t="s">
        <v>70</v>
      </c>
      <c r="B156" s="56"/>
      <c r="C156" s="57" t="s">
        <v>754</v>
      </c>
      <c r="D156" s="47"/>
      <c r="E156" s="62">
        <f>ROUND(351172.5574,-4)</f>
        <v>350000</v>
      </c>
      <c r="F156" s="63"/>
      <c r="G156" s="62">
        <f>ROUND(359928.5038,-4)</f>
        <v>360000</v>
      </c>
      <c r="H156" s="63"/>
      <c r="I156" s="62">
        <f>ROUND(368786.363,-4)</f>
        <v>370000</v>
      </c>
      <c r="J156" s="63"/>
      <c r="K156" s="62">
        <f>ROUND(390978.9408,-4)</f>
        <v>390000</v>
      </c>
      <c r="L156" s="66"/>
      <c r="M156" s="62">
        <f>ROUND(383793.6,-4)</f>
        <v>380000</v>
      </c>
      <c r="N156" s="66"/>
    </row>
    <row r="157" spans="1:14" ht="11.25" customHeight="1">
      <c r="A157" s="65" t="s">
        <v>71</v>
      </c>
      <c r="B157" s="56"/>
      <c r="C157" s="57" t="s">
        <v>754</v>
      </c>
      <c r="D157" s="47"/>
      <c r="E157" s="62">
        <f>ROUND(64500.06907,-3)</f>
        <v>65000</v>
      </c>
      <c r="F157" s="63"/>
      <c r="G157" s="62">
        <f>ROUND(68809.37952,-3)</f>
        <v>69000</v>
      </c>
      <c r="H157" s="63"/>
      <c r="I157" s="62">
        <f>ROUND(77324.83813,-3)</f>
        <v>77000</v>
      </c>
      <c r="J157" s="63"/>
      <c r="K157" s="62">
        <f>ROUND(74484.16091,-3)</f>
        <v>74000</v>
      </c>
      <c r="L157" s="66"/>
      <c r="M157" s="62">
        <f>ROUND(76228.51,-3)</f>
        <v>76000</v>
      </c>
      <c r="N157" s="66"/>
    </row>
    <row r="158" spans="1:14" ht="11.25" customHeight="1">
      <c r="A158" s="65" t="s">
        <v>72</v>
      </c>
      <c r="B158" s="56"/>
      <c r="C158" s="57" t="s">
        <v>754</v>
      </c>
      <c r="D158" s="47"/>
      <c r="E158" s="62">
        <f>ROUND(208494.048,-4)</f>
        <v>210000</v>
      </c>
      <c r="F158" s="63"/>
      <c r="G158" s="62">
        <f>ROUND(208975.494,-4)</f>
        <v>210000</v>
      </c>
      <c r="H158" s="63"/>
      <c r="I158" s="62">
        <f>ROUND(207494.7504,-4)</f>
        <v>210000</v>
      </c>
      <c r="J158" s="63"/>
      <c r="K158" s="62">
        <f>ROUND(213567.8748,-4)</f>
        <v>210000</v>
      </c>
      <c r="L158" s="66"/>
      <c r="M158" s="62">
        <f>ROUND(209361.6,-4)</f>
        <v>210000</v>
      </c>
      <c r="N158" s="66"/>
    </row>
    <row r="159" spans="1:14" ht="11.25" customHeight="1">
      <c r="A159" s="65" t="s">
        <v>73</v>
      </c>
      <c r="B159" s="56"/>
      <c r="C159" s="57" t="s">
        <v>754</v>
      </c>
      <c r="D159" s="47"/>
      <c r="E159" s="62">
        <f>ROUND(31944.22309,-3)</f>
        <v>32000</v>
      </c>
      <c r="F159" s="63"/>
      <c r="G159" s="62">
        <f>ROUND(32249.82657,-3)</f>
        <v>32000</v>
      </c>
      <c r="H159" s="63"/>
      <c r="I159" s="62">
        <f>ROUND(33983.27725,-3)</f>
        <v>34000</v>
      </c>
      <c r="J159" s="63"/>
      <c r="K159" s="62">
        <f>ROUND(32720.58049,-3)</f>
        <v>33000</v>
      </c>
      <c r="L159" s="66"/>
      <c r="M159" s="62">
        <f>ROUND(33878.39,-3)</f>
        <v>34000</v>
      </c>
      <c r="N159" s="66"/>
    </row>
    <row r="160" spans="1:14" ht="11.25" customHeight="1">
      <c r="A160" s="65" t="s">
        <v>74</v>
      </c>
      <c r="B160" s="56"/>
      <c r="C160" s="57" t="s">
        <v>754</v>
      </c>
      <c r="D160" s="47"/>
      <c r="E160" s="62">
        <f>ROUND(82437.9528,-3)</f>
        <v>82000</v>
      </c>
      <c r="F160" s="63"/>
      <c r="G160" s="62">
        <f>ROUND(86214.6432,-3)</f>
        <v>86000</v>
      </c>
      <c r="H160" s="63"/>
      <c r="I160" s="62">
        <f>ROUND(94069.2312,-3)</f>
        <v>94000</v>
      </c>
      <c r="J160" s="63"/>
      <c r="K160" s="62">
        <f>ROUND(93567.9024,-3)</f>
        <v>94000</v>
      </c>
      <c r="L160" s="66"/>
      <c r="M160" s="62">
        <f>ROUND(89569.2,-3)</f>
        <v>90000</v>
      </c>
      <c r="N160" s="66"/>
    </row>
    <row r="161" spans="1:14" ht="11.25" customHeight="1">
      <c r="A161" s="65" t="s">
        <v>75</v>
      </c>
      <c r="B161" s="56"/>
      <c r="C161" s="57" t="s">
        <v>754</v>
      </c>
      <c r="D161" s="47"/>
      <c r="E161" s="62">
        <f>ROUND(48675.63,-2)</f>
        <v>48700</v>
      </c>
      <c r="F161" s="63"/>
      <c r="G161" s="62">
        <f>ROUND(51646.5408,-2)</f>
        <v>51600</v>
      </c>
      <c r="H161" s="63"/>
      <c r="I161" s="62">
        <f>ROUND(51325.2092,-2)</f>
        <v>51300</v>
      </c>
      <c r="J161" s="63"/>
      <c r="K161" s="62">
        <f>ROUND(50629.4992,-2)</f>
        <v>50600</v>
      </c>
      <c r="L161" s="66"/>
      <c r="M161" s="62">
        <f>ROUND(49079.6,-2)</f>
        <v>49100</v>
      </c>
      <c r="N161" s="66"/>
    </row>
    <row r="162" spans="1:14" ht="11.25" customHeight="1">
      <c r="A162" s="65" t="s">
        <v>76</v>
      </c>
      <c r="B162" s="56"/>
      <c r="C162" s="57" t="s">
        <v>754</v>
      </c>
      <c r="D162" s="47"/>
      <c r="E162" s="62">
        <f>ROUND(31866.73137,-3)</f>
        <v>32000</v>
      </c>
      <c r="F162" s="63"/>
      <c r="G162" s="62">
        <f>ROUND(30170.25547,-3)</f>
        <v>30000</v>
      </c>
      <c r="H162" s="63"/>
      <c r="I162" s="62">
        <f>ROUND(28986.19442,-3)</f>
        <v>29000</v>
      </c>
      <c r="J162" s="63"/>
      <c r="K162" s="62">
        <f>ROUND(32109.09136,-3)</f>
        <v>32000</v>
      </c>
      <c r="L162" s="66"/>
      <c r="M162" s="62">
        <f>ROUND(30902.77,-3)</f>
        <v>31000</v>
      </c>
      <c r="N162" s="66"/>
    </row>
    <row r="163" spans="1:14" ht="11.25" customHeight="1">
      <c r="A163" s="65" t="s">
        <v>77</v>
      </c>
      <c r="B163" s="56"/>
      <c r="C163" s="57" t="s">
        <v>754</v>
      </c>
      <c r="D163" s="47"/>
      <c r="E163" s="62">
        <f>ROUND(10739.484,-3)</f>
        <v>11000</v>
      </c>
      <c r="F163" s="63"/>
      <c r="G163" s="62">
        <f>ROUND(11155.606,-3)</f>
        <v>11000</v>
      </c>
      <c r="H163" s="63"/>
      <c r="I163" s="62">
        <f>ROUND(14588.448,-3)</f>
        <v>15000</v>
      </c>
      <c r="J163" s="63"/>
      <c r="K163" s="62">
        <f>ROUND(14318.052,-3)</f>
        <v>14000</v>
      </c>
      <c r="L163" s="66"/>
      <c r="M163" s="62">
        <f>ROUND(15848,-3)</f>
        <v>16000</v>
      </c>
      <c r="N163" s="66"/>
    </row>
    <row r="164" spans="1:14" ht="11.25" customHeight="1">
      <c r="A164" s="65" t="s">
        <v>78</v>
      </c>
      <c r="B164" s="56"/>
      <c r="C164" s="57" t="s">
        <v>754</v>
      </c>
      <c r="D164" s="47"/>
      <c r="E164" s="62">
        <f>ROUND(9390.47252,-2)</f>
        <v>9400</v>
      </c>
      <c r="F164" s="63"/>
      <c r="G164" s="62">
        <f>ROUND(10291.41256,-3)</f>
        <v>10000</v>
      </c>
      <c r="H164" s="63"/>
      <c r="I164" s="62">
        <f>ROUND(10258.94012,-3)</f>
        <v>10000</v>
      </c>
      <c r="J164" s="63"/>
      <c r="K164" s="62">
        <f>ROUND(10934.30052,-3)</f>
        <v>11000</v>
      </c>
      <c r="L164" s="66"/>
      <c r="M164" s="62">
        <f>ROUND(10970.96,-3)</f>
        <v>11000</v>
      </c>
      <c r="N164" s="66"/>
    </row>
    <row r="165" spans="1:14" ht="11.25" customHeight="1">
      <c r="A165" s="65" t="s">
        <v>79</v>
      </c>
      <c r="B165" s="56"/>
      <c r="C165" s="57" t="s">
        <v>754</v>
      </c>
      <c r="D165" s="47"/>
      <c r="E165" s="62">
        <f>ROUND(1460.732,-2)</f>
        <v>1500</v>
      </c>
      <c r="F165" s="63"/>
      <c r="G165" s="62">
        <f>ROUND(1510.593,-2)</f>
        <v>1500</v>
      </c>
      <c r="H165" s="63"/>
      <c r="I165" s="62">
        <f>ROUND(1844.325,-2)</f>
        <v>1800</v>
      </c>
      <c r="J165" s="63"/>
      <c r="K165" s="62">
        <f>ROUND(1767.773,-2)</f>
        <v>1800</v>
      </c>
      <c r="L165" s="66"/>
      <c r="M165" s="62">
        <f>ROUND(1953,-2)</f>
        <v>2000</v>
      </c>
      <c r="N165" s="66"/>
    </row>
    <row r="166" spans="1:14" ht="11.25" customHeight="1">
      <c r="A166" s="65" t="s">
        <v>80</v>
      </c>
      <c r="B166" s="56"/>
      <c r="C166" s="57" t="s">
        <v>754</v>
      </c>
      <c r="D166" s="47"/>
      <c r="E166" s="67">
        <f>ROUND(12487.99468,-3)</f>
        <v>12000</v>
      </c>
      <c r="F166" s="69"/>
      <c r="G166" s="67">
        <f>ROUND(8430.36956,-2)</f>
        <v>8400</v>
      </c>
      <c r="H166" s="69"/>
      <c r="I166" s="67">
        <f>ROUND(10904.87822,-3)</f>
        <v>11000</v>
      </c>
      <c r="J166" s="69"/>
      <c r="K166" s="67">
        <f>ROUND(9436.14854,-2)</f>
        <v>9400</v>
      </c>
      <c r="L166" s="68"/>
      <c r="M166" s="67">
        <f>ROUND(9846.218,-2)</f>
        <v>9800</v>
      </c>
      <c r="N166" s="68"/>
    </row>
    <row r="167" spans="1:14" ht="11.25" customHeight="1">
      <c r="A167" s="71" t="s">
        <v>1017</v>
      </c>
      <c r="B167" s="56"/>
      <c r="C167" s="57" t="s">
        <v>754</v>
      </c>
      <c r="D167" s="93"/>
      <c r="E167" s="94">
        <f>ROUND(SUM(E155:E166),-4)</f>
        <v>890000</v>
      </c>
      <c r="F167" s="95"/>
      <c r="G167" s="94">
        <f>ROUND(SUM(G155:G166),-4)</f>
        <v>910000</v>
      </c>
      <c r="H167" s="95"/>
      <c r="I167" s="94">
        <f>ROUND(SUM(I155:I166),-4)</f>
        <v>940000</v>
      </c>
      <c r="J167" s="95"/>
      <c r="K167" s="94">
        <f>ROUND(SUM(K155:K166),-4)</f>
        <v>960000</v>
      </c>
      <c r="L167" s="96"/>
      <c r="M167" s="94">
        <f>ROUND(SUM(M155:M166),-4)</f>
        <v>950000</v>
      </c>
      <c r="N167" s="96"/>
    </row>
    <row r="168" spans="1:14" ht="11.25" customHeight="1">
      <c r="A168" s="55" t="s">
        <v>906</v>
      </c>
      <c r="B168" s="56"/>
      <c r="C168" s="57"/>
      <c r="D168" s="48"/>
      <c r="E168" s="67">
        <v>261</v>
      </c>
      <c r="F168" s="69"/>
      <c r="G168" s="67">
        <v>177</v>
      </c>
      <c r="H168" s="69"/>
      <c r="I168" s="67">
        <v>91</v>
      </c>
      <c r="J168" s="69"/>
      <c r="K168" s="67">
        <v>111</v>
      </c>
      <c r="L168" s="68"/>
      <c r="M168" s="70">
        <v>77</v>
      </c>
      <c r="N168" s="68"/>
    </row>
    <row r="169" spans="1:14" ht="11.25" customHeight="1">
      <c r="A169" s="162" t="s">
        <v>100</v>
      </c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</row>
    <row r="170" spans="1:14" ht="11.25" customHeight="1">
      <c r="A170" s="160" t="s">
        <v>999</v>
      </c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</row>
    <row r="171" spans="1:14" ht="11.25" customHeight="1">
      <c r="A171" s="160" t="s">
        <v>101</v>
      </c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</row>
    <row r="172" spans="1:14" ht="11.25" customHeight="1">
      <c r="A172" s="160" t="s">
        <v>102</v>
      </c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</row>
    <row r="173" spans="1:14" ht="11.25" customHeight="1">
      <c r="A173" s="160" t="s">
        <v>103</v>
      </c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</row>
    <row r="174" spans="1:14" ht="11.25" customHeight="1">
      <c r="A174" s="158" t="s">
        <v>81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</row>
    <row r="175" spans="1:14" ht="11.25" customHeight="1">
      <c r="A175" s="160" t="s">
        <v>104</v>
      </c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</row>
    <row r="176" spans="1:14" ht="11.25" customHeight="1">
      <c r="A176" s="160" t="s">
        <v>53</v>
      </c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</row>
    <row r="177" spans="1:14" ht="11.25" customHeight="1">
      <c r="A177" s="160" t="s">
        <v>54</v>
      </c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</row>
    <row r="178" spans="1:14" ht="11.25" customHeight="1">
      <c r="A178" s="158" t="s">
        <v>536</v>
      </c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</row>
    <row r="179" spans="1:14" ht="11.25" customHeight="1">
      <c r="A179" s="158" t="s">
        <v>82</v>
      </c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</row>
  </sheetData>
  <mergeCells count="38">
    <mergeCell ref="A177:N177"/>
    <mergeCell ref="A178:N178"/>
    <mergeCell ref="A179:N179"/>
    <mergeCell ref="A125:N125"/>
    <mergeCell ref="A173:N173"/>
    <mergeCell ref="A174:N174"/>
    <mergeCell ref="A175:N175"/>
    <mergeCell ref="A176:N176"/>
    <mergeCell ref="A169:N169"/>
    <mergeCell ref="A170:N170"/>
    <mergeCell ref="A171:N171"/>
    <mergeCell ref="A172:N172"/>
    <mergeCell ref="A63:N63"/>
    <mergeCell ref="A133:C133"/>
    <mergeCell ref="A132:C132"/>
    <mergeCell ref="A64:N64"/>
    <mergeCell ref="A65:N65"/>
    <mergeCell ref="A67:N67"/>
    <mergeCell ref="A128:N128"/>
    <mergeCell ref="A66:N66"/>
    <mergeCell ref="A68:N68"/>
    <mergeCell ref="A123:N123"/>
    <mergeCell ref="A1:N1"/>
    <mergeCell ref="A6:C6"/>
    <mergeCell ref="A7:C7"/>
    <mergeCell ref="A52:C52"/>
    <mergeCell ref="A4:N4"/>
    <mergeCell ref="A2:N2"/>
    <mergeCell ref="A3:N3"/>
    <mergeCell ref="A5:N5"/>
    <mergeCell ref="A131:N131"/>
    <mergeCell ref="A127:N127"/>
    <mergeCell ref="A70:C70"/>
    <mergeCell ref="A69:C69"/>
    <mergeCell ref="A130:N130"/>
    <mergeCell ref="A126:N126"/>
    <mergeCell ref="A129:N129"/>
    <mergeCell ref="A124:N12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5"/>
  <sheetViews>
    <sheetView workbookViewId="0" topLeftCell="A1">
      <selection activeCell="A1" sqref="A1:J1"/>
    </sheetView>
  </sheetViews>
  <sheetFormatPr defaultColWidth="9.140625" defaultRowHeight="12.75"/>
  <cols>
    <col min="1" max="1" width="5.7109375" style="1" customWidth="1"/>
    <col min="2" max="2" width="14.00390625" style="1" customWidth="1"/>
    <col min="3" max="3" width="3.7109375" style="1" customWidth="1"/>
    <col min="4" max="4" width="0.85546875" style="1" customWidth="1"/>
    <col min="5" max="5" width="31.28125" style="1" customWidth="1"/>
    <col min="6" max="6" width="0.71875" style="1" customWidth="1"/>
    <col min="7" max="7" width="32.28125" style="1" customWidth="1"/>
    <col min="8" max="8" width="1.7109375" style="1" customWidth="1"/>
    <col min="9" max="9" width="5.28125" style="1" customWidth="1"/>
    <col min="10" max="10" width="0.9921875" style="1" customWidth="1"/>
    <col min="11" max="16384" width="9.140625" style="1" customWidth="1"/>
  </cols>
  <sheetData>
    <row r="1" spans="1:10" ht="11.25" customHeight="1">
      <c r="A1" s="165" t="s">
        <v>709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1.25" customHeight="1">
      <c r="A2" s="165" t="s">
        <v>897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1.25" customHeight="1">
      <c r="A4" s="165" t="s">
        <v>710</v>
      </c>
      <c r="B4" s="165"/>
      <c r="C4" s="165"/>
      <c r="D4" s="165"/>
      <c r="E4" s="165"/>
      <c r="F4" s="165"/>
      <c r="G4" s="165"/>
      <c r="H4" s="165"/>
      <c r="I4" s="165"/>
      <c r="J4" s="165"/>
    </row>
    <row r="5" spans="1:10" ht="11.2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</row>
    <row r="6" spans="1:10" ht="11.25" customHeight="1">
      <c r="A6" s="167"/>
      <c r="B6" s="167"/>
      <c r="C6" s="167"/>
      <c r="D6" s="3"/>
      <c r="E6" s="5" t="s">
        <v>711</v>
      </c>
      <c r="F6" s="5"/>
      <c r="G6" s="5"/>
      <c r="H6" s="5"/>
      <c r="I6" s="169" t="s">
        <v>712</v>
      </c>
      <c r="J6" s="169"/>
    </row>
    <row r="7" spans="1:10" ht="11.25" customHeight="1">
      <c r="A7" s="168" t="s">
        <v>713</v>
      </c>
      <c r="B7" s="168"/>
      <c r="C7" s="168"/>
      <c r="D7" s="5"/>
      <c r="E7" s="5" t="s">
        <v>714</v>
      </c>
      <c r="F7" s="5"/>
      <c r="G7" s="5" t="s">
        <v>715</v>
      </c>
      <c r="H7" s="5"/>
      <c r="I7" s="168" t="s">
        <v>716</v>
      </c>
      <c r="J7" s="168"/>
    </row>
    <row r="8" spans="1:10" ht="11.25" customHeight="1">
      <c r="A8" s="7" t="s">
        <v>717</v>
      </c>
      <c r="B8" s="8"/>
      <c r="C8" s="8"/>
      <c r="D8" s="8"/>
      <c r="E8" s="7" t="s">
        <v>718</v>
      </c>
      <c r="F8" s="7"/>
      <c r="G8" s="7" t="s">
        <v>129</v>
      </c>
      <c r="H8" s="7"/>
      <c r="I8" s="46" t="s">
        <v>537</v>
      </c>
      <c r="J8" s="9"/>
    </row>
    <row r="9" spans="1:10" ht="11.25" customHeight="1">
      <c r="A9" s="10" t="s">
        <v>719</v>
      </c>
      <c r="B9" s="11"/>
      <c r="C9" s="11"/>
      <c r="D9" s="11"/>
      <c r="E9" s="12" t="s">
        <v>720</v>
      </c>
      <c r="F9" s="12"/>
      <c r="G9" s="12" t="s">
        <v>721</v>
      </c>
      <c r="H9" s="12"/>
      <c r="I9" s="135" t="s">
        <v>538</v>
      </c>
      <c r="J9" s="13"/>
    </row>
    <row r="10" spans="1:10" ht="11.25" customHeight="1">
      <c r="A10" s="14"/>
      <c r="B10" s="15"/>
      <c r="C10" s="15"/>
      <c r="D10" s="15"/>
      <c r="E10" s="14" t="s">
        <v>722</v>
      </c>
      <c r="F10" s="14"/>
      <c r="G10" s="16"/>
      <c r="H10" s="16"/>
      <c r="I10" s="15"/>
      <c r="J10" s="17"/>
    </row>
    <row r="11" spans="1:10" ht="11.25" customHeight="1">
      <c r="A11" s="18" t="s">
        <v>719</v>
      </c>
      <c r="B11" s="19"/>
      <c r="C11" s="19"/>
      <c r="D11" s="19"/>
      <c r="E11" s="4" t="s">
        <v>723</v>
      </c>
      <c r="F11" s="4"/>
      <c r="G11" s="4" t="s">
        <v>724</v>
      </c>
      <c r="H11" s="4"/>
      <c r="I11" s="136" t="s">
        <v>539</v>
      </c>
      <c r="J11" s="13"/>
    </row>
    <row r="12" spans="1:10" ht="11.25" customHeight="1">
      <c r="A12" s="14"/>
      <c r="B12" s="15"/>
      <c r="C12" s="15"/>
      <c r="D12" s="15"/>
      <c r="E12" s="14" t="s">
        <v>725</v>
      </c>
      <c r="F12" s="14"/>
      <c r="G12" s="16"/>
      <c r="H12" s="16"/>
      <c r="I12" s="15"/>
      <c r="J12" s="17"/>
    </row>
    <row r="13" spans="1:12" ht="11.25" customHeight="1">
      <c r="A13" s="24" t="s">
        <v>726</v>
      </c>
      <c r="B13" s="23"/>
      <c r="C13" s="23"/>
      <c r="D13" s="23"/>
      <c r="E13" s="24" t="s">
        <v>727</v>
      </c>
      <c r="F13" s="24"/>
      <c r="G13" s="24" t="s">
        <v>604</v>
      </c>
      <c r="H13" s="24"/>
      <c r="I13" s="43" t="s">
        <v>540</v>
      </c>
      <c r="J13" s="45"/>
      <c r="L13" s="20"/>
    </row>
    <row r="14" spans="1:10" ht="11.25" customHeight="1">
      <c r="A14" s="4"/>
      <c r="B14" s="19"/>
      <c r="C14" s="19"/>
      <c r="D14" s="19"/>
      <c r="E14" s="18" t="s">
        <v>728</v>
      </c>
      <c r="F14" s="18"/>
      <c r="G14" s="18" t="s">
        <v>948</v>
      </c>
      <c r="H14" s="18"/>
      <c r="I14" s="19"/>
      <c r="J14" s="3"/>
    </row>
    <row r="15" spans="1:10" ht="11.25" customHeight="1">
      <c r="A15" s="16"/>
      <c r="B15" s="15"/>
      <c r="C15" s="15"/>
      <c r="D15" s="15"/>
      <c r="E15" s="14"/>
      <c r="F15" s="14"/>
      <c r="G15" s="14" t="s">
        <v>949</v>
      </c>
      <c r="H15" s="14"/>
      <c r="I15" s="15"/>
      <c r="J15" s="17"/>
    </row>
    <row r="16" spans="1:10" ht="11.25" customHeight="1">
      <c r="A16" s="18" t="s">
        <v>719</v>
      </c>
      <c r="B16" s="19"/>
      <c r="C16" s="19"/>
      <c r="D16" s="19"/>
      <c r="E16" s="4" t="s">
        <v>968</v>
      </c>
      <c r="F16" s="4"/>
      <c r="G16" s="21" t="s">
        <v>691</v>
      </c>
      <c r="H16" s="21"/>
      <c r="I16" s="136" t="s">
        <v>541</v>
      </c>
      <c r="J16" s="13"/>
    </row>
    <row r="17" spans="1:10" ht="11.25" customHeight="1">
      <c r="A17" s="16"/>
      <c r="B17" s="15"/>
      <c r="C17" s="15"/>
      <c r="D17" s="15"/>
      <c r="E17" s="14" t="s">
        <v>967</v>
      </c>
      <c r="F17" s="14"/>
      <c r="G17" s="14" t="s">
        <v>950</v>
      </c>
      <c r="H17" s="14"/>
      <c r="I17" s="15"/>
      <c r="J17" s="17"/>
    </row>
    <row r="18" spans="1:10" ht="11.25" customHeight="1">
      <c r="A18" s="18" t="s">
        <v>719</v>
      </c>
      <c r="B18" s="19"/>
      <c r="C18" s="19"/>
      <c r="D18" s="19"/>
      <c r="E18" s="21" t="s">
        <v>729</v>
      </c>
      <c r="F18" s="21"/>
      <c r="G18" s="21" t="s">
        <v>730</v>
      </c>
      <c r="H18" s="21"/>
      <c r="I18" s="136" t="s">
        <v>537</v>
      </c>
      <c r="J18" s="3"/>
    </row>
    <row r="19" spans="1:10" ht="11.25" customHeight="1">
      <c r="A19" s="4"/>
      <c r="B19" s="19"/>
      <c r="C19" s="19"/>
      <c r="D19" s="19"/>
      <c r="E19" s="18"/>
      <c r="F19" s="18"/>
      <c r="G19" s="18" t="s">
        <v>690</v>
      </c>
      <c r="H19" s="18"/>
      <c r="I19" s="19"/>
      <c r="J19" s="3"/>
    </row>
    <row r="20" spans="1:10" ht="11.25" customHeight="1">
      <c r="A20" s="22" t="s">
        <v>719</v>
      </c>
      <c r="B20" s="23"/>
      <c r="C20" s="23"/>
      <c r="D20" s="23"/>
      <c r="E20" s="24" t="s">
        <v>991</v>
      </c>
      <c r="F20" s="24"/>
      <c r="G20" s="25" t="s">
        <v>605</v>
      </c>
      <c r="H20" s="25"/>
      <c r="I20" s="43" t="s">
        <v>542</v>
      </c>
      <c r="J20" s="26"/>
    </row>
    <row r="21" spans="1:10" ht="11.25" customHeight="1">
      <c r="A21" s="16"/>
      <c r="B21" s="15"/>
      <c r="C21" s="15"/>
      <c r="D21" s="15"/>
      <c r="E21" s="14" t="s">
        <v>845</v>
      </c>
      <c r="F21" s="14"/>
      <c r="G21" s="14" t="s">
        <v>689</v>
      </c>
      <c r="H21" s="14"/>
      <c r="I21" s="15"/>
      <c r="J21" s="17"/>
    </row>
    <row r="22" spans="1:10" ht="11.25" customHeight="1">
      <c r="A22" s="27" t="s">
        <v>719</v>
      </c>
      <c r="B22" s="8"/>
      <c r="C22" s="8"/>
      <c r="D22" s="8"/>
      <c r="E22" s="7" t="s">
        <v>731</v>
      </c>
      <c r="F22" s="7"/>
      <c r="G22" s="7" t="s">
        <v>732</v>
      </c>
      <c r="H22" s="7"/>
      <c r="I22" s="46" t="s">
        <v>543</v>
      </c>
      <c r="J22" s="28" t="s">
        <v>733</v>
      </c>
    </row>
    <row r="23" spans="1:10" ht="11.25" customHeight="1">
      <c r="A23" s="18" t="s">
        <v>719</v>
      </c>
      <c r="B23" s="19"/>
      <c r="C23" s="19"/>
      <c r="D23" s="19"/>
      <c r="E23" s="4" t="s">
        <v>534</v>
      </c>
      <c r="F23" s="4"/>
      <c r="G23" s="4" t="s">
        <v>992</v>
      </c>
      <c r="H23" s="4"/>
      <c r="I23" s="137" t="s">
        <v>544</v>
      </c>
      <c r="J23" s="13"/>
    </row>
    <row r="24" spans="1:10" ht="11.25" customHeight="1">
      <c r="A24" s="18"/>
      <c r="B24" s="19"/>
      <c r="C24" s="19"/>
      <c r="D24" s="19"/>
      <c r="E24" s="18" t="s">
        <v>535</v>
      </c>
      <c r="F24" s="18"/>
      <c r="G24" s="18"/>
      <c r="H24" s="4"/>
      <c r="I24" s="19"/>
      <c r="J24" s="13"/>
    </row>
    <row r="25" spans="1:10" ht="11.25" customHeight="1">
      <c r="A25" s="22" t="s">
        <v>719</v>
      </c>
      <c r="B25" s="23"/>
      <c r="C25" s="23"/>
      <c r="D25" s="23"/>
      <c r="E25" s="24" t="s">
        <v>961</v>
      </c>
      <c r="F25" s="24"/>
      <c r="G25" s="24" t="s">
        <v>962</v>
      </c>
      <c r="H25" s="24"/>
      <c r="I25" s="43" t="s">
        <v>545</v>
      </c>
      <c r="J25" s="26"/>
    </row>
    <row r="26" spans="1:10" ht="11.25" customHeight="1">
      <c r="A26" s="14"/>
      <c r="B26" s="15"/>
      <c r="C26" s="15"/>
      <c r="D26" s="15"/>
      <c r="E26" s="14" t="s">
        <v>845</v>
      </c>
      <c r="F26" s="14"/>
      <c r="G26" s="14"/>
      <c r="H26" s="16"/>
      <c r="I26" s="15"/>
      <c r="J26" s="17"/>
    </row>
    <row r="27" spans="1:10" ht="11.25" customHeight="1">
      <c r="A27" s="24" t="s">
        <v>978</v>
      </c>
      <c r="B27" s="23"/>
      <c r="C27" s="23"/>
      <c r="D27" s="23"/>
      <c r="E27" s="24" t="s">
        <v>982</v>
      </c>
      <c r="F27" s="24"/>
      <c r="G27" s="24" t="s">
        <v>986</v>
      </c>
      <c r="H27" s="24"/>
      <c r="I27" s="43" t="s">
        <v>546</v>
      </c>
      <c r="J27" s="26"/>
    </row>
    <row r="28" spans="1:10" ht="11.25" customHeight="1">
      <c r="A28" s="16"/>
      <c r="B28" s="15"/>
      <c r="C28" s="15"/>
      <c r="D28" s="15"/>
      <c r="E28" s="16"/>
      <c r="F28" s="16"/>
      <c r="G28" s="16"/>
      <c r="H28" s="16"/>
      <c r="I28" s="15"/>
      <c r="J28" s="17"/>
    </row>
    <row r="29" spans="1:10" ht="11.25" customHeight="1">
      <c r="A29" s="22" t="s">
        <v>719</v>
      </c>
      <c r="B29" s="23"/>
      <c r="C29" s="23"/>
      <c r="D29" s="23"/>
      <c r="E29" s="24" t="s">
        <v>987</v>
      </c>
      <c r="F29" s="24"/>
      <c r="G29" s="24" t="s">
        <v>993</v>
      </c>
      <c r="H29" s="24"/>
      <c r="I29" s="43" t="s">
        <v>545</v>
      </c>
      <c r="J29" s="26"/>
    </row>
    <row r="30" spans="1:10" ht="11.25" customHeight="1">
      <c r="A30" s="14"/>
      <c r="B30" s="15"/>
      <c r="C30" s="15"/>
      <c r="D30" s="15"/>
      <c r="E30" s="14" t="s">
        <v>845</v>
      </c>
      <c r="F30" s="14"/>
      <c r="G30" s="16"/>
      <c r="H30" s="16"/>
      <c r="I30" s="15"/>
      <c r="J30" s="17"/>
    </row>
    <row r="31" spans="1:10" ht="11.25" customHeight="1">
      <c r="A31" s="7" t="s">
        <v>734</v>
      </c>
      <c r="B31" s="8"/>
      <c r="C31" s="8" t="s">
        <v>735</v>
      </c>
      <c r="D31" s="8"/>
      <c r="E31" s="7" t="s">
        <v>736</v>
      </c>
      <c r="F31" s="7"/>
      <c r="G31" s="7" t="s">
        <v>737</v>
      </c>
      <c r="H31" s="7"/>
      <c r="I31" s="46" t="s">
        <v>547</v>
      </c>
      <c r="J31" s="9"/>
    </row>
    <row r="32" spans="1:10" ht="11.25" customHeight="1">
      <c r="A32" s="24" t="s">
        <v>738</v>
      </c>
      <c r="B32" s="23"/>
      <c r="C32" s="23"/>
      <c r="D32" s="23"/>
      <c r="E32" s="25" t="s">
        <v>739</v>
      </c>
      <c r="F32" s="25"/>
      <c r="G32" s="24" t="s">
        <v>972</v>
      </c>
      <c r="H32" s="24"/>
      <c r="I32" s="43" t="s">
        <v>548</v>
      </c>
      <c r="J32" s="26"/>
    </row>
    <row r="33" spans="1:10" ht="11.25" customHeight="1">
      <c r="A33" s="16"/>
      <c r="B33" s="15"/>
      <c r="C33" s="15"/>
      <c r="D33" s="15"/>
      <c r="E33" s="29"/>
      <c r="F33" s="29"/>
      <c r="G33" s="14" t="s">
        <v>973</v>
      </c>
      <c r="H33" s="14"/>
      <c r="I33" s="30"/>
      <c r="J33" s="17"/>
    </row>
    <row r="34" spans="1:10" ht="11.25" customHeight="1">
      <c r="A34" s="22" t="s">
        <v>719</v>
      </c>
      <c r="B34" s="23"/>
      <c r="C34" s="23"/>
      <c r="D34" s="23"/>
      <c r="E34" s="25" t="s">
        <v>974</v>
      </c>
      <c r="F34" s="25"/>
      <c r="G34" s="25" t="s">
        <v>740</v>
      </c>
      <c r="H34" s="25"/>
      <c r="I34" s="43" t="s">
        <v>549</v>
      </c>
      <c r="J34" s="26"/>
    </row>
    <row r="35" spans="1:10" ht="11.25" customHeight="1">
      <c r="A35" s="4"/>
      <c r="B35" s="19"/>
      <c r="C35" s="19"/>
      <c r="D35" s="19"/>
      <c r="E35" s="18" t="s">
        <v>975</v>
      </c>
      <c r="F35" s="18"/>
      <c r="G35" s="18" t="s">
        <v>741</v>
      </c>
      <c r="H35" s="18"/>
      <c r="I35" s="19"/>
      <c r="J35" s="3"/>
    </row>
    <row r="36" spans="1:10" ht="11.25" customHeight="1">
      <c r="A36" s="16"/>
      <c r="B36" s="15"/>
      <c r="C36" s="15"/>
      <c r="D36" s="15"/>
      <c r="E36" s="14" t="s">
        <v>976</v>
      </c>
      <c r="F36" s="14"/>
      <c r="G36" s="14"/>
      <c r="H36" s="14"/>
      <c r="I36" s="15"/>
      <c r="J36" s="17"/>
    </row>
    <row r="37" spans="1:10" ht="11.25" customHeight="1">
      <c r="A37" s="7" t="s">
        <v>742</v>
      </c>
      <c r="B37" s="8"/>
      <c r="C37" s="8"/>
      <c r="D37" s="8"/>
      <c r="E37" s="31" t="s">
        <v>743</v>
      </c>
      <c r="F37" s="31"/>
      <c r="G37" s="7" t="s">
        <v>744</v>
      </c>
      <c r="H37" s="7"/>
      <c r="I37" s="46" t="s">
        <v>550</v>
      </c>
      <c r="J37" s="9"/>
    </row>
    <row r="38" spans="1:10" ht="11.25" customHeight="1">
      <c r="A38" s="22" t="s">
        <v>719</v>
      </c>
      <c r="B38" s="23"/>
      <c r="C38" s="23"/>
      <c r="D38" s="23"/>
      <c r="E38" s="25" t="s">
        <v>421</v>
      </c>
      <c r="F38" s="25"/>
      <c r="G38" s="24" t="s">
        <v>509</v>
      </c>
      <c r="H38" s="24"/>
      <c r="I38" s="43" t="s">
        <v>551</v>
      </c>
      <c r="J38" s="41" t="s">
        <v>733</v>
      </c>
    </row>
    <row r="39" spans="1:10" ht="11.25" customHeight="1">
      <c r="A39" s="14"/>
      <c r="B39" s="15"/>
      <c r="C39" s="15"/>
      <c r="D39" s="15"/>
      <c r="E39" s="14" t="s">
        <v>927</v>
      </c>
      <c r="F39" s="14"/>
      <c r="G39" s="16"/>
      <c r="H39" s="16"/>
      <c r="I39" s="15"/>
      <c r="J39" s="17"/>
    </row>
    <row r="40" spans="1:10" ht="11.25" customHeight="1">
      <c r="A40" s="22" t="s">
        <v>719</v>
      </c>
      <c r="B40" s="23"/>
      <c r="C40" s="23"/>
      <c r="D40" s="23"/>
      <c r="E40" s="25" t="s">
        <v>745</v>
      </c>
      <c r="F40" s="25"/>
      <c r="G40" s="24" t="s">
        <v>688</v>
      </c>
      <c r="H40" s="24"/>
      <c r="I40" s="43" t="s">
        <v>549</v>
      </c>
      <c r="J40" s="26"/>
    </row>
    <row r="41" spans="1:10" ht="11.25" customHeight="1">
      <c r="A41" s="14"/>
      <c r="B41" s="15"/>
      <c r="C41" s="15"/>
      <c r="D41" s="15"/>
      <c r="E41" s="14" t="s">
        <v>746</v>
      </c>
      <c r="F41" s="14"/>
      <c r="G41" s="16"/>
      <c r="H41" s="16"/>
      <c r="I41" s="15"/>
      <c r="J41" s="17"/>
    </row>
    <row r="42" spans="1:10" ht="11.25" customHeight="1">
      <c r="A42" s="4" t="s">
        <v>979</v>
      </c>
      <c r="B42" s="19"/>
      <c r="C42" s="19"/>
      <c r="D42" s="19"/>
      <c r="E42" s="4" t="s">
        <v>980</v>
      </c>
      <c r="F42" s="4"/>
      <c r="G42" s="4" t="s">
        <v>988</v>
      </c>
      <c r="H42" s="4"/>
      <c r="I42" s="136" t="s">
        <v>546</v>
      </c>
      <c r="J42" s="3"/>
    </row>
    <row r="43" spans="1:10" ht="11.25" customHeight="1">
      <c r="A43" s="22" t="s">
        <v>719</v>
      </c>
      <c r="B43" s="23"/>
      <c r="C43" s="23"/>
      <c r="D43" s="23"/>
      <c r="E43" s="24" t="s">
        <v>981</v>
      </c>
      <c r="F43" s="24"/>
      <c r="G43" s="24" t="s">
        <v>990</v>
      </c>
      <c r="H43" s="24"/>
      <c r="I43" s="43" t="s">
        <v>552</v>
      </c>
      <c r="J43" s="26"/>
    </row>
    <row r="44" spans="1:10" ht="11.25" customHeight="1">
      <c r="A44" s="14"/>
      <c r="B44" s="15"/>
      <c r="C44" s="15"/>
      <c r="D44" s="15"/>
      <c r="E44" s="14"/>
      <c r="F44" s="14"/>
      <c r="G44" s="14" t="s">
        <v>989</v>
      </c>
      <c r="H44" s="16"/>
      <c r="I44" s="15"/>
      <c r="J44" s="17"/>
    </row>
    <row r="45" spans="1:10" ht="11.25" customHeight="1">
      <c r="A45" s="24" t="s">
        <v>747</v>
      </c>
      <c r="B45" s="23"/>
      <c r="C45" s="23"/>
      <c r="D45" s="23"/>
      <c r="E45" s="24" t="s">
        <v>748</v>
      </c>
      <c r="F45" s="24"/>
      <c r="G45" s="25" t="s">
        <v>969</v>
      </c>
      <c r="H45" s="25"/>
      <c r="I45" s="43" t="s">
        <v>553</v>
      </c>
      <c r="J45" s="35" t="s">
        <v>733</v>
      </c>
    </row>
    <row r="46" spans="1:10" ht="11.25" customHeight="1">
      <c r="A46" s="18"/>
      <c r="B46" s="19"/>
      <c r="C46" s="19"/>
      <c r="D46" s="19"/>
      <c r="E46" s="4"/>
      <c r="F46" s="4"/>
      <c r="G46" s="18" t="s">
        <v>692</v>
      </c>
      <c r="H46" s="18"/>
      <c r="I46" s="19"/>
      <c r="J46" s="3"/>
    </row>
    <row r="47" spans="1:10" ht="11.25" customHeight="1">
      <c r="A47" s="18"/>
      <c r="B47" s="19"/>
      <c r="C47" s="19"/>
      <c r="D47" s="19"/>
      <c r="E47" s="4"/>
      <c r="F47" s="4"/>
      <c r="G47" s="18" t="s">
        <v>914</v>
      </c>
      <c r="H47" s="18"/>
      <c r="I47" s="19"/>
      <c r="J47" s="3"/>
    </row>
    <row r="48" spans="1:10" ht="11.25" customHeight="1">
      <c r="A48" s="18"/>
      <c r="B48" s="19"/>
      <c r="C48" s="19"/>
      <c r="D48" s="19"/>
      <c r="E48" s="4"/>
      <c r="F48" s="4"/>
      <c r="G48" s="18" t="s">
        <v>915</v>
      </c>
      <c r="H48" s="18"/>
      <c r="I48" s="19"/>
      <c r="J48" s="32"/>
    </row>
    <row r="49" spans="1:10" ht="11.25" customHeight="1">
      <c r="A49" s="14"/>
      <c r="B49" s="15"/>
      <c r="C49" s="15"/>
      <c r="D49" s="15"/>
      <c r="E49" s="14"/>
      <c r="F49" s="14"/>
      <c r="G49" s="14" t="s">
        <v>916</v>
      </c>
      <c r="H49" s="14"/>
      <c r="I49" s="15"/>
      <c r="J49" s="17"/>
    </row>
    <row r="50" spans="1:10" ht="11.25" customHeight="1">
      <c r="A50" s="22" t="s">
        <v>719</v>
      </c>
      <c r="B50" s="23"/>
      <c r="C50" s="23"/>
      <c r="D50" s="23"/>
      <c r="E50" s="24" t="s">
        <v>970</v>
      </c>
      <c r="F50" s="24"/>
      <c r="G50" s="25" t="s">
        <v>693</v>
      </c>
      <c r="H50" s="25"/>
      <c r="I50" s="43" t="s">
        <v>554</v>
      </c>
      <c r="J50" s="35"/>
    </row>
    <row r="51" spans="1:10" ht="11.25" customHeight="1">
      <c r="A51" s="14"/>
      <c r="B51" s="15"/>
      <c r="C51" s="15"/>
      <c r="D51" s="15"/>
      <c r="E51" s="14" t="s">
        <v>971</v>
      </c>
      <c r="F51" s="14"/>
      <c r="G51" s="14" t="s">
        <v>912</v>
      </c>
      <c r="H51" s="14"/>
      <c r="I51" s="15"/>
      <c r="J51" s="17"/>
    </row>
    <row r="52" spans="1:10" ht="11.25" customHeight="1">
      <c r="A52" s="22" t="s">
        <v>719</v>
      </c>
      <c r="B52" s="23"/>
      <c r="C52" s="23"/>
      <c r="D52" s="23"/>
      <c r="E52" s="24" t="s">
        <v>902</v>
      </c>
      <c r="F52" s="24"/>
      <c r="G52" s="25" t="s">
        <v>917</v>
      </c>
      <c r="H52" s="25"/>
      <c r="I52" s="43" t="s">
        <v>555</v>
      </c>
      <c r="J52" s="35"/>
    </row>
    <row r="53" spans="1:10" ht="11.25" customHeight="1">
      <c r="A53" s="14"/>
      <c r="B53" s="15"/>
      <c r="C53" s="15"/>
      <c r="D53" s="15"/>
      <c r="E53" s="14" t="s">
        <v>845</v>
      </c>
      <c r="F53" s="14"/>
      <c r="G53" s="14" t="s">
        <v>686</v>
      </c>
      <c r="H53" s="14"/>
      <c r="I53" s="15"/>
      <c r="J53" s="36"/>
    </row>
    <row r="54" spans="1:10" ht="11.25" customHeight="1">
      <c r="A54" s="22" t="s">
        <v>719</v>
      </c>
      <c r="B54" s="23"/>
      <c r="C54" s="23"/>
      <c r="D54" s="23"/>
      <c r="E54" s="24" t="s">
        <v>749</v>
      </c>
      <c r="F54" s="24"/>
      <c r="G54" s="25" t="s">
        <v>918</v>
      </c>
      <c r="H54" s="25"/>
      <c r="I54" s="43" t="s">
        <v>556</v>
      </c>
      <c r="J54" s="35" t="s">
        <v>733</v>
      </c>
    </row>
    <row r="55" spans="1:10" ht="11.25" customHeight="1">
      <c r="A55" s="14"/>
      <c r="B55" s="15"/>
      <c r="C55" s="15"/>
      <c r="D55" s="15"/>
      <c r="E55" s="14"/>
      <c r="F55" s="14"/>
      <c r="G55" s="14" t="s">
        <v>900</v>
      </c>
      <c r="H55" s="14"/>
      <c r="I55" s="15"/>
      <c r="J55" s="17"/>
    </row>
    <row r="56" spans="1:10" ht="11.25" customHeight="1">
      <c r="A56" s="22" t="s">
        <v>719</v>
      </c>
      <c r="B56" s="23"/>
      <c r="C56" s="23"/>
      <c r="D56" s="23"/>
      <c r="E56" s="24" t="s">
        <v>908</v>
      </c>
      <c r="F56" s="24"/>
      <c r="G56" s="25" t="s">
        <v>694</v>
      </c>
      <c r="H56" s="25"/>
      <c r="I56" s="43" t="s">
        <v>557</v>
      </c>
      <c r="J56" s="35"/>
    </row>
    <row r="57" spans="1:10" ht="11.25" customHeight="1">
      <c r="A57" s="14"/>
      <c r="B57" s="15"/>
      <c r="C57" s="15"/>
      <c r="D57" s="15"/>
      <c r="E57" s="14" t="s">
        <v>909</v>
      </c>
      <c r="F57" s="14"/>
      <c r="G57" s="14" t="s">
        <v>913</v>
      </c>
      <c r="H57" s="14"/>
      <c r="I57" s="15"/>
      <c r="J57" s="36"/>
    </row>
    <row r="58" spans="1:10" ht="11.25" customHeight="1">
      <c r="A58" s="22" t="s">
        <v>719</v>
      </c>
      <c r="B58" s="23"/>
      <c r="C58" s="23"/>
      <c r="D58" s="23"/>
      <c r="E58" s="24" t="s">
        <v>907</v>
      </c>
      <c r="F58" s="24"/>
      <c r="G58" s="25" t="s">
        <v>687</v>
      </c>
      <c r="H58" s="25"/>
      <c r="I58" s="43" t="s">
        <v>558</v>
      </c>
      <c r="J58" s="35"/>
    </row>
    <row r="59" spans="1:10" ht="11.25" customHeight="1">
      <c r="A59" s="22" t="s">
        <v>719</v>
      </c>
      <c r="B59" s="23"/>
      <c r="C59" s="23"/>
      <c r="D59" s="23"/>
      <c r="E59" s="24" t="s">
        <v>910</v>
      </c>
      <c r="F59" s="24"/>
      <c r="G59" s="25" t="s">
        <v>911</v>
      </c>
      <c r="H59" s="25"/>
      <c r="I59" s="43" t="s">
        <v>559</v>
      </c>
      <c r="J59" s="35"/>
    </row>
    <row r="60" spans="1:10" ht="11.25" customHeight="1">
      <c r="A60" s="14"/>
      <c r="B60" s="15"/>
      <c r="C60" s="15"/>
      <c r="D60" s="15"/>
      <c r="E60" s="14" t="s">
        <v>845</v>
      </c>
      <c r="F60" s="14"/>
      <c r="G60" s="14"/>
      <c r="H60" s="14"/>
      <c r="I60" s="15"/>
      <c r="J60" s="36"/>
    </row>
    <row r="61" spans="1:10" ht="11.25" customHeight="1">
      <c r="A61" s="22" t="s">
        <v>719</v>
      </c>
      <c r="B61" s="23"/>
      <c r="C61" s="23"/>
      <c r="D61" s="23"/>
      <c r="E61" s="24" t="s">
        <v>903</v>
      </c>
      <c r="F61" s="24"/>
      <c r="G61" s="25" t="s">
        <v>899</v>
      </c>
      <c r="H61" s="25"/>
      <c r="I61" s="43" t="s">
        <v>538</v>
      </c>
      <c r="J61" s="35"/>
    </row>
    <row r="62" spans="1:10" ht="11.25" customHeight="1">
      <c r="A62" s="14"/>
      <c r="B62" s="15"/>
      <c r="C62" s="15"/>
      <c r="D62" s="15"/>
      <c r="E62" s="14" t="s">
        <v>904</v>
      </c>
      <c r="F62" s="14"/>
      <c r="G62" s="29"/>
      <c r="H62" s="29"/>
      <c r="I62" s="15"/>
      <c r="J62" s="36"/>
    </row>
    <row r="63" spans="1:10" ht="11.25" customHeight="1">
      <c r="A63" s="159" t="s">
        <v>765</v>
      </c>
      <c r="B63" s="159"/>
      <c r="C63" s="159"/>
      <c r="D63" s="159"/>
      <c r="E63" s="159"/>
      <c r="F63" s="159"/>
      <c r="G63" s="159"/>
      <c r="H63" s="159"/>
      <c r="I63" s="159"/>
      <c r="J63" s="159"/>
    </row>
    <row r="64" spans="1:10" ht="11.25" customHeight="1">
      <c r="A64" s="165" t="s">
        <v>766</v>
      </c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1.25" customHeight="1">
      <c r="A65" s="165" t="s">
        <v>897</v>
      </c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1.25" customHeight="1">
      <c r="A66" s="165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1.25" customHeight="1">
      <c r="A67" s="165" t="s">
        <v>710</v>
      </c>
      <c r="B67" s="165"/>
      <c r="C67" s="165"/>
      <c r="D67" s="165"/>
      <c r="E67" s="165"/>
      <c r="F67" s="165"/>
      <c r="G67" s="165"/>
      <c r="H67" s="165"/>
      <c r="I67" s="165"/>
      <c r="J67" s="165"/>
    </row>
    <row r="68" spans="1:10" ht="11.25" customHeight="1">
      <c r="A68" s="166"/>
      <c r="B68" s="166"/>
      <c r="C68" s="166"/>
      <c r="D68" s="166"/>
      <c r="E68" s="166"/>
      <c r="F68" s="166"/>
      <c r="G68" s="166"/>
      <c r="H68" s="166"/>
      <c r="I68" s="166"/>
      <c r="J68" s="166"/>
    </row>
    <row r="69" spans="1:10" ht="11.25" customHeight="1">
      <c r="A69" s="167"/>
      <c r="B69" s="167"/>
      <c r="C69" s="167"/>
      <c r="D69" s="26"/>
      <c r="E69" s="6" t="s">
        <v>711</v>
      </c>
      <c r="F69" s="6"/>
      <c r="G69" s="6"/>
      <c r="H69" s="6"/>
      <c r="I69" s="6" t="s">
        <v>712</v>
      </c>
      <c r="J69" s="6"/>
    </row>
    <row r="70" spans="1:10" ht="11.25" customHeight="1">
      <c r="A70" s="168" t="s">
        <v>713</v>
      </c>
      <c r="B70" s="168"/>
      <c r="C70" s="168"/>
      <c r="D70" s="2"/>
      <c r="E70" s="2" t="s">
        <v>714</v>
      </c>
      <c r="F70" s="2"/>
      <c r="G70" s="2" t="s">
        <v>715</v>
      </c>
      <c r="H70" s="2"/>
      <c r="I70" s="2" t="s">
        <v>716</v>
      </c>
      <c r="J70" s="2"/>
    </row>
    <row r="71" spans="1:10" ht="11.25" customHeight="1">
      <c r="A71" s="24" t="s">
        <v>510</v>
      </c>
      <c r="B71" s="23"/>
      <c r="C71" s="23"/>
      <c r="D71" s="23"/>
      <c r="E71" s="24" t="s">
        <v>898</v>
      </c>
      <c r="F71" s="24"/>
      <c r="G71" s="25" t="s">
        <v>901</v>
      </c>
      <c r="H71" s="25"/>
      <c r="I71" s="23" t="s">
        <v>561</v>
      </c>
      <c r="J71" s="35"/>
    </row>
    <row r="72" spans="1:10" ht="11.25" customHeight="1">
      <c r="A72" s="24" t="s">
        <v>750</v>
      </c>
      <c r="B72" s="23"/>
      <c r="C72" s="23"/>
      <c r="D72" s="23"/>
      <c r="E72" s="24" t="s">
        <v>751</v>
      </c>
      <c r="F72" s="24"/>
      <c r="G72" s="24" t="s">
        <v>695</v>
      </c>
      <c r="H72" s="24"/>
      <c r="I72" s="43" t="s">
        <v>550</v>
      </c>
      <c r="J72" s="26"/>
    </row>
    <row r="73" spans="1:10" ht="11.25" customHeight="1">
      <c r="A73" s="16"/>
      <c r="B73" s="15"/>
      <c r="C73" s="15"/>
      <c r="D73" s="15"/>
      <c r="E73" s="14"/>
      <c r="F73" s="14"/>
      <c r="G73" s="14" t="s">
        <v>685</v>
      </c>
      <c r="H73" s="14"/>
      <c r="I73" s="15"/>
      <c r="J73" s="17"/>
    </row>
    <row r="74" spans="1:10" ht="11.25" customHeight="1">
      <c r="A74" s="24" t="s">
        <v>860</v>
      </c>
      <c r="B74" s="23"/>
      <c r="C74" s="23"/>
      <c r="D74" s="23"/>
      <c r="E74" s="24" t="s">
        <v>861</v>
      </c>
      <c r="F74" s="24"/>
      <c r="G74" s="24" t="s">
        <v>862</v>
      </c>
      <c r="H74" s="24"/>
      <c r="I74" s="43" t="s">
        <v>560</v>
      </c>
      <c r="J74" s="41" t="s">
        <v>733</v>
      </c>
    </row>
    <row r="75" spans="1:10" ht="11.25" customHeight="1">
      <c r="A75" s="18" t="s">
        <v>863</v>
      </c>
      <c r="B75" s="19"/>
      <c r="C75" s="19"/>
      <c r="D75" s="19"/>
      <c r="E75" s="4"/>
      <c r="F75" s="4"/>
      <c r="G75" s="18" t="s">
        <v>864</v>
      </c>
      <c r="H75" s="18"/>
      <c r="I75" s="19"/>
      <c r="J75" s="3"/>
    </row>
    <row r="76" spans="1:10" ht="11.25" customHeight="1">
      <c r="A76" s="4"/>
      <c r="B76" s="19"/>
      <c r="C76" s="19"/>
      <c r="D76" s="19"/>
      <c r="E76" s="4"/>
      <c r="F76" s="4"/>
      <c r="G76" s="18" t="s">
        <v>696</v>
      </c>
      <c r="H76" s="18"/>
      <c r="I76" s="19"/>
      <c r="J76" s="3"/>
    </row>
    <row r="77" spans="1:10" ht="11.25" customHeight="1">
      <c r="A77" s="16"/>
      <c r="B77" s="15"/>
      <c r="C77" s="15"/>
      <c r="D77" s="15"/>
      <c r="E77" s="16"/>
      <c r="F77" s="16"/>
      <c r="G77" s="14" t="s">
        <v>697</v>
      </c>
      <c r="H77" s="14"/>
      <c r="I77" s="15"/>
      <c r="J77" s="17"/>
    </row>
    <row r="78" spans="1:10" ht="11.25" customHeight="1">
      <c r="A78" s="22" t="s">
        <v>719</v>
      </c>
      <c r="B78" s="23"/>
      <c r="C78" s="23"/>
      <c r="D78" s="23"/>
      <c r="E78" s="24" t="s">
        <v>865</v>
      </c>
      <c r="F78" s="24"/>
      <c r="G78" s="24" t="s">
        <v>866</v>
      </c>
      <c r="H78" s="24"/>
      <c r="I78" s="43" t="s">
        <v>540</v>
      </c>
      <c r="J78" s="41" t="s">
        <v>733</v>
      </c>
    </row>
    <row r="79" spans="1:10" ht="11.25" customHeight="1">
      <c r="A79" s="14"/>
      <c r="B79" s="15"/>
      <c r="C79" s="15"/>
      <c r="D79" s="15"/>
      <c r="E79" s="16" t="s">
        <v>867</v>
      </c>
      <c r="F79" s="16"/>
      <c r="G79" s="14" t="s">
        <v>698</v>
      </c>
      <c r="H79" s="14"/>
      <c r="I79" s="15"/>
      <c r="J79" s="17"/>
    </row>
    <row r="80" spans="1:10" ht="11.25" customHeight="1">
      <c r="A80" s="22" t="s">
        <v>719</v>
      </c>
      <c r="B80" s="23"/>
      <c r="C80" s="23"/>
      <c r="D80" s="23"/>
      <c r="E80" s="24" t="s">
        <v>868</v>
      </c>
      <c r="F80" s="24"/>
      <c r="G80" s="24" t="s">
        <v>869</v>
      </c>
      <c r="H80" s="24"/>
      <c r="I80" s="23" t="s">
        <v>561</v>
      </c>
      <c r="J80" s="26"/>
    </row>
    <row r="81" spans="1:10" ht="11.25" customHeight="1">
      <c r="A81" s="18"/>
      <c r="B81" s="19"/>
      <c r="C81" s="19"/>
      <c r="D81" s="19"/>
      <c r="E81" s="18"/>
      <c r="F81" s="18"/>
      <c r="G81" s="18" t="s">
        <v>870</v>
      </c>
      <c r="H81" s="18"/>
      <c r="I81" s="19"/>
      <c r="J81" s="3"/>
    </row>
    <row r="82" spans="1:10" ht="11.25" customHeight="1">
      <c r="A82" s="18"/>
      <c r="B82" s="19"/>
      <c r="C82" s="19"/>
      <c r="D82" s="19"/>
      <c r="E82" s="18"/>
      <c r="F82" s="18"/>
      <c r="G82" s="18" t="s">
        <v>871</v>
      </c>
      <c r="H82" s="18"/>
      <c r="I82" s="19"/>
      <c r="J82" s="3"/>
    </row>
    <row r="83" spans="1:10" ht="11.25" customHeight="1">
      <c r="A83" s="14"/>
      <c r="B83" s="15"/>
      <c r="C83" s="15"/>
      <c r="D83" s="15"/>
      <c r="E83" s="14"/>
      <c r="F83" s="14"/>
      <c r="G83" s="14" t="s">
        <v>872</v>
      </c>
      <c r="H83" s="14"/>
      <c r="I83" s="15"/>
      <c r="J83" s="17"/>
    </row>
    <row r="84" spans="1:10" ht="11.25" customHeight="1">
      <c r="A84" s="22" t="s">
        <v>719</v>
      </c>
      <c r="B84" s="23"/>
      <c r="C84" s="23"/>
      <c r="D84" s="23"/>
      <c r="E84" s="24" t="s">
        <v>873</v>
      </c>
      <c r="F84" s="24"/>
      <c r="G84" s="24" t="s">
        <v>699</v>
      </c>
      <c r="H84" s="24"/>
      <c r="I84" s="43" t="s">
        <v>545</v>
      </c>
      <c r="J84" s="26"/>
    </row>
    <row r="85" spans="1:10" ht="11.25" customHeight="1">
      <c r="A85" s="18"/>
      <c r="B85" s="19"/>
      <c r="C85" s="19"/>
      <c r="D85" s="19"/>
      <c r="E85" s="18" t="s">
        <v>874</v>
      </c>
      <c r="F85" s="18"/>
      <c r="G85" s="18"/>
      <c r="H85" s="18"/>
      <c r="I85" s="19"/>
      <c r="J85" s="3"/>
    </row>
    <row r="86" spans="1:10" ht="11.25" customHeight="1">
      <c r="A86" s="18"/>
      <c r="B86" s="19"/>
      <c r="C86" s="19"/>
      <c r="D86" s="19"/>
      <c r="E86" s="18" t="s">
        <v>875</v>
      </c>
      <c r="F86" s="18"/>
      <c r="G86" s="18"/>
      <c r="H86" s="18"/>
      <c r="I86" s="19"/>
      <c r="J86" s="3"/>
    </row>
    <row r="87" spans="1:10" ht="11.25" customHeight="1">
      <c r="A87" s="22" t="s">
        <v>719</v>
      </c>
      <c r="B87" s="23"/>
      <c r="C87" s="23"/>
      <c r="D87" s="23"/>
      <c r="E87" s="24" t="s">
        <v>850</v>
      </c>
      <c r="F87" s="24"/>
      <c r="G87" s="24" t="s">
        <v>700</v>
      </c>
      <c r="H87" s="24"/>
      <c r="I87" s="43" t="s">
        <v>545</v>
      </c>
      <c r="J87" s="26"/>
    </row>
    <row r="88" spans="1:10" ht="11.25" customHeight="1">
      <c r="A88" s="14"/>
      <c r="B88" s="15"/>
      <c r="C88" s="15"/>
      <c r="D88" s="15"/>
      <c r="E88" s="16"/>
      <c r="F88" s="16"/>
      <c r="G88" s="14" t="s">
        <v>876</v>
      </c>
      <c r="H88" s="14"/>
      <c r="I88" s="15"/>
      <c r="J88" s="17"/>
    </row>
    <row r="89" spans="1:10" ht="11.25" customHeight="1">
      <c r="A89" s="27" t="s">
        <v>719</v>
      </c>
      <c r="B89" s="8"/>
      <c r="C89" s="8"/>
      <c r="D89" s="8"/>
      <c r="E89" s="7" t="s">
        <v>848</v>
      </c>
      <c r="F89" s="7"/>
      <c r="G89" s="7" t="s">
        <v>877</v>
      </c>
      <c r="H89" s="7"/>
      <c r="I89" s="46" t="s">
        <v>545</v>
      </c>
      <c r="J89" s="9"/>
    </row>
    <row r="90" spans="1:10" ht="11.25" customHeight="1">
      <c r="A90" s="24" t="s">
        <v>752</v>
      </c>
      <c r="B90" s="23"/>
      <c r="C90" s="23"/>
      <c r="D90" s="23"/>
      <c r="E90" s="25" t="s">
        <v>753</v>
      </c>
      <c r="F90" s="25"/>
      <c r="G90" s="24" t="s">
        <v>994</v>
      </c>
      <c r="H90" s="24"/>
      <c r="I90" s="43" t="s">
        <v>562</v>
      </c>
      <c r="J90" s="35"/>
    </row>
    <row r="91" spans="1:10" ht="11.25" customHeight="1">
      <c r="A91" s="18"/>
      <c r="B91" s="19"/>
      <c r="C91" s="19"/>
      <c r="D91" s="19"/>
      <c r="E91" s="18" t="s">
        <v>836</v>
      </c>
      <c r="F91" s="18"/>
      <c r="G91" s="18" t="s">
        <v>996</v>
      </c>
      <c r="H91" s="18"/>
      <c r="I91" s="19"/>
      <c r="J91" s="32"/>
    </row>
    <row r="92" spans="1:10" ht="11.25" customHeight="1">
      <c r="A92" s="16"/>
      <c r="B92" s="15"/>
      <c r="C92" s="15"/>
      <c r="D92" s="15"/>
      <c r="E92" s="29"/>
      <c r="F92" s="29"/>
      <c r="G92" s="14" t="s">
        <v>995</v>
      </c>
      <c r="H92" s="14"/>
      <c r="I92" s="15"/>
      <c r="J92" s="36"/>
    </row>
    <row r="93" spans="1:10" ht="11.25" customHeight="1">
      <c r="A93" s="27" t="s">
        <v>719</v>
      </c>
      <c r="B93" s="8"/>
      <c r="C93" s="8"/>
      <c r="D93" s="8"/>
      <c r="E93" s="27" t="s">
        <v>754</v>
      </c>
      <c r="F93" s="27"/>
      <c r="G93" s="7" t="s">
        <v>878</v>
      </c>
      <c r="H93" s="7"/>
      <c r="I93" s="46" t="s">
        <v>555</v>
      </c>
      <c r="J93" s="28"/>
    </row>
    <row r="94" spans="1:10" ht="11.25" customHeight="1">
      <c r="A94" s="22" t="s">
        <v>719</v>
      </c>
      <c r="B94" s="23"/>
      <c r="C94" s="23"/>
      <c r="D94" s="23"/>
      <c r="E94" s="22" t="s">
        <v>754</v>
      </c>
      <c r="F94" s="22"/>
      <c r="G94" s="24" t="s">
        <v>879</v>
      </c>
      <c r="H94" s="24"/>
      <c r="I94" s="43" t="s">
        <v>563</v>
      </c>
      <c r="J94" s="35"/>
    </row>
    <row r="95" spans="1:10" ht="11.25" customHeight="1">
      <c r="A95" s="16"/>
      <c r="B95" s="15"/>
      <c r="C95" s="15"/>
      <c r="D95" s="15"/>
      <c r="E95" s="29"/>
      <c r="F95" s="29"/>
      <c r="G95" s="14" t="s">
        <v>880</v>
      </c>
      <c r="H95" s="14"/>
      <c r="I95" s="15"/>
      <c r="J95" s="36"/>
    </row>
    <row r="96" spans="1:10" ht="11.25" customHeight="1">
      <c r="A96" s="24" t="s">
        <v>997</v>
      </c>
      <c r="B96" s="23"/>
      <c r="C96" s="23"/>
      <c r="D96" s="23"/>
      <c r="E96" s="25" t="s">
        <v>753</v>
      </c>
      <c r="F96" s="25"/>
      <c r="G96" s="25" t="s">
        <v>955</v>
      </c>
      <c r="H96" s="25"/>
      <c r="I96" s="43" t="s">
        <v>564</v>
      </c>
      <c r="J96" s="41" t="s">
        <v>733</v>
      </c>
    </row>
    <row r="97" spans="1:10" ht="11.25" customHeight="1">
      <c r="A97" s="14"/>
      <c r="B97" s="15"/>
      <c r="C97" s="15"/>
      <c r="D97" s="19"/>
      <c r="E97" s="18" t="s">
        <v>836</v>
      </c>
      <c r="F97" s="18"/>
      <c r="G97" s="14"/>
      <c r="H97" s="14"/>
      <c r="I97" s="15"/>
      <c r="J97" s="17"/>
    </row>
    <row r="98" spans="1:10" ht="11.25" customHeight="1">
      <c r="A98" s="24" t="s">
        <v>998</v>
      </c>
      <c r="B98" s="23"/>
      <c r="C98" s="23"/>
      <c r="D98" s="23"/>
      <c r="E98" s="24" t="s">
        <v>852</v>
      </c>
      <c r="F98" s="24"/>
      <c r="G98" s="25" t="s">
        <v>881</v>
      </c>
      <c r="H98" s="25"/>
      <c r="I98" s="43" t="s">
        <v>563</v>
      </c>
      <c r="J98" s="41"/>
    </row>
    <row r="99" spans="1:10" ht="11.25" customHeight="1">
      <c r="A99" s="14"/>
      <c r="B99" s="15"/>
      <c r="C99" s="15"/>
      <c r="D99" s="15"/>
      <c r="E99" s="14"/>
      <c r="F99" s="14"/>
      <c r="G99" s="14"/>
      <c r="H99" s="29"/>
      <c r="I99" s="15"/>
      <c r="J99" s="17"/>
    </row>
    <row r="100" spans="1:10" ht="11.25" customHeight="1">
      <c r="A100" s="22" t="s">
        <v>719</v>
      </c>
      <c r="B100" s="23"/>
      <c r="C100" s="23"/>
      <c r="D100" s="23"/>
      <c r="E100" s="25" t="s">
        <v>826</v>
      </c>
      <c r="F100" s="25"/>
      <c r="G100" s="25" t="s">
        <v>882</v>
      </c>
      <c r="H100" s="25"/>
      <c r="I100" s="43" t="s">
        <v>565</v>
      </c>
      <c r="J100" s="26"/>
    </row>
    <row r="101" spans="1:10" ht="11.25" customHeight="1">
      <c r="A101" s="18"/>
      <c r="B101" s="19"/>
      <c r="C101" s="19"/>
      <c r="D101" s="19"/>
      <c r="E101" s="18" t="s">
        <v>354</v>
      </c>
      <c r="F101" s="18"/>
      <c r="G101" s="18"/>
      <c r="H101" s="18"/>
      <c r="I101" s="19"/>
      <c r="J101" s="3"/>
    </row>
    <row r="102" spans="1:10" ht="11.25" customHeight="1">
      <c r="A102" s="18"/>
      <c r="B102" s="19"/>
      <c r="C102" s="19"/>
      <c r="D102" s="19"/>
      <c r="E102" s="18" t="s">
        <v>854</v>
      </c>
      <c r="F102" s="18"/>
      <c r="G102" s="18"/>
      <c r="H102" s="18"/>
      <c r="I102" s="19"/>
      <c r="J102" s="3"/>
    </row>
    <row r="103" spans="1:10" ht="11.25" customHeight="1">
      <c r="A103" s="14"/>
      <c r="B103" s="15"/>
      <c r="C103" s="15"/>
      <c r="D103" s="15"/>
      <c r="E103" s="14" t="s">
        <v>853</v>
      </c>
      <c r="F103" s="14"/>
      <c r="G103" s="14"/>
      <c r="H103" s="14"/>
      <c r="I103" s="15"/>
      <c r="J103" s="17"/>
    </row>
    <row r="104" spans="1:10" ht="11.25" customHeight="1">
      <c r="A104" s="24" t="s">
        <v>883</v>
      </c>
      <c r="B104" s="23"/>
      <c r="C104" s="23"/>
      <c r="D104" s="23"/>
      <c r="E104" s="24" t="s">
        <v>965</v>
      </c>
      <c r="F104" s="24"/>
      <c r="G104" s="24" t="s">
        <v>884</v>
      </c>
      <c r="H104" s="24"/>
      <c r="I104" s="43" t="s">
        <v>566</v>
      </c>
      <c r="J104" s="41" t="s">
        <v>733</v>
      </c>
    </row>
    <row r="105" spans="1:10" ht="11.25" customHeight="1">
      <c r="A105" s="4"/>
      <c r="B105" s="19"/>
      <c r="C105" s="19"/>
      <c r="D105" s="19"/>
      <c r="E105" s="18" t="s">
        <v>956</v>
      </c>
      <c r="F105" s="18"/>
      <c r="G105" s="18" t="s">
        <v>885</v>
      </c>
      <c r="H105" s="18"/>
      <c r="I105" s="19"/>
      <c r="J105" s="3"/>
    </row>
    <row r="106" spans="1:10" ht="11.25" customHeight="1">
      <c r="A106" s="16"/>
      <c r="B106" s="15"/>
      <c r="C106" s="15"/>
      <c r="D106" s="15"/>
      <c r="E106" s="14" t="s">
        <v>966</v>
      </c>
      <c r="F106" s="14"/>
      <c r="G106" s="14"/>
      <c r="H106" s="14"/>
      <c r="I106" s="15"/>
      <c r="J106" s="17"/>
    </row>
    <row r="107" spans="1:10" ht="11.25" customHeight="1">
      <c r="A107" s="22" t="s">
        <v>719</v>
      </c>
      <c r="B107" s="23"/>
      <c r="C107" s="23"/>
      <c r="D107" s="23"/>
      <c r="E107" s="24" t="s">
        <v>756</v>
      </c>
      <c r="F107" s="24"/>
      <c r="G107" s="24" t="s">
        <v>701</v>
      </c>
      <c r="H107" s="24"/>
      <c r="I107" s="43" t="s">
        <v>567</v>
      </c>
      <c r="J107" s="41" t="s">
        <v>733</v>
      </c>
    </row>
    <row r="108" spans="1:10" ht="11.25" customHeight="1">
      <c r="A108" s="14"/>
      <c r="B108" s="15"/>
      <c r="C108" s="15"/>
      <c r="D108" s="15"/>
      <c r="E108" s="14" t="s">
        <v>757</v>
      </c>
      <c r="F108" s="14"/>
      <c r="G108" s="16"/>
      <c r="H108" s="16"/>
      <c r="I108" s="15"/>
      <c r="J108" s="17"/>
    </row>
    <row r="109" spans="1:10" ht="11.25" customHeight="1">
      <c r="A109" s="25" t="s">
        <v>122</v>
      </c>
      <c r="B109" s="23"/>
      <c r="C109" s="23"/>
      <c r="D109" s="23"/>
      <c r="E109" s="24" t="s">
        <v>126</v>
      </c>
      <c r="F109" s="24"/>
      <c r="G109" s="25" t="s">
        <v>702</v>
      </c>
      <c r="H109" s="25"/>
      <c r="I109" s="43" t="s">
        <v>568</v>
      </c>
      <c r="J109" s="35"/>
    </row>
    <row r="110" spans="1:10" ht="11.25" customHeight="1">
      <c r="A110" s="29"/>
      <c r="B110" s="15"/>
      <c r="C110" s="15"/>
      <c r="D110" s="15"/>
      <c r="E110" s="14" t="s">
        <v>922</v>
      </c>
      <c r="F110" s="14"/>
      <c r="G110" s="14" t="s">
        <v>125</v>
      </c>
      <c r="H110" s="16"/>
      <c r="I110" s="37"/>
      <c r="J110" s="17"/>
    </row>
    <row r="111" spans="1:10" ht="11.25" customHeight="1">
      <c r="A111" s="4" t="s">
        <v>16</v>
      </c>
      <c r="B111" s="19"/>
      <c r="C111" s="19"/>
      <c r="D111" s="19"/>
      <c r="E111" s="4" t="s">
        <v>355</v>
      </c>
      <c r="F111" s="4"/>
      <c r="G111" s="4" t="s">
        <v>127</v>
      </c>
      <c r="H111" s="4"/>
      <c r="I111" s="136" t="s">
        <v>569</v>
      </c>
      <c r="J111" s="3"/>
    </row>
    <row r="112" spans="1:10" ht="11.25" customHeight="1">
      <c r="A112" s="14"/>
      <c r="B112" s="15"/>
      <c r="C112" s="15"/>
      <c r="D112" s="15"/>
      <c r="E112" s="14" t="s">
        <v>768</v>
      </c>
      <c r="F112" s="14"/>
      <c r="G112" s="14"/>
      <c r="H112" s="14"/>
      <c r="I112" s="15"/>
      <c r="J112" s="17"/>
    </row>
    <row r="113" spans="1:10" ht="11.25">
      <c r="A113" s="22" t="s">
        <v>719</v>
      </c>
      <c r="B113" s="19"/>
      <c r="C113" s="19"/>
      <c r="D113" s="19"/>
      <c r="E113" s="4" t="s">
        <v>838</v>
      </c>
      <c r="F113" s="4"/>
      <c r="G113" s="22" t="s">
        <v>754</v>
      </c>
      <c r="H113" s="4"/>
      <c r="I113" s="19" t="s">
        <v>561</v>
      </c>
      <c r="J113" s="3"/>
    </row>
    <row r="114" spans="1:10" ht="11.25">
      <c r="A114" s="14"/>
      <c r="B114" s="15"/>
      <c r="C114" s="15"/>
      <c r="D114" s="15"/>
      <c r="E114" s="14" t="s">
        <v>128</v>
      </c>
      <c r="F114" s="14"/>
      <c r="G114" s="14"/>
      <c r="H114" s="14"/>
      <c r="I114" s="15"/>
      <c r="J114" s="17"/>
    </row>
    <row r="115" spans="1:10" ht="11.25">
      <c r="A115" s="25" t="s">
        <v>468</v>
      </c>
      <c r="B115" s="23"/>
      <c r="C115" s="23"/>
      <c r="D115" s="23"/>
      <c r="E115" s="25" t="s">
        <v>469</v>
      </c>
      <c r="F115" s="25"/>
      <c r="G115" s="24" t="s">
        <v>470</v>
      </c>
      <c r="H115" s="24"/>
      <c r="I115" s="134" t="s">
        <v>570</v>
      </c>
      <c r="J115" s="26"/>
    </row>
    <row r="116" spans="1:10" ht="11.25">
      <c r="A116" s="29"/>
      <c r="B116" s="15"/>
      <c r="C116" s="15"/>
      <c r="D116" s="15"/>
      <c r="E116" s="14" t="s">
        <v>845</v>
      </c>
      <c r="F116" s="14"/>
      <c r="G116" s="16"/>
      <c r="H116" s="16"/>
      <c r="I116" s="139"/>
      <c r="J116" s="17"/>
    </row>
    <row r="117" spans="1:10" ht="11.25">
      <c r="A117" s="25" t="s">
        <v>758</v>
      </c>
      <c r="B117" s="23"/>
      <c r="C117" s="23"/>
      <c r="D117" s="23"/>
      <c r="E117" s="25" t="s">
        <v>739</v>
      </c>
      <c r="F117" s="25"/>
      <c r="G117" s="24" t="s">
        <v>124</v>
      </c>
      <c r="H117" s="24"/>
      <c r="I117" s="134" t="s">
        <v>571</v>
      </c>
      <c r="J117" s="26"/>
    </row>
    <row r="118" spans="1:10" ht="11.25">
      <c r="A118" s="25" t="s">
        <v>977</v>
      </c>
      <c r="B118" s="23"/>
      <c r="C118" s="23" t="s">
        <v>735</v>
      </c>
      <c r="D118" s="23"/>
      <c r="E118" s="25" t="s">
        <v>984</v>
      </c>
      <c r="F118" s="25"/>
      <c r="G118" s="24" t="s">
        <v>983</v>
      </c>
      <c r="H118" s="22"/>
      <c r="I118" s="134" t="s">
        <v>571</v>
      </c>
      <c r="J118" s="26"/>
    </row>
    <row r="119" spans="1:10" ht="11.25">
      <c r="A119" s="29"/>
      <c r="B119" s="15"/>
      <c r="C119" s="15"/>
      <c r="D119" s="15"/>
      <c r="E119" s="14" t="s">
        <v>985</v>
      </c>
      <c r="F119" s="14"/>
      <c r="G119" s="16"/>
      <c r="H119" s="14"/>
      <c r="I119" s="37"/>
      <c r="J119" s="17"/>
    </row>
    <row r="120" spans="1:10" ht="11.25">
      <c r="A120" s="31" t="s">
        <v>422</v>
      </c>
      <c r="B120" s="8"/>
      <c r="C120" s="8" t="s">
        <v>754</v>
      </c>
      <c r="D120" s="8"/>
      <c r="E120" s="7" t="s">
        <v>759</v>
      </c>
      <c r="F120" s="7"/>
      <c r="G120" s="7" t="s">
        <v>957</v>
      </c>
      <c r="H120" s="7"/>
      <c r="I120" s="46" t="s">
        <v>572</v>
      </c>
      <c r="J120" s="9"/>
    </row>
    <row r="121" spans="1:10" ht="11.25">
      <c r="A121" s="27" t="s">
        <v>719</v>
      </c>
      <c r="B121" s="8"/>
      <c r="C121" s="8" t="s">
        <v>754</v>
      </c>
      <c r="D121" s="8"/>
      <c r="E121" s="27" t="s">
        <v>754</v>
      </c>
      <c r="F121" s="27"/>
      <c r="G121" s="7" t="s">
        <v>760</v>
      </c>
      <c r="H121" s="7"/>
      <c r="I121" s="46" t="s">
        <v>573</v>
      </c>
      <c r="J121" s="9"/>
    </row>
    <row r="122" spans="1:10" ht="11.25">
      <c r="A122" s="4" t="s">
        <v>761</v>
      </c>
      <c r="B122" s="19"/>
      <c r="C122" s="19"/>
      <c r="D122" s="19"/>
      <c r="E122" s="4" t="s">
        <v>762</v>
      </c>
      <c r="F122" s="4"/>
      <c r="G122" s="4" t="s">
        <v>837</v>
      </c>
      <c r="H122" s="4"/>
      <c r="I122" s="136" t="s">
        <v>574</v>
      </c>
      <c r="J122" s="13"/>
    </row>
    <row r="123" spans="1:10" ht="11.25">
      <c r="A123" s="16"/>
      <c r="B123" s="15"/>
      <c r="C123" s="15"/>
      <c r="D123" s="15"/>
      <c r="E123" s="14"/>
      <c r="F123" s="14"/>
      <c r="G123" s="14" t="s">
        <v>843</v>
      </c>
      <c r="H123" s="14"/>
      <c r="I123" s="15"/>
      <c r="J123" s="17"/>
    </row>
    <row r="124" spans="1:10" ht="11.25">
      <c r="A124" s="27" t="s">
        <v>719</v>
      </c>
      <c r="B124" s="8"/>
      <c r="C124" s="8"/>
      <c r="D124" s="8"/>
      <c r="E124" s="7" t="s">
        <v>763</v>
      </c>
      <c r="F124" s="7"/>
      <c r="G124" s="7" t="s">
        <v>764</v>
      </c>
      <c r="H124" s="7"/>
      <c r="I124" s="46" t="s">
        <v>537</v>
      </c>
      <c r="J124" s="9"/>
    </row>
    <row r="125" spans="1:10" ht="11.25">
      <c r="A125" s="24" t="s">
        <v>113</v>
      </c>
      <c r="B125" s="23"/>
      <c r="C125" s="23"/>
      <c r="D125" s="23"/>
      <c r="E125" s="24" t="s">
        <v>852</v>
      </c>
      <c r="F125" s="24"/>
      <c r="G125" s="24" t="s">
        <v>117</v>
      </c>
      <c r="H125" s="24"/>
      <c r="I125" s="43" t="s">
        <v>575</v>
      </c>
      <c r="J125" s="26"/>
    </row>
    <row r="126" spans="1:10" ht="11.25">
      <c r="A126" s="159" t="s">
        <v>765</v>
      </c>
      <c r="B126" s="159"/>
      <c r="C126" s="159"/>
      <c r="D126" s="159"/>
      <c r="E126" s="159"/>
      <c r="F126" s="159"/>
      <c r="G126" s="159"/>
      <c r="H126" s="159"/>
      <c r="I126" s="159"/>
      <c r="J126" s="159"/>
    </row>
    <row r="127" spans="1:10" ht="11.25">
      <c r="A127" s="165" t="s">
        <v>766</v>
      </c>
      <c r="B127" s="165"/>
      <c r="C127" s="165"/>
      <c r="D127" s="165"/>
      <c r="E127" s="165"/>
      <c r="F127" s="165"/>
      <c r="G127" s="165"/>
      <c r="H127" s="165"/>
      <c r="I127" s="165"/>
      <c r="J127" s="165"/>
    </row>
    <row r="128" spans="1:10" ht="11.25">
      <c r="A128" s="165" t="s">
        <v>897</v>
      </c>
      <c r="B128" s="165"/>
      <c r="C128" s="165"/>
      <c r="D128" s="165"/>
      <c r="E128" s="165"/>
      <c r="F128" s="165"/>
      <c r="G128" s="165"/>
      <c r="H128" s="165"/>
      <c r="I128" s="165"/>
      <c r="J128" s="165"/>
    </row>
    <row r="129" spans="1:10" ht="11.25">
      <c r="A129" s="165"/>
      <c r="B129" s="165"/>
      <c r="C129" s="165"/>
      <c r="D129" s="165"/>
      <c r="E129" s="165"/>
      <c r="F129" s="165"/>
      <c r="G129" s="165"/>
      <c r="H129" s="165"/>
      <c r="I129" s="165"/>
      <c r="J129" s="165"/>
    </row>
    <row r="130" spans="1:10" ht="11.25">
      <c r="A130" s="165" t="s">
        <v>710</v>
      </c>
      <c r="B130" s="165"/>
      <c r="C130" s="165"/>
      <c r="D130" s="165"/>
      <c r="E130" s="165"/>
      <c r="F130" s="165"/>
      <c r="G130" s="165"/>
      <c r="H130" s="165"/>
      <c r="I130" s="165"/>
      <c r="J130" s="165"/>
    </row>
    <row r="131" spans="1:10" ht="11.2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</row>
    <row r="132" spans="1:10" ht="11.25">
      <c r="A132" s="167"/>
      <c r="B132" s="167"/>
      <c r="C132" s="167"/>
      <c r="D132" s="26"/>
      <c r="E132" s="6" t="s">
        <v>711</v>
      </c>
      <c r="F132" s="6"/>
      <c r="G132" s="6"/>
      <c r="H132" s="6"/>
      <c r="I132" s="6" t="s">
        <v>712</v>
      </c>
      <c r="J132" s="6"/>
    </row>
    <row r="133" spans="1:10" ht="11.25">
      <c r="A133" s="168" t="s">
        <v>713</v>
      </c>
      <c r="B133" s="168"/>
      <c r="C133" s="168"/>
      <c r="D133" s="2"/>
      <c r="E133" s="2" t="s">
        <v>714</v>
      </c>
      <c r="F133" s="2"/>
      <c r="G133" s="2" t="s">
        <v>715</v>
      </c>
      <c r="H133" s="2"/>
      <c r="I133" s="2" t="s">
        <v>716</v>
      </c>
      <c r="J133" s="2"/>
    </row>
    <row r="134" spans="1:10" ht="11.25">
      <c r="A134" s="24" t="s">
        <v>767</v>
      </c>
      <c r="B134" s="23"/>
      <c r="C134" s="23"/>
      <c r="D134" s="23"/>
      <c r="E134" s="24" t="s">
        <v>886</v>
      </c>
      <c r="F134" s="24"/>
      <c r="G134" s="24" t="s">
        <v>887</v>
      </c>
      <c r="H134" s="24"/>
      <c r="I134" s="43" t="s">
        <v>564</v>
      </c>
      <c r="J134" s="26"/>
    </row>
    <row r="135" spans="1:10" ht="11.25">
      <c r="A135" s="18"/>
      <c r="B135" s="19"/>
      <c r="C135" s="19"/>
      <c r="D135" s="19"/>
      <c r="E135" s="18" t="s">
        <v>888</v>
      </c>
      <c r="F135" s="18"/>
      <c r="G135" s="18" t="s">
        <v>705</v>
      </c>
      <c r="H135" s="18"/>
      <c r="I135" s="19"/>
      <c r="J135" s="3"/>
    </row>
    <row r="136" spans="1:10" ht="11.25">
      <c r="A136" s="18"/>
      <c r="B136" s="19"/>
      <c r="C136" s="19"/>
      <c r="D136" s="19"/>
      <c r="E136" s="18"/>
      <c r="F136" s="18"/>
      <c r="G136" s="18" t="s">
        <v>889</v>
      </c>
      <c r="H136" s="18"/>
      <c r="I136" s="19"/>
      <c r="J136" s="3"/>
    </row>
    <row r="137" spans="1:10" ht="11.25">
      <c r="A137" s="18"/>
      <c r="B137" s="19"/>
      <c r="C137" s="19"/>
      <c r="D137" s="19"/>
      <c r="E137" s="18"/>
      <c r="F137" s="18"/>
      <c r="G137" s="18" t="s">
        <v>958</v>
      </c>
      <c r="H137" s="18"/>
      <c r="I137" s="19"/>
      <c r="J137" s="3"/>
    </row>
    <row r="138" spans="1:10" ht="11.25">
      <c r="A138" s="14"/>
      <c r="B138" s="15"/>
      <c r="C138" s="15"/>
      <c r="D138" s="15"/>
      <c r="E138" s="14"/>
      <c r="F138" s="14"/>
      <c r="G138" s="14" t="s">
        <v>890</v>
      </c>
      <c r="H138" s="14"/>
      <c r="I138" s="15"/>
      <c r="J138" s="17"/>
    </row>
    <row r="139" spans="1:10" ht="11.25">
      <c r="A139" s="18" t="s">
        <v>719</v>
      </c>
      <c r="B139" s="19"/>
      <c r="C139" s="19"/>
      <c r="D139" s="19"/>
      <c r="E139" s="4" t="s">
        <v>606</v>
      </c>
      <c r="F139" s="4"/>
      <c r="G139" s="4" t="s">
        <v>704</v>
      </c>
      <c r="H139" s="4"/>
      <c r="I139" s="136" t="s">
        <v>540</v>
      </c>
      <c r="J139" s="3"/>
    </row>
    <row r="140" spans="1:10" ht="11.25">
      <c r="A140" s="14"/>
      <c r="B140" s="15"/>
      <c r="C140" s="15"/>
      <c r="D140" s="15"/>
      <c r="E140" s="14" t="s">
        <v>768</v>
      </c>
      <c r="F140" s="14"/>
      <c r="G140" s="14" t="s">
        <v>703</v>
      </c>
      <c r="H140" s="14"/>
      <c r="I140" s="15"/>
      <c r="J140" s="17"/>
    </row>
    <row r="141" spans="1:10" ht="11.25">
      <c r="A141" s="24" t="s">
        <v>775</v>
      </c>
      <c r="B141" s="23"/>
      <c r="C141" s="23"/>
      <c r="D141" s="23"/>
      <c r="E141" s="24" t="s">
        <v>776</v>
      </c>
      <c r="F141" s="24"/>
      <c r="G141" s="24" t="s">
        <v>507</v>
      </c>
      <c r="H141" s="24"/>
      <c r="I141" s="43" t="s">
        <v>576</v>
      </c>
      <c r="J141" s="26"/>
    </row>
    <row r="142" spans="1:10" ht="11.25">
      <c r="A142" s="16"/>
      <c r="B142" s="15"/>
      <c r="C142" s="15"/>
      <c r="D142" s="15"/>
      <c r="E142" s="14" t="s">
        <v>777</v>
      </c>
      <c r="F142" s="14"/>
      <c r="G142" s="14" t="s">
        <v>508</v>
      </c>
      <c r="H142" s="16"/>
      <c r="I142" s="15"/>
      <c r="J142" s="17"/>
    </row>
    <row r="143" spans="1:10" ht="11.25">
      <c r="A143" s="18" t="s">
        <v>719</v>
      </c>
      <c r="B143" s="19"/>
      <c r="C143" s="19"/>
      <c r="D143" s="19"/>
      <c r="E143" s="4" t="s">
        <v>778</v>
      </c>
      <c r="F143" s="4"/>
      <c r="G143" s="4" t="s">
        <v>844</v>
      </c>
      <c r="H143" s="4"/>
      <c r="I143" s="136" t="s">
        <v>551</v>
      </c>
      <c r="J143" s="3"/>
    </row>
    <row r="144" spans="1:10" ht="11.25">
      <c r="A144" s="18"/>
      <c r="B144" s="19"/>
      <c r="C144" s="19"/>
      <c r="D144" s="19"/>
      <c r="E144" s="4"/>
      <c r="F144" s="4"/>
      <c r="G144" s="18" t="s">
        <v>779</v>
      </c>
      <c r="H144" s="18"/>
      <c r="I144" s="19"/>
      <c r="J144" s="3"/>
    </row>
    <row r="145" spans="1:10" ht="11.25">
      <c r="A145" s="27" t="s">
        <v>719</v>
      </c>
      <c r="B145" s="8"/>
      <c r="C145" s="8"/>
      <c r="D145" s="8"/>
      <c r="E145" s="31" t="s">
        <v>780</v>
      </c>
      <c r="F145" s="31"/>
      <c r="G145" s="7" t="s">
        <v>781</v>
      </c>
      <c r="H145" s="7"/>
      <c r="I145" s="46" t="s">
        <v>577</v>
      </c>
      <c r="J145" s="9"/>
    </row>
    <row r="146" spans="1:10" ht="11.25">
      <c r="A146" s="18" t="s">
        <v>719</v>
      </c>
      <c r="B146" s="19"/>
      <c r="C146" s="19"/>
      <c r="D146" s="19"/>
      <c r="E146" s="4" t="s">
        <v>782</v>
      </c>
      <c r="F146" s="4"/>
      <c r="G146" s="4" t="s">
        <v>755</v>
      </c>
      <c r="H146" s="4"/>
      <c r="I146" s="136" t="s">
        <v>549</v>
      </c>
      <c r="J146" s="3"/>
    </row>
    <row r="147" spans="1:10" ht="11.25">
      <c r="A147" s="24" t="s">
        <v>783</v>
      </c>
      <c r="B147" s="23"/>
      <c r="C147" s="23"/>
      <c r="D147" s="23"/>
      <c r="E147" s="24" t="s">
        <v>784</v>
      </c>
      <c r="F147" s="24"/>
      <c r="G147" s="24" t="s">
        <v>706</v>
      </c>
      <c r="H147" s="24"/>
      <c r="I147" s="43" t="s">
        <v>578</v>
      </c>
      <c r="J147" s="26"/>
    </row>
    <row r="148" spans="1:10" ht="11.25">
      <c r="A148" s="16"/>
      <c r="B148" s="15"/>
      <c r="C148" s="15"/>
      <c r="D148" s="15"/>
      <c r="E148" s="14"/>
      <c r="F148" s="14"/>
      <c r="G148" s="14" t="s">
        <v>785</v>
      </c>
      <c r="H148" s="14"/>
      <c r="I148" s="15"/>
      <c r="J148" s="17"/>
    </row>
    <row r="149" spans="1:10" ht="11.25">
      <c r="A149" s="22" t="s">
        <v>719</v>
      </c>
      <c r="B149" s="23"/>
      <c r="C149" s="23"/>
      <c r="D149" s="23"/>
      <c r="E149" s="24" t="s">
        <v>786</v>
      </c>
      <c r="F149" s="24"/>
      <c r="G149" s="24" t="s">
        <v>707</v>
      </c>
      <c r="H149" s="24"/>
      <c r="I149" s="43" t="s">
        <v>579</v>
      </c>
      <c r="J149" s="26"/>
    </row>
    <row r="150" spans="1:10" ht="11.25">
      <c r="A150" s="16"/>
      <c r="B150" s="15"/>
      <c r="C150" s="15"/>
      <c r="D150" s="15"/>
      <c r="E150" s="16"/>
      <c r="F150" s="16"/>
      <c r="G150" s="14" t="s">
        <v>1000</v>
      </c>
      <c r="H150" s="14"/>
      <c r="I150" s="15"/>
      <c r="J150" s="17"/>
    </row>
    <row r="151" spans="1:10" ht="11.25">
      <c r="A151" s="22" t="s">
        <v>719</v>
      </c>
      <c r="B151" s="23"/>
      <c r="C151" s="23"/>
      <c r="D151" s="23"/>
      <c r="E151" s="24" t="s">
        <v>1001</v>
      </c>
      <c r="F151" s="24"/>
      <c r="G151" s="24" t="s">
        <v>1002</v>
      </c>
      <c r="H151" s="24"/>
      <c r="I151" s="43" t="s">
        <v>580</v>
      </c>
      <c r="J151" s="26"/>
    </row>
    <row r="152" spans="1:10" ht="12">
      <c r="A152" s="7" t="s">
        <v>769</v>
      </c>
      <c r="B152" s="8"/>
      <c r="C152" s="8"/>
      <c r="D152" s="8"/>
      <c r="E152" s="7" t="s">
        <v>770</v>
      </c>
      <c r="F152" s="7"/>
      <c r="G152" s="7" t="s">
        <v>684</v>
      </c>
      <c r="H152" s="7"/>
      <c r="I152" s="46" t="s">
        <v>564</v>
      </c>
      <c r="J152" s="28" t="s">
        <v>733</v>
      </c>
    </row>
    <row r="153" spans="1:10" ht="12">
      <c r="A153" s="27" t="s">
        <v>719</v>
      </c>
      <c r="B153" s="8"/>
      <c r="C153" s="8"/>
      <c r="D153" s="8"/>
      <c r="E153" s="7" t="s">
        <v>771</v>
      </c>
      <c r="F153" s="7"/>
      <c r="G153" s="31" t="s">
        <v>683</v>
      </c>
      <c r="H153" s="31"/>
      <c r="I153" s="46" t="s">
        <v>564</v>
      </c>
      <c r="J153" s="28" t="s">
        <v>733</v>
      </c>
    </row>
    <row r="154" spans="1:10" ht="12">
      <c r="A154" s="18" t="s">
        <v>719</v>
      </c>
      <c r="B154" s="19"/>
      <c r="C154" s="19"/>
      <c r="D154" s="19"/>
      <c r="E154" s="4" t="s">
        <v>772</v>
      </c>
      <c r="F154" s="4"/>
      <c r="G154" s="21" t="s">
        <v>773</v>
      </c>
      <c r="H154" s="21"/>
      <c r="I154" s="136" t="s">
        <v>564</v>
      </c>
      <c r="J154" s="32" t="s">
        <v>733</v>
      </c>
    </row>
    <row r="155" spans="1:10" ht="12">
      <c r="A155" s="22" t="s">
        <v>719</v>
      </c>
      <c r="B155" s="23"/>
      <c r="C155" s="23"/>
      <c r="D155" s="23"/>
      <c r="E155" s="24" t="s">
        <v>774</v>
      </c>
      <c r="F155" s="24"/>
      <c r="G155" s="25" t="s">
        <v>681</v>
      </c>
      <c r="H155" s="25"/>
      <c r="I155" s="43" t="s">
        <v>581</v>
      </c>
      <c r="J155" s="35"/>
    </row>
    <row r="156" spans="1:10" ht="12">
      <c r="A156" s="14"/>
      <c r="B156" s="15"/>
      <c r="C156" s="15"/>
      <c r="D156" s="15"/>
      <c r="E156" s="16"/>
      <c r="F156" s="16"/>
      <c r="G156" s="14" t="s">
        <v>682</v>
      </c>
      <c r="H156" s="14"/>
      <c r="I156" s="15"/>
      <c r="J156" s="36"/>
    </row>
    <row r="157" spans="1:10" ht="12">
      <c r="A157" s="22" t="s">
        <v>719</v>
      </c>
      <c r="B157" s="23"/>
      <c r="C157" s="23"/>
      <c r="D157" s="23"/>
      <c r="E157" s="24" t="s">
        <v>121</v>
      </c>
      <c r="F157" s="24"/>
      <c r="G157" s="25" t="s">
        <v>123</v>
      </c>
      <c r="H157" s="25"/>
      <c r="I157" s="43" t="s">
        <v>568</v>
      </c>
      <c r="J157" s="35"/>
    </row>
    <row r="158" spans="1:10" ht="11.25">
      <c r="A158" s="24" t="s">
        <v>964</v>
      </c>
      <c r="B158" s="23"/>
      <c r="C158" s="23"/>
      <c r="D158" s="23"/>
      <c r="E158" s="24" t="s">
        <v>787</v>
      </c>
      <c r="F158" s="24"/>
      <c r="G158" s="25" t="s">
        <v>856</v>
      </c>
      <c r="H158" s="25"/>
      <c r="I158" s="43" t="s">
        <v>582</v>
      </c>
      <c r="J158" s="26"/>
    </row>
    <row r="159" spans="1:10" ht="11.25">
      <c r="A159" s="14" t="s">
        <v>963</v>
      </c>
      <c r="B159" s="15"/>
      <c r="C159" s="15"/>
      <c r="D159" s="15"/>
      <c r="E159" s="14" t="s">
        <v>728</v>
      </c>
      <c r="F159" s="14"/>
      <c r="G159" s="29"/>
      <c r="H159" s="29"/>
      <c r="I159" s="15"/>
      <c r="J159" s="17"/>
    </row>
    <row r="160" spans="1:10" ht="11.25">
      <c r="A160" s="22" t="s">
        <v>719</v>
      </c>
      <c r="B160" s="23"/>
      <c r="C160" s="23"/>
      <c r="D160" s="23"/>
      <c r="E160" s="24" t="s">
        <v>991</v>
      </c>
      <c r="F160" s="24"/>
      <c r="G160" s="25" t="s">
        <v>680</v>
      </c>
      <c r="H160" s="25"/>
      <c r="I160" s="43" t="s">
        <v>583</v>
      </c>
      <c r="J160" s="26"/>
    </row>
    <row r="161" spans="1:10" ht="11.25">
      <c r="A161" s="14"/>
      <c r="B161" s="15"/>
      <c r="C161" s="15"/>
      <c r="D161" s="15"/>
      <c r="E161" s="14" t="s">
        <v>845</v>
      </c>
      <c r="F161" s="14"/>
      <c r="G161" s="29"/>
      <c r="H161" s="29"/>
      <c r="I161" s="15"/>
      <c r="J161" s="17"/>
    </row>
    <row r="162" spans="1:10" ht="11.25">
      <c r="A162" s="27" t="s">
        <v>719</v>
      </c>
      <c r="B162" s="23"/>
      <c r="C162" s="23"/>
      <c r="D162" s="19"/>
      <c r="E162" s="18" t="s">
        <v>754</v>
      </c>
      <c r="F162" s="18"/>
      <c r="G162" s="31" t="s">
        <v>951</v>
      </c>
      <c r="H162" s="25"/>
      <c r="I162" s="46" t="s">
        <v>549</v>
      </c>
      <c r="J162" s="26"/>
    </row>
    <row r="163" spans="1:10" ht="11.25">
      <c r="A163" s="24" t="s">
        <v>788</v>
      </c>
      <c r="B163" s="23"/>
      <c r="C163" s="23" t="s">
        <v>789</v>
      </c>
      <c r="D163" s="23"/>
      <c r="E163" s="24" t="s">
        <v>790</v>
      </c>
      <c r="F163" s="24"/>
      <c r="G163" s="24" t="s">
        <v>791</v>
      </c>
      <c r="H163" s="24"/>
      <c r="I163" s="43" t="s">
        <v>553</v>
      </c>
      <c r="J163" s="26"/>
    </row>
    <row r="164" spans="1:10" ht="11.25">
      <c r="A164" s="16"/>
      <c r="B164" s="15"/>
      <c r="C164" s="15"/>
      <c r="D164" s="15"/>
      <c r="E164" s="14" t="s">
        <v>792</v>
      </c>
      <c r="F164" s="14"/>
      <c r="G164" s="16"/>
      <c r="H164" s="16"/>
      <c r="I164" s="15"/>
      <c r="J164" s="17"/>
    </row>
    <row r="165" spans="1:10" ht="11.25">
      <c r="A165" s="22" t="s">
        <v>719</v>
      </c>
      <c r="B165" s="23"/>
      <c r="C165" s="23" t="s">
        <v>754</v>
      </c>
      <c r="D165" s="23"/>
      <c r="E165" s="24" t="s">
        <v>793</v>
      </c>
      <c r="F165" s="24"/>
      <c r="G165" s="24" t="s">
        <v>794</v>
      </c>
      <c r="H165" s="24"/>
      <c r="I165" s="43" t="s">
        <v>584</v>
      </c>
      <c r="J165" s="26"/>
    </row>
    <row r="166" spans="1:10" ht="11.25">
      <c r="A166" s="14"/>
      <c r="B166" s="15"/>
      <c r="C166" s="15"/>
      <c r="D166" s="15"/>
      <c r="E166" s="14" t="s">
        <v>795</v>
      </c>
      <c r="F166" s="14"/>
      <c r="G166" s="16"/>
      <c r="H166" s="16"/>
      <c r="I166" s="15"/>
      <c r="J166" s="17"/>
    </row>
    <row r="167" spans="1:10" ht="11.25">
      <c r="A167" s="4" t="s">
        <v>891</v>
      </c>
      <c r="B167" s="19"/>
      <c r="C167" s="19"/>
      <c r="D167" s="19"/>
      <c r="E167" s="24"/>
      <c r="F167" s="24"/>
      <c r="G167" s="24"/>
      <c r="H167" s="4"/>
      <c r="I167" s="11"/>
      <c r="J167" s="13"/>
    </row>
    <row r="168" spans="1:10" ht="11.25">
      <c r="A168" s="27" t="s">
        <v>796</v>
      </c>
      <c r="B168" s="8"/>
      <c r="C168" s="8"/>
      <c r="D168" s="15"/>
      <c r="E168" s="16" t="s">
        <v>797</v>
      </c>
      <c r="F168" s="16"/>
      <c r="G168" s="16" t="s">
        <v>798</v>
      </c>
      <c r="H168" s="4"/>
      <c r="I168" s="19"/>
      <c r="J168" s="3"/>
    </row>
    <row r="169" spans="1:10" ht="12">
      <c r="A169" s="33" t="s">
        <v>719</v>
      </c>
      <c r="B169" s="19"/>
      <c r="C169" s="19" t="s">
        <v>841</v>
      </c>
      <c r="D169" s="19"/>
      <c r="E169" s="18" t="s">
        <v>619</v>
      </c>
      <c r="F169" s="18"/>
      <c r="G169" s="18" t="s">
        <v>800</v>
      </c>
      <c r="H169" s="18"/>
      <c r="I169" s="136" t="s">
        <v>585</v>
      </c>
      <c r="J169" s="32" t="s">
        <v>733</v>
      </c>
    </row>
    <row r="170" spans="1:10" ht="12">
      <c r="A170" s="34"/>
      <c r="B170" s="15"/>
      <c r="C170" s="15" t="s">
        <v>840</v>
      </c>
      <c r="D170" s="15"/>
      <c r="E170" s="14" t="s">
        <v>792</v>
      </c>
      <c r="F170" s="14"/>
      <c r="G170" s="14"/>
      <c r="H170" s="14"/>
      <c r="I170" s="15"/>
      <c r="J170" s="36"/>
    </row>
    <row r="171" spans="1:10" ht="12">
      <c r="A171" s="33" t="s">
        <v>719</v>
      </c>
      <c r="B171" s="19"/>
      <c r="C171" s="19" t="s">
        <v>754</v>
      </c>
      <c r="D171" s="19"/>
      <c r="E171" s="18" t="s">
        <v>801</v>
      </c>
      <c r="F171" s="18"/>
      <c r="G171" s="18" t="s">
        <v>802</v>
      </c>
      <c r="H171" s="18"/>
      <c r="I171" s="136" t="s">
        <v>586</v>
      </c>
      <c r="J171" s="32" t="s">
        <v>733</v>
      </c>
    </row>
    <row r="172" spans="1:10" ht="12">
      <c r="A172" s="38" t="s">
        <v>719</v>
      </c>
      <c r="B172" s="8"/>
      <c r="C172" s="8" t="s">
        <v>754</v>
      </c>
      <c r="D172" s="8"/>
      <c r="E172" s="27" t="s">
        <v>803</v>
      </c>
      <c r="F172" s="27"/>
      <c r="G172" s="27" t="s">
        <v>804</v>
      </c>
      <c r="H172" s="27"/>
      <c r="I172" s="46" t="s">
        <v>572</v>
      </c>
      <c r="J172" s="28" t="s">
        <v>733</v>
      </c>
    </row>
    <row r="173" spans="1:10" ht="11.25">
      <c r="A173" s="27" t="s">
        <v>805</v>
      </c>
      <c r="B173" s="8"/>
      <c r="C173" s="8"/>
      <c r="D173" s="8"/>
      <c r="E173" s="7" t="s">
        <v>797</v>
      </c>
      <c r="F173" s="7"/>
      <c r="G173" s="7" t="s">
        <v>806</v>
      </c>
      <c r="H173" s="24"/>
      <c r="I173" s="23"/>
      <c r="J173" s="26"/>
    </row>
    <row r="174" spans="1:10" ht="12">
      <c r="A174" s="34" t="s">
        <v>719</v>
      </c>
      <c r="B174" s="15"/>
      <c r="C174" s="15" t="s">
        <v>754</v>
      </c>
      <c r="D174" s="15"/>
      <c r="E174" s="14" t="s">
        <v>807</v>
      </c>
      <c r="F174" s="14"/>
      <c r="G174" s="14" t="s">
        <v>808</v>
      </c>
      <c r="H174" s="14"/>
      <c r="I174" s="138" t="s">
        <v>587</v>
      </c>
      <c r="J174" s="36" t="s">
        <v>733</v>
      </c>
    </row>
    <row r="175" spans="1:10" ht="12">
      <c r="A175" s="33" t="s">
        <v>719</v>
      </c>
      <c r="B175" s="19"/>
      <c r="C175" s="19" t="s">
        <v>754</v>
      </c>
      <c r="D175" s="19"/>
      <c r="E175" s="18" t="s">
        <v>809</v>
      </c>
      <c r="F175" s="18"/>
      <c r="G175" s="18" t="s">
        <v>810</v>
      </c>
      <c r="H175" s="18"/>
      <c r="I175" s="136" t="s">
        <v>588</v>
      </c>
      <c r="J175" s="32" t="s">
        <v>733</v>
      </c>
    </row>
    <row r="176" spans="1:10" ht="12">
      <c r="A176" s="33"/>
      <c r="B176" s="19"/>
      <c r="C176" s="19"/>
      <c r="D176" s="19"/>
      <c r="E176" s="33" t="s">
        <v>795</v>
      </c>
      <c r="F176" s="33"/>
      <c r="G176" s="18"/>
      <c r="H176" s="18"/>
      <c r="I176" s="19"/>
      <c r="J176" s="32"/>
    </row>
    <row r="177" spans="1:10" ht="12">
      <c r="A177" s="39" t="s">
        <v>719</v>
      </c>
      <c r="B177" s="23"/>
      <c r="C177" s="23" t="s">
        <v>754</v>
      </c>
      <c r="D177" s="23"/>
      <c r="E177" s="22" t="s">
        <v>811</v>
      </c>
      <c r="F177" s="22"/>
      <c r="G177" s="22" t="s">
        <v>812</v>
      </c>
      <c r="H177" s="22"/>
      <c r="I177" s="43" t="s">
        <v>589</v>
      </c>
      <c r="J177" s="35" t="s">
        <v>733</v>
      </c>
    </row>
    <row r="178" spans="1:10" ht="12">
      <c r="A178" s="34"/>
      <c r="B178" s="15"/>
      <c r="C178" s="15"/>
      <c r="D178" s="15"/>
      <c r="E178" s="34" t="s">
        <v>813</v>
      </c>
      <c r="F178" s="34"/>
      <c r="G178" s="14"/>
      <c r="H178" s="14"/>
      <c r="I178" s="15"/>
      <c r="J178" s="36"/>
    </row>
    <row r="179" spans="1:10" ht="12">
      <c r="A179" s="39" t="s">
        <v>719</v>
      </c>
      <c r="B179" s="23"/>
      <c r="C179" s="23" t="s">
        <v>754</v>
      </c>
      <c r="D179" s="23"/>
      <c r="E179" s="22" t="s">
        <v>814</v>
      </c>
      <c r="F179" s="22"/>
      <c r="G179" s="22" t="s">
        <v>815</v>
      </c>
      <c r="H179" s="22"/>
      <c r="I179" s="43" t="s">
        <v>590</v>
      </c>
      <c r="J179" s="35" t="s">
        <v>733</v>
      </c>
    </row>
    <row r="180" spans="1:10" ht="12">
      <c r="A180" s="33"/>
      <c r="B180" s="19"/>
      <c r="C180" s="19"/>
      <c r="D180" s="19"/>
      <c r="E180" s="33" t="s">
        <v>816</v>
      </c>
      <c r="F180" s="33"/>
      <c r="G180" s="18"/>
      <c r="H180" s="18"/>
      <c r="I180" s="19"/>
      <c r="J180" s="32"/>
    </row>
    <row r="181" spans="1:10" ht="12">
      <c r="A181" s="33"/>
      <c r="B181" s="19"/>
      <c r="C181" s="19"/>
      <c r="D181" s="19"/>
      <c r="E181" s="33" t="s">
        <v>817</v>
      </c>
      <c r="F181" s="33"/>
      <c r="G181" s="18"/>
      <c r="H181" s="18"/>
      <c r="I181" s="19"/>
      <c r="J181" s="32"/>
    </row>
    <row r="182" spans="1:10" ht="12">
      <c r="A182" s="34"/>
      <c r="B182" s="15"/>
      <c r="C182" s="15"/>
      <c r="D182" s="15"/>
      <c r="E182" s="34" t="s">
        <v>818</v>
      </c>
      <c r="F182" s="34"/>
      <c r="G182" s="14"/>
      <c r="H182" s="14"/>
      <c r="I182" s="15"/>
      <c r="J182" s="36"/>
    </row>
    <row r="183" spans="1:10" ht="13.5">
      <c r="A183" s="24" t="s">
        <v>835</v>
      </c>
      <c r="B183" s="23"/>
      <c r="C183" s="23"/>
      <c r="D183" s="23"/>
      <c r="E183" s="24" t="s">
        <v>892</v>
      </c>
      <c r="F183" s="24"/>
      <c r="G183" s="24" t="s">
        <v>819</v>
      </c>
      <c r="H183" s="24"/>
      <c r="I183" s="43" t="s">
        <v>555</v>
      </c>
      <c r="J183" s="26"/>
    </row>
    <row r="184" spans="1:10" ht="11.25">
      <c r="A184" s="4"/>
      <c r="B184" s="19"/>
      <c r="C184" s="19"/>
      <c r="D184" s="19"/>
      <c r="E184" s="4"/>
      <c r="F184" s="4"/>
      <c r="G184" s="18" t="s">
        <v>820</v>
      </c>
      <c r="H184" s="18"/>
      <c r="I184" s="19"/>
      <c r="J184" s="3"/>
    </row>
    <row r="185" spans="1:10" ht="11.25">
      <c r="A185" s="16"/>
      <c r="B185" s="15"/>
      <c r="C185" s="15"/>
      <c r="D185" s="15"/>
      <c r="E185" s="16"/>
      <c r="F185" s="16"/>
      <c r="G185" s="14" t="s">
        <v>821</v>
      </c>
      <c r="H185" s="14"/>
      <c r="I185" s="15"/>
      <c r="J185" s="17"/>
    </row>
    <row r="186" spans="1:10" ht="11.25">
      <c r="A186" s="159" t="s">
        <v>765</v>
      </c>
      <c r="B186" s="159"/>
      <c r="C186" s="159"/>
      <c r="D186" s="159"/>
      <c r="E186" s="159"/>
      <c r="F186" s="159"/>
      <c r="G186" s="159"/>
      <c r="H186" s="159"/>
      <c r="I186" s="159"/>
      <c r="J186" s="159"/>
    </row>
    <row r="187" spans="1:10" ht="11.25">
      <c r="A187" s="157"/>
      <c r="B187" s="157"/>
      <c r="C187" s="157"/>
      <c r="D187" s="157"/>
      <c r="E187" s="157"/>
      <c r="F187" s="157"/>
      <c r="G187" s="157"/>
      <c r="H187" s="157"/>
      <c r="I187" s="157"/>
      <c r="J187" s="157"/>
    </row>
    <row r="188" spans="1:10" ht="11.25">
      <c r="A188" s="157"/>
      <c r="B188" s="157"/>
      <c r="C188" s="157"/>
      <c r="D188" s="157"/>
      <c r="E188" s="157"/>
      <c r="F188" s="157"/>
      <c r="G188" s="157"/>
      <c r="H188" s="157"/>
      <c r="I188" s="157"/>
      <c r="J188" s="157"/>
    </row>
    <row r="189" spans="1:10" ht="11.25">
      <c r="A189" s="165" t="s">
        <v>766</v>
      </c>
      <c r="B189" s="165"/>
      <c r="C189" s="165"/>
      <c r="D189" s="165"/>
      <c r="E189" s="165"/>
      <c r="F189" s="165"/>
      <c r="G189" s="165"/>
      <c r="H189" s="165"/>
      <c r="I189" s="165"/>
      <c r="J189" s="165"/>
    </row>
    <row r="190" spans="1:10" ht="11.25">
      <c r="A190" s="165" t="s">
        <v>897</v>
      </c>
      <c r="B190" s="165"/>
      <c r="C190" s="165"/>
      <c r="D190" s="165"/>
      <c r="E190" s="165"/>
      <c r="F190" s="165"/>
      <c r="G190" s="165"/>
      <c r="H190" s="165"/>
      <c r="I190" s="165"/>
      <c r="J190" s="165"/>
    </row>
    <row r="191" spans="1:10" ht="11.25">
      <c r="A191" s="165"/>
      <c r="B191" s="165"/>
      <c r="C191" s="165"/>
      <c r="D191" s="165"/>
      <c r="E191" s="165"/>
      <c r="F191" s="165"/>
      <c r="G191" s="165"/>
      <c r="H191" s="165"/>
      <c r="I191" s="165"/>
      <c r="J191" s="165"/>
    </row>
    <row r="192" spans="1:10" ht="11.25">
      <c r="A192" s="165" t="s">
        <v>710</v>
      </c>
      <c r="B192" s="165"/>
      <c r="C192" s="165"/>
      <c r="D192" s="165"/>
      <c r="E192" s="165"/>
      <c r="F192" s="165"/>
      <c r="G192" s="165"/>
      <c r="H192" s="165"/>
      <c r="I192" s="165"/>
      <c r="J192" s="165"/>
    </row>
    <row r="193" spans="1:10" ht="11.25">
      <c r="A193" s="166"/>
      <c r="B193" s="166"/>
      <c r="C193" s="166"/>
      <c r="D193" s="166"/>
      <c r="E193" s="166"/>
      <c r="F193" s="166"/>
      <c r="G193" s="166"/>
      <c r="H193" s="166"/>
      <c r="I193" s="166"/>
      <c r="J193" s="166"/>
    </row>
    <row r="194" spans="1:10" ht="11.25">
      <c r="A194" s="167"/>
      <c r="B194" s="167"/>
      <c r="C194" s="167"/>
      <c r="D194" s="26"/>
      <c r="E194" s="6" t="s">
        <v>711</v>
      </c>
      <c r="F194" s="6"/>
      <c r="G194" s="6"/>
      <c r="H194" s="6"/>
      <c r="I194" s="6" t="s">
        <v>712</v>
      </c>
      <c r="J194" s="6"/>
    </row>
    <row r="195" spans="1:10" ht="11.25">
      <c r="A195" s="168" t="s">
        <v>713</v>
      </c>
      <c r="B195" s="168"/>
      <c r="C195" s="168"/>
      <c r="D195" s="2"/>
      <c r="E195" s="2" t="s">
        <v>714</v>
      </c>
      <c r="F195" s="2"/>
      <c r="G195" s="2" t="s">
        <v>715</v>
      </c>
      <c r="H195" s="2"/>
      <c r="I195" s="2" t="s">
        <v>716</v>
      </c>
      <c r="J195" s="2"/>
    </row>
    <row r="196" spans="1:10" ht="11.25">
      <c r="A196" s="24" t="s">
        <v>822</v>
      </c>
      <c r="B196" s="23"/>
      <c r="C196" s="23"/>
      <c r="D196" s="23"/>
      <c r="E196" s="24" t="s">
        <v>893</v>
      </c>
      <c r="F196" s="24"/>
      <c r="G196" s="24" t="s">
        <v>823</v>
      </c>
      <c r="H196" s="24"/>
      <c r="I196" s="43" t="s">
        <v>603</v>
      </c>
      <c r="J196" s="26"/>
    </row>
    <row r="197" spans="1:10" ht="11.25">
      <c r="A197" s="4"/>
      <c r="B197" s="19"/>
      <c r="C197" s="19"/>
      <c r="D197" s="19"/>
      <c r="E197" s="4"/>
      <c r="F197" s="4"/>
      <c r="G197" s="18" t="s">
        <v>824</v>
      </c>
      <c r="H197" s="18"/>
      <c r="I197" s="19"/>
      <c r="J197" s="3"/>
    </row>
    <row r="198" spans="1:10" ht="11.25">
      <c r="A198" s="16"/>
      <c r="B198" s="15"/>
      <c r="C198" s="15"/>
      <c r="D198" s="15"/>
      <c r="E198" s="16"/>
      <c r="F198" s="16"/>
      <c r="G198" s="14" t="s">
        <v>825</v>
      </c>
      <c r="H198" s="14"/>
      <c r="I198" s="15"/>
      <c r="J198" s="17"/>
    </row>
    <row r="199" spans="1:10" ht="11.25">
      <c r="A199" s="7" t="s">
        <v>118</v>
      </c>
      <c r="B199" s="8"/>
      <c r="C199" s="8"/>
      <c r="D199" s="8"/>
      <c r="E199" s="7" t="s">
        <v>119</v>
      </c>
      <c r="F199" s="7"/>
      <c r="G199" s="7" t="s">
        <v>120</v>
      </c>
      <c r="H199" s="27"/>
      <c r="I199" s="46" t="s">
        <v>549</v>
      </c>
      <c r="J199" s="9"/>
    </row>
    <row r="200" spans="1:10" ht="11.25">
      <c r="A200" s="16" t="s">
        <v>846</v>
      </c>
      <c r="B200" s="15"/>
      <c r="C200" s="19" t="s">
        <v>735</v>
      </c>
      <c r="D200" s="19"/>
      <c r="E200" s="16" t="s">
        <v>851</v>
      </c>
      <c r="F200" s="16"/>
      <c r="G200" s="16" t="s">
        <v>894</v>
      </c>
      <c r="H200" s="16"/>
      <c r="I200" s="138" t="s">
        <v>591</v>
      </c>
      <c r="J200" s="17"/>
    </row>
    <row r="201" spans="1:10" ht="11.25">
      <c r="A201" s="24" t="s">
        <v>847</v>
      </c>
      <c r="B201" s="8"/>
      <c r="C201" s="8"/>
      <c r="D201" s="8"/>
      <c r="E201" s="31" t="s">
        <v>852</v>
      </c>
      <c r="F201" s="29"/>
      <c r="G201" s="16" t="s">
        <v>858</v>
      </c>
      <c r="H201" s="16"/>
      <c r="I201" s="138" t="s">
        <v>575</v>
      </c>
      <c r="J201" s="17"/>
    </row>
    <row r="202" spans="1:10" ht="12">
      <c r="A202" s="27" t="s">
        <v>719</v>
      </c>
      <c r="B202" s="8"/>
      <c r="C202" s="8"/>
      <c r="D202" s="8"/>
      <c r="E202" s="31" t="s">
        <v>827</v>
      </c>
      <c r="F202" s="31"/>
      <c r="G202" s="31" t="s">
        <v>828</v>
      </c>
      <c r="H202" s="31"/>
      <c r="I202" s="46" t="s">
        <v>592</v>
      </c>
      <c r="J202" s="40" t="s">
        <v>733</v>
      </c>
    </row>
    <row r="203" spans="1:10" ht="12">
      <c r="A203" s="22" t="s">
        <v>719</v>
      </c>
      <c r="B203" s="23"/>
      <c r="C203" s="23"/>
      <c r="D203" s="23"/>
      <c r="E203" s="25" t="s">
        <v>826</v>
      </c>
      <c r="F203" s="25"/>
      <c r="G203" s="25" t="s">
        <v>849</v>
      </c>
      <c r="H203" s="25"/>
      <c r="I203" s="43" t="s">
        <v>593</v>
      </c>
      <c r="J203" s="41"/>
    </row>
    <row r="204" spans="1:10" ht="11.25">
      <c r="A204" s="18"/>
      <c r="B204" s="19"/>
      <c r="C204" s="19"/>
      <c r="D204" s="19"/>
      <c r="E204" s="18" t="s">
        <v>354</v>
      </c>
      <c r="F204" s="18"/>
      <c r="G204" s="21"/>
      <c r="H204" s="21"/>
      <c r="I204" s="19"/>
      <c r="J204" s="3"/>
    </row>
    <row r="205" spans="1:10" ht="11.25">
      <c r="A205" s="18"/>
      <c r="B205" s="19"/>
      <c r="C205" s="19"/>
      <c r="D205" s="19"/>
      <c r="E205" s="18" t="s">
        <v>854</v>
      </c>
      <c r="F205" s="18"/>
      <c r="G205" s="21"/>
      <c r="H205" s="21"/>
      <c r="I205" s="19"/>
      <c r="J205" s="3"/>
    </row>
    <row r="206" spans="1:10" ht="11.25">
      <c r="A206" s="14"/>
      <c r="B206" s="15"/>
      <c r="C206" s="15"/>
      <c r="D206" s="15"/>
      <c r="E206" s="14" t="s">
        <v>853</v>
      </c>
      <c r="F206" s="14"/>
      <c r="G206" s="29"/>
      <c r="H206" s="29"/>
      <c r="I206" s="15"/>
      <c r="J206" s="17"/>
    </row>
    <row r="207" spans="1:10" ht="11.25">
      <c r="A207" s="22" t="s">
        <v>719</v>
      </c>
      <c r="B207" s="23"/>
      <c r="C207" s="23"/>
      <c r="D207" s="23"/>
      <c r="E207" s="25" t="s">
        <v>919</v>
      </c>
      <c r="F207" s="25"/>
      <c r="G207" s="25" t="s">
        <v>829</v>
      </c>
      <c r="H207" s="25"/>
      <c r="I207" s="43" t="s">
        <v>584</v>
      </c>
      <c r="J207" s="26"/>
    </row>
    <row r="208" spans="1:10" ht="11.25">
      <c r="A208" s="14"/>
      <c r="B208" s="15"/>
      <c r="C208" s="15"/>
      <c r="D208" s="15"/>
      <c r="E208" s="14" t="s">
        <v>920</v>
      </c>
      <c r="F208" s="14"/>
      <c r="G208" s="29"/>
      <c r="H208" s="29"/>
      <c r="I208" s="15"/>
      <c r="J208" s="17"/>
    </row>
    <row r="209" spans="1:10" ht="11.25">
      <c r="A209" s="22" t="s">
        <v>719</v>
      </c>
      <c r="B209" s="23"/>
      <c r="C209" s="23"/>
      <c r="D209" s="23"/>
      <c r="E209" s="25" t="s">
        <v>857</v>
      </c>
      <c r="F209" s="25"/>
      <c r="G209" s="25" t="s">
        <v>424</v>
      </c>
      <c r="H209" s="25"/>
      <c r="I209" s="43" t="s">
        <v>581</v>
      </c>
      <c r="J209" s="26"/>
    </row>
    <row r="210" spans="1:10" ht="11.25">
      <c r="A210" s="14"/>
      <c r="B210" s="15"/>
      <c r="C210" s="15"/>
      <c r="D210" s="15"/>
      <c r="E210" s="14" t="s">
        <v>959</v>
      </c>
      <c r="F210" s="14"/>
      <c r="G210" s="29"/>
      <c r="H210" s="29"/>
      <c r="I210" s="15"/>
      <c r="J210" s="17"/>
    </row>
    <row r="211" spans="1:10" ht="11.25">
      <c r="A211" s="22" t="s">
        <v>719</v>
      </c>
      <c r="B211" s="23"/>
      <c r="C211" s="23"/>
      <c r="D211" s="23"/>
      <c r="E211" s="25" t="s">
        <v>923</v>
      </c>
      <c r="F211" s="25"/>
      <c r="G211" s="25" t="s">
        <v>855</v>
      </c>
      <c r="H211" s="25"/>
      <c r="I211" s="43" t="s">
        <v>594</v>
      </c>
      <c r="J211" s="26"/>
    </row>
    <row r="212" spans="1:10" ht="11.25">
      <c r="A212" s="18"/>
      <c r="B212" s="19"/>
      <c r="C212" s="19"/>
      <c r="D212" s="19"/>
      <c r="E212" s="18" t="s">
        <v>924</v>
      </c>
      <c r="F212" s="18"/>
      <c r="G212" s="21"/>
      <c r="H212" s="21"/>
      <c r="I212" s="19"/>
      <c r="J212" s="3"/>
    </row>
    <row r="213" spans="1:10" ht="11.25">
      <c r="A213" s="14"/>
      <c r="B213" s="15"/>
      <c r="C213" s="15"/>
      <c r="D213" s="15"/>
      <c r="E213" s="14" t="s">
        <v>925</v>
      </c>
      <c r="F213" s="14"/>
      <c r="G213" s="29"/>
      <c r="H213" s="29"/>
      <c r="I213" s="15"/>
      <c r="J213" s="17"/>
    </row>
    <row r="214" spans="1:10" ht="11.25">
      <c r="A214" s="22" t="s">
        <v>719</v>
      </c>
      <c r="B214" s="23"/>
      <c r="C214" s="23"/>
      <c r="D214" s="23"/>
      <c r="E214" s="25" t="s">
        <v>921</v>
      </c>
      <c r="F214" s="25"/>
      <c r="G214" s="25" t="s">
        <v>708</v>
      </c>
      <c r="H214" s="25"/>
      <c r="I214" s="43" t="s">
        <v>594</v>
      </c>
      <c r="J214" s="26"/>
    </row>
    <row r="215" spans="1:10" ht="11.25">
      <c r="A215" s="14"/>
      <c r="B215" s="15"/>
      <c r="C215" s="15"/>
      <c r="D215" s="15"/>
      <c r="E215" s="14" t="s">
        <v>922</v>
      </c>
      <c r="F215" s="14"/>
      <c r="G215" s="29"/>
      <c r="H215" s="29"/>
      <c r="I215" s="15"/>
      <c r="J215" s="17"/>
    </row>
    <row r="216" spans="1:10" ht="12">
      <c r="A216" s="22" t="s">
        <v>719</v>
      </c>
      <c r="B216" s="23"/>
      <c r="C216" s="23"/>
      <c r="D216" s="23"/>
      <c r="E216" s="25" t="s">
        <v>859</v>
      </c>
      <c r="F216" s="25"/>
      <c r="G216" s="25" t="s">
        <v>928</v>
      </c>
      <c r="H216" s="25"/>
      <c r="I216" s="43" t="s">
        <v>595</v>
      </c>
      <c r="J216" s="41" t="s">
        <v>733</v>
      </c>
    </row>
    <row r="217" spans="1:10" ht="12">
      <c r="A217" s="22" t="s">
        <v>719</v>
      </c>
      <c r="B217" s="23"/>
      <c r="C217" s="23"/>
      <c r="D217" s="23"/>
      <c r="E217" s="25" t="s">
        <v>929</v>
      </c>
      <c r="F217" s="25"/>
      <c r="G217" s="25" t="s">
        <v>930</v>
      </c>
      <c r="H217" s="25"/>
      <c r="I217" s="43" t="s">
        <v>596</v>
      </c>
      <c r="J217" s="41" t="s">
        <v>733</v>
      </c>
    </row>
    <row r="218" spans="1:10" ht="12">
      <c r="A218" s="22" t="s">
        <v>719</v>
      </c>
      <c r="B218" s="23"/>
      <c r="C218" s="23"/>
      <c r="D218" s="23"/>
      <c r="E218" s="25" t="s">
        <v>933</v>
      </c>
      <c r="F218" s="25"/>
      <c r="G218" s="25" t="s">
        <v>934</v>
      </c>
      <c r="H218" s="25"/>
      <c r="I218" s="43" t="s">
        <v>597</v>
      </c>
      <c r="J218" s="41" t="s">
        <v>733</v>
      </c>
    </row>
    <row r="219" spans="1:10" ht="12">
      <c r="A219" s="14"/>
      <c r="B219" s="15"/>
      <c r="C219" s="15"/>
      <c r="D219" s="15"/>
      <c r="E219" s="14" t="s">
        <v>931</v>
      </c>
      <c r="F219" s="14"/>
      <c r="G219" s="29"/>
      <c r="H219" s="29"/>
      <c r="I219" s="15"/>
      <c r="J219" s="44"/>
    </row>
    <row r="220" spans="1:10" ht="12">
      <c r="A220" s="22" t="s">
        <v>719</v>
      </c>
      <c r="B220" s="23"/>
      <c r="C220" s="23"/>
      <c r="D220" s="23"/>
      <c r="E220" s="25" t="s">
        <v>936</v>
      </c>
      <c r="F220" s="25"/>
      <c r="G220" s="25" t="s">
        <v>939</v>
      </c>
      <c r="H220" s="25"/>
      <c r="I220" s="43" t="s">
        <v>559</v>
      </c>
      <c r="J220" s="41" t="s">
        <v>733</v>
      </c>
    </row>
    <row r="221" spans="1:10" ht="12">
      <c r="A221" s="14"/>
      <c r="B221" s="15"/>
      <c r="C221" s="15"/>
      <c r="D221" s="15"/>
      <c r="E221" s="14" t="s">
        <v>845</v>
      </c>
      <c r="F221" s="14"/>
      <c r="G221" s="14"/>
      <c r="H221" s="14"/>
      <c r="I221" s="15"/>
      <c r="J221" s="44"/>
    </row>
    <row r="222" spans="1:10" ht="12">
      <c r="A222" s="22" t="s">
        <v>719</v>
      </c>
      <c r="B222" s="23"/>
      <c r="C222" s="23"/>
      <c r="D222" s="23"/>
      <c r="E222" s="25" t="s">
        <v>937</v>
      </c>
      <c r="F222" s="25"/>
      <c r="G222" s="25" t="s">
        <v>423</v>
      </c>
      <c r="H222" s="25"/>
      <c r="I222" s="43" t="s">
        <v>598</v>
      </c>
      <c r="J222" s="41" t="s">
        <v>733</v>
      </c>
    </row>
    <row r="223" spans="1:10" ht="12">
      <c r="A223" s="22" t="s">
        <v>719</v>
      </c>
      <c r="B223" s="23"/>
      <c r="C223" s="23"/>
      <c r="D223" s="23"/>
      <c r="E223" s="25" t="s">
        <v>926</v>
      </c>
      <c r="F223" s="25"/>
      <c r="G223" s="25" t="s">
        <v>942</v>
      </c>
      <c r="H223" s="25"/>
      <c r="I223" s="43" t="s">
        <v>565</v>
      </c>
      <c r="J223" s="41" t="s">
        <v>733</v>
      </c>
    </row>
    <row r="224" spans="1:10" ht="11.25">
      <c r="A224" s="14"/>
      <c r="B224" s="15"/>
      <c r="C224" s="15"/>
      <c r="D224" s="15"/>
      <c r="E224" s="14" t="s">
        <v>927</v>
      </c>
      <c r="F224" s="14"/>
      <c r="G224" s="29"/>
      <c r="H224" s="29"/>
      <c r="I224" s="15"/>
      <c r="J224" s="17"/>
    </row>
    <row r="225" spans="1:10" ht="12">
      <c r="A225" s="22" t="s">
        <v>719</v>
      </c>
      <c r="B225" s="23"/>
      <c r="C225" s="23"/>
      <c r="D225" s="23"/>
      <c r="E225" s="24" t="s">
        <v>938</v>
      </c>
      <c r="F225" s="24"/>
      <c r="G225" s="25" t="s">
        <v>941</v>
      </c>
      <c r="H225" s="25"/>
      <c r="I225" s="43" t="s">
        <v>565</v>
      </c>
      <c r="J225" s="41" t="s">
        <v>733</v>
      </c>
    </row>
    <row r="226" spans="1:10" ht="12">
      <c r="A226" s="22" t="s">
        <v>719</v>
      </c>
      <c r="B226" s="23"/>
      <c r="C226" s="23"/>
      <c r="D226" s="23"/>
      <c r="E226" s="25" t="s">
        <v>943</v>
      </c>
      <c r="F226" s="25"/>
      <c r="G226" s="25" t="s">
        <v>940</v>
      </c>
      <c r="H226" s="25"/>
      <c r="I226" s="43" t="s">
        <v>565</v>
      </c>
      <c r="J226" s="41" t="s">
        <v>733</v>
      </c>
    </row>
    <row r="227" spans="1:10" ht="12">
      <c r="A227" s="14"/>
      <c r="B227" s="15"/>
      <c r="C227" s="15"/>
      <c r="D227" s="15"/>
      <c r="E227" s="14" t="s">
        <v>944</v>
      </c>
      <c r="F227" s="14"/>
      <c r="G227" s="29"/>
      <c r="H227" s="29"/>
      <c r="I227" s="15"/>
      <c r="J227" s="44"/>
    </row>
    <row r="228" spans="1:10" ht="12">
      <c r="A228" s="22" t="s">
        <v>719</v>
      </c>
      <c r="B228" s="23"/>
      <c r="C228" s="23"/>
      <c r="D228" s="23"/>
      <c r="E228" s="25" t="s">
        <v>932</v>
      </c>
      <c r="F228" s="25"/>
      <c r="G228" s="25" t="s">
        <v>935</v>
      </c>
      <c r="H228" s="25"/>
      <c r="I228" s="43" t="s">
        <v>599</v>
      </c>
      <c r="J228" s="41" t="s">
        <v>733</v>
      </c>
    </row>
    <row r="229" spans="1:10" ht="12">
      <c r="A229" s="14"/>
      <c r="B229" s="15"/>
      <c r="C229" s="15"/>
      <c r="D229" s="15"/>
      <c r="E229" s="14" t="s">
        <v>931</v>
      </c>
      <c r="F229" s="14"/>
      <c r="G229" s="29"/>
      <c r="H229" s="29"/>
      <c r="I229" s="15"/>
      <c r="J229" s="44"/>
    </row>
    <row r="230" spans="1:10" ht="12">
      <c r="A230" s="22" t="s">
        <v>719</v>
      </c>
      <c r="B230" s="23"/>
      <c r="C230" s="23"/>
      <c r="D230" s="23"/>
      <c r="E230" s="25" t="s">
        <v>946</v>
      </c>
      <c r="F230" s="25"/>
      <c r="G230" s="25" t="s">
        <v>945</v>
      </c>
      <c r="H230" s="25"/>
      <c r="I230" s="43" t="s">
        <v>538</v>
      </c>
      <c r="J230" s="41" t="s">
        <v>733</v>
      </c>
    </row>
    <row r="231" spans="1:10" ht="12">
      <c r="A231" s="14"/>
      <c r="B231" s="15"/>
      <c r="C231" s="15"/>
      <c r="D231" s="15"/>
      <c r="E231" s="14" t="s">
        <v>947</v>
      </c>
      <c r="F231" s="14"/>
      <c r="G231" s="29"/>
      <c r="H231" s="29"/>
      <c r="I231" s="15"/>
      <c r="J231" s="44"/>
    </row>
    <row r="232" spans="1:10" ht="12">
      <c r="A232" s="24" t="s">
        <v>108</v>
      </c>
      <c r="B232" s="23"/>
      <c r="C232" s="23"/>
      <c r="D232" s="23"/>
      <c r="E232" s="24" t="s">
        <v>109</v>
      </c>
      <c r="F232" s="24"/>
      <c r="G232" s="25" t="s">
        <v>110</v>
      </c>
      <c r="H232" s="25"/>
      <c r="I232" s="43" t="s">
        <v>600</v>
      </c>
      <c r="J232" s="41"/>
    </row>
    <row r="233" spans="1:10" ht="12">
      <c r="A233" s="4"/>
      <c r="B233" s="19"/>
      <c r="C233" s="19"/>
      <c r="D233" s="19"/>
      <c r="E233" s="18" t="s">
        <v>111</v>
      </c>
      <c r="F233" s="18"/>
      <c r="G233" s="21"/>
      <c r="H233" s="21"/>
      <c r="I233" s="19"/>
      <c r="J233" s="42"/>
    </row>
    <row r="234" spans="1:10" ht="12">
      <c r="A234" s="16"/>
      <c r="B234" s="15"/>
      <c r="C234" s="15"/>
      <c r="D234" s="15"/>
      <c r="E234" s="14" t="s">
        <v>112</v>
      </c>
      <c r="F234" s="14"/>
      <c r="G234" s="29"/>
      <c r="H234" s="29"/>
      <c r="I234" s="15"/>
      <c r="J234" s="44"/>
    </row>
    <row r="235" spans="1:10" ht="12">
      <c r="A235" s="16" t="s">
        <v>105</v>
      </c>
      <c r="B235" s="15"/>
      <c r="C235" s="15"/>
      <c r="D235" s="15"/>
      <c r="E235" s="16" t="s">
        <v>106</v>
      </c>
      <c r="F235" s="16"/>
      <c r="G235" s="29" t="s">
        <v>107</v>
      </c>
      <c r="H235" s="29"/>
      <c r="I235" s="15" t="s">
        <v>561</v>
      </c>
      <c r="J235" s="44"/>
    </row>
    <row r="236" spans="1:10" ht="12">
      <c r="A236" s="7" t="s">
        <v>895</v>
      </c>
      <c r="B236" s="8"/>
      <c r="C236" s="8"/>
      <c r="D236" s="8"/>
      <c r="E236" s="7" t="s">
        <v>833</v>
      </c>
      <c r="F236" s="7"/>
      <c r="G236" s="7" t="s">
        <v>834</v>
      </c>
      <c r="H236" s="7"/>
      <c r="I236" s="46" t="s">
        <v>601</v>
      </c>
      <c r="J236" s="40" t="s">
        <v>733</v>
      </c>
    </row>
    <row r="237" spans="1:10" ht="11.25">
      <c r="A237" s="27" t="s">
        <v>719</v>
      </c>
      <c r="B237" s="8"/>
      <c r="C237" s="8"/>
      <c r="D237" s="8"/>
      <c r="E237" s="7" t="s">
        <v>830</v>
      </c>
      <c r="F237" s="7"/>
      <c r="G237" s="7" t="s">
        <v>831</v>
      </c>
      <c r="H237" s="7"/>
      <c r="I237" s="46" t="s">
        <v>602</v>
      </c>
      <c r="J237" s="9"/>
    </row>
    <row r="238" spans="1:10" ht="11.25">
      <c r="A238" s="27" t="s">
        <v>719</v>
      </c>
      <c r="B238" s="8"/>
      <c r="C238" s="8"/>
      <c r="D238" s="8"/>
      <c r="E238" s="31" t="s">
        <v>780</v>
      </c>
      <c r="F238" s="31"/>
      <c r="G238" s="7" t="s">
        <v>832</v>
      </c>
      <c r="H238" s="7"/>
      <c r="I238" s="46" t="s">
        <v>545</v>
      </c>
      <c r="J238" s="9"/>
    </row>
    <row r="239" spans="1:10" ht="11.25">
      <c r="A239" s="170" t="s">
        <v>896</v>
      </c>
      <c r="B239" s="171"/>
      <c r="C239" s="171"/>
      <c r="D239" s="171"/>
      <c r="E239" s="171"/>
      <c r="F239" s="171"/>
      <c r="G239" s="171"/>
      <c r="H239" s="171"/>
      <c r="I239" s="171"/>
      <c r="J239" s="171"/>
    </row>
    <row r="240" spans="1:10" ht="11.25">
      <c r="A240" s="163" t="s">
        <v>999</v>
      </c>
      <c r="B240" s="164"/>
      <c r="C240" s="164"/>
      <c r="D240" s="164"/>
      <c r="E240" s="164"/>
      <c r="F240" s="164"/>
      <c r="G240" s="164"/>
      <c r="H240" s="164"/>
      <c r="I240" s="164"/>
      <c r="J240" s="164"/>
    </row>
    <row r="241" spans="1:10" ht="11.25">
      <c r="A241" s="163" t="s">
        <v>839</v>
      </c>
      <c r="B241" s="164"/>
      <c r="C241" s="164"/>
      <c r="D241" s="164"/>
      <c r="E241" s="164"/>
      <c r="F241" s="164"/>
      <c r="G241" s="164"/>
      <c r="H241" s="164"/>
      <c r="I241" s="164"/>
      <c r="J241" s="164"/>
    </row>
    <row r="242" spans="1:10" ht="11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1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1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1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</sheetData>
  <mergeCells count="38">
    <mergeCell ref="A188:J188"/>
    <mergeCell ref="A187:J187"/>
    <mergeCell ref="A69:C69"/>
    <mergeCell ref="A64:J64"/>
    <mergeCell ref="A65:J65"/>
    <mergeCell ref="A66:J66"/>
    <mergeCell ref="A67:J67"/>
    <mergeCell ref="A132:C132"/>
    <mergeCell ref="A68:J68"/>
    <mergeCell ref="A241:J241"/>
    <mergeCell ref="A70:C70"/>
    <mergeCell ref="A126:J126"/>
    <mergeCell ref="A127:J127"/>
    <mergeCell ref="A128:J128"/>
    <mergeCell ref="A129:J129"/>
    <mergeCell ref="A130:J130"/>
    <mergeCell ref="A239:J239"/>
    <mergeCell ref="A133:C133"/>
    <mergeCell ref="A131:J131"/>
    <mergeCell ref="A1:J1"/>
    <mergeCell ref="A2:J2"/>
    <mergeCell ref="A3:J3"/>
    <mergeCell ref="A4:J4"/>
    <mergeCell ref="A5:J5"/>
    <mergeCell ref="A6:C6"/>
    <mergeCell ref="A7:C7"/>
    <mergeCell ref="I6:J6"/>
    <mergeCell ref="I7:J7"/>
    <mergeCell ref="A240:J240"/>
    <mergeCell ref="A63:J63"/>
    <mergeCell ref="A186:J186"/>
    <mergeCell ref="A189:J189"/>
    <mergeCell ref="A190:J190"/>
    <mergeCell ref="A191:J191"/>
    <mergeCell ref="A192:J192"/>
    <mergeCell ref="A193:J193"/>
    <mergeCell ref="A194:C194"/>
    <mergeCell ref="A195:C195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N231"/>
  <sheetViews>
    <sheetView workbookViewId="0" topLeftCell="A1">
      <selection activeCell="A1" sqref="A1:N1"/>
    </sheetView>
  </sheetViews>
  <sheetFormatPr defaultColWidth="9.140625" defaultRowHeight="11.25" customHeight="1"/>
  <cols>
    <col min="1" max="2" width="17.00390625" style="101" customWidth="1"/>
    <col min="3" max="4" width="0.85546875" style="101" customWidth="1"/>
    <col min="5" max="5" width="8.7109375" style="101" customWidth="1"/>
    <col min="6" max="6" width="1.7109375" style="101" customWidth="1"/>
    <col min="7" max="7" width="9.28125" style="101" customWidth="1"/>
    <col min="8" max="8" width="1.7109375" style="101" customWidth="1"/>
    <col min="9" max="9" width="11.28125" style="101" customWidth="1"/>
    <col min="10" max="10" width="1.7109375" style="101" customWidth="1"/>
    <col min="11" max="11" width="11.28125" style="101" customWidth="1"/>
    <col min="12" max="12" width="1.7109375" style="101" customWidth="1"/>
    <col min="13" max="13" width="11.28125" style="101" customWidth="1"/>
    <col min="14" max="14" width="1.7109375" style="101" customWidth="1"/>
    <col min="15" max="16384" width="8.00390625" style="101" customWidth="1"/>
  </cols>
  <sheetData>
    <row r="1" spans="1:14" ht="11.25" customHeight="1">
      <c r="A1" s="172" t="s">
        <v>130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1.25" customHeight="1">
      <c r="A2" s="172" t="s">
        <v>418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1.2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11.25" customHeight="1">
      <c r="A4" s="172" t="s">
        <v>1004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4" ht="11.25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1:14" ht="11.25" customHeight="1">
      <c r="A6" s="180"/>
      <c r="B6" s="180"/>
      <c r="C6" s="180"/>
      <c r="D6" s="99"/>
      <c r="E6" s="100"/>
      <c r="F6" s="104"/>
      <c r="G6" s="179" t="s">
        <v>419</v>
      </c>
      <c r="H6" s="179"/>
      <c r="I6" s="179"/>
      <c r="J6" s="179"/>
      <c r="K6" s="179"/>
      <c r="L6" s="179"/>
      <c r="M6" s="179"/>
      <c r="N6" s="179"/>
    </row>
    <row r="7" spans="1:14" ht="11.25" customHeight="1">
      <c r="A7" s="153" t="s">
        <v>713</v>
      </c>
      <c r="B7" s="153"/>
      <c r="C7" s="153"/>
      <c r="D7" s="102"/>
      <c r="E7" s="105" t="s">
        <v>1017</v>
      </c>
      <c r="F7" s="106"/>
      <c r="G7" s="105" t="s">
        <v>131</v>
      </c>
      <c r="H7" s="106"/>
      <c r="I7" s="179" t="s">
        <v>420</v>
      </c>
      <c r="J7" s="179"/>
      <c r="K7" s="179"/>
      <c r="L7" s="179"/>
      <c r="M7" s="179"/>
      <c r="N7" s="179"/>
    </row>
    <row r="8" spans="1:14" ht="11.25" customHeight="1">
      <c r="A8" s="150" t="s">
        <v>1010</v>
      </c>
      <c r="B8" s="150"/>
      <c r="C8" s="150"/>
      <c r="D8" s="103"/>
      <c r="E8" s="107"/>
      <c r="F8" s="108"/>
      <c r="G8" s="107"/>
      <c r="H8" s="108"/>
      <c r="I8" s="173"/>
      <c r="J8" s="173"/>
      <c r="K8" s="173"/>
      <c r="L8" s="173"/>
      <c r="M8" s="173"/>
      <c r="N8" s="173"/>
    </row>
    <row r="9" spans="1:14" ht="11.25" customHeight="1">
      <c r="A9" s="109" t="s">
        <v>1011</v>
      </c>
      <c r="B9" s="109"/>
      <c r="C9" s="140"/>
      <c r="D9" s="99"/>
      <c r="E9" s="62"/>
      <c r="F9" s="111"/>
      <c r="G9" s="112"/>
      <c r="H9" s="111"/>
      <c r="I9" s="151"/>
      <c r="J9" s="151"/>
      <c r="K9" s="151"/>
      <c r="L9" s="151"/>
      <c r="M9" s="151"/>
      <c r="N9" s="151"/>
    </row>
    <row r="10" spans="1:14" ht="11.25" customHeight="1">
      <c r="A10" s="113" t="s">
        <v>132</v>
      </c>
      <c r="B10" s="109"/>
      <c r="C10" s="140"/>
      <c r="D10" s="102"/>
      <c r="E10" s="67">
        <v>28087</v>
      </c>
      <c r="F10" s="114"/>
      <c r="G10" s="83" t="s">
        <v>1018</v>
      </c>
      <c r="H10" s="115"/>
      <c r="I10" s="177" t="s">
        <v>133</v>
      </c>
      <c r="J10" s="154"/>
      <c r="K10" s="154"/>
      <c r="L10" s="154"/>
      <c r="M10" s="154"/>
      <c r="N10" s="154"/>
    </row>
    <row r="11" spans="1:14" ht="11.25" customHeight="1">
      <c r="A11" s="113" t="s">
        <v>134</v>
      </c>
      <c r="B11" s="109"/>
      <c r="C11" s="140"/>
      <c r="D11" s="109"/>
      <c r="E11" s="67">
        <v>204075</v>
      </c>
      <c r="F11" s="114"/>
      <c r="G11" s="83">
        <f>ROUND(0.055*E11,3-LEN(INT(0.055*E11)))</f>
        <v>11200</v>
      </c>
      <c r="H11" s="115"/>
      <c r="I11" s="177" t="s">
        <v>135</v>
      </c>
      <c r="J11" s="154"/>
      <c r="K11" s="154"/>
      <c r="L11" s="154"/>
      <c r="M11" s="154"/>
      <c r="N11" s="154"/>
    </row>
    <row r="12" spans="1:14" ht="11.25" customHeight="1">
      <c r="A12" s="113" t="s">
        <v>136</v>
      </c>
      <c r="B12" s="109"/>
      <c r="C12" s="140" t="s">
        <v>1012</v>
      </c>
      <c r="D12" s="109"/>
      <c r="E12" s="67">
        <v>528</v>
      </c>
      <c r="F12" s="114"/>
      <c r="G12" s="83">
        <f>ROUND(0.129*E12,3-LEN(INT(0.129*E12)))</f>
        <v>68.1</v>
      </c>
      <c r="H12" s="115"/>
      <c r="I12" s="177" t="s">
        <v>137</v>
      </c>
      <c r="J12" s="154"/>
      <c r="K12" s="154"/>
      <c r="L12" s="154"/>
      <c r="M12" s="154"/>
      <c r="N12" s="154"/>
    </row>
    <row r="13" spans="1:14" ht="11.25" customHeight="1">
      <c r="A13" s="113" t="s">
        <v>138</v>
      </c>
      <c r="B13" s="109"/>
      <c r="C13" s="140"/>
      <c r="D13" s="109"/>
      <c r="E13" s="67">
        <v>21126</v>
      </c>
      <c r="F13" s="114"/>
      <c r="G13" s="83" t="s">
        <v>1018</v>
      </c>
      <c r="H13" s="115"/>
      <c r="I13" s="177" t="s">
        <v>139</v>
      </c>
      <c r="J13" s="154"/>
      <c r="K13" s="154"/>
      <c r="L13" s="154"/>
      <c r="M13" s="154"/>
      <c r="N13" s="154"/>
    </row>
    <row r="14" spans="1:14" ht="11.25" customHeight="1">
      <c r="A14" s="113" t="s">
        <v>140</v>
      </c>
      <c r="B14" s="109"/>
      <c r="C14" s="140"/>
      <c r="D14" s="99"/>
      <c r="E14" s="62"/>
      <c r="F14" s="116"/>
      <c r="G14" s="72"/>
      <c r="H14" s="111"/>
      <c r="I14" s="151"/>
      <c r="J14" s="152"/>
      <c r="K14" s="152"/>
      <c r="L14" s="152"/>
      <c r="M14" s="152"/>
      <c r="N14" s="152"/>
    </row>
    <row r="15" spans="1:14" ht="11.25" customHeight="1">
      <c r="A15" s="117" t="s">
        <v>141</v>
      </c>
      <c r="B15" s="109"/>
      <c r="C15" s="140"/>
      <c r="D15" s="102"/>
      <c r="E15" s="67">
        <v>60757</v>
      </c>
      <c r="F15" s="114"/>
      <c r="G15" s="83" t="s">
        <v>1018</v>
      </c>
      <c r="H15" s="115"/>
      <c r="I15" s="177" t="s">
        <v>142</v>
      </c>
      <c r="J15" s="154"/>
      <c r="K15" s="154"/>
      <c r="L15" s="154"/>
      <c r="M15" s="154"/>
      <c r="N15" s="154"/>
    </row>
    <row r="16" spans="1:14" ht="11.25" customHeight="1">
      <c r="A16" s="117" t="s">
        <v>143</v>
      </c>
      <c r="B16" s="109"/>
      <c r="C16" s="140"/>
      <c r="D16" s="109"/>
      <c r="E16" s="67">
        <v>167497</v>
      </c>
      <c r="F16" s="114"/>
      <c r="G16" s="83" t="s">
        <v>1018</v>
      </c>
      <c r="H16" s="115"/>
      <c r="I16" s="177" t="s">
        <v>144</v>
      </c>
      <c r="J16" s="154"/>
      <c r="K16" s="154"/>
      <c r="L16" s="154"/>
      <c r="M16" s="154"/>
      <c r="N16" s="154"/>
    </row>
    <row r="17" spans="1:14" ht="11.25" customHeight="1">
      <c r="A17" s="117" t="s">
        <v>1016</v>
      </c>
      <c r="B17" s="109"/>
      <c r="C17" s="140"/>
      <c r="D17" s="109"/>
      <c r="E17" s="67">
        <v>163345</v>
      </c>
      <c r="F17" s="114"/>
      <c r="G17" s="83" t="s">
        <v>1018</v>
      </c>
      <c r="H17" s="115"/>
      <c r="I17" s="177" t="s">
        <v>145</v>
      </c>
      <c r="J17" s="154"/>
      <c r="K17" s="154"/>
      <c r="L17" s="154"/>
      <c r="M17" s="154"/>
      <c r="N17" s="154"/>
    </row>
    <row r="18" spans="1:14" ht="11.25" customHeight="1">
      <c r="A18" s="117" t="s">
        <v>146</v>
      </c>
      <c r="B18" s="109"/>
      <c r="C18" s="140"/>
      <c r="D18" s="109"/>
      <c r="E18" s="67">
        <v>583987</v>
      </c>
      <c r="F18" s="114"/>
      <c r="G18" s="83" t="s">
        <v>1018</v>
      </c>
      <c r="H18" s="115"/>
      <c r="I18" s="177" t="s">
        <v>147</v>
      </c>
      <c r="J18" s="154"/>
      <c r="K18" s="154"/>
      <c r="L18" s="154"/>
      <c r="M18" s="154"/>
      <c r="N18" s="154"/>
    </row>
    <row r="19" spans="1:14" ht="11.25" customHeight="1">
      <c r="A19" s="109" t="s">
        <v>148</v>
      </c>
      <c r="B19" s="109"/>
      <c r="C19" s="140"/>
      <c r="D19" s="103"/>
      <c r="E19" s="62"/>
      <c r="F19" s="116"/>
      <c r="G19" s="72"/>
      <c r="H19" s="111"/>
      <c r="I19" s="151"/>
      <c r="J19" s="152"/>
      <c r="K19" s="152"/>
      <c r="L19" s="152"/>
      <c r="M19" s="152"/>
      <c r="N19" s="152"/>
    </row>
    <row r="20" spans="1:14" ht="11.25" customHeight="1">
      <c r="A20" s="113" t="s">
        <v>149</v>
      </c>
      <c r="B20" s="109"/>
      <c r="C20" s="140"/>
      <c r="D20" s="102"/>
      <c r="E20" s="70">
        <v>3</v>
      </c>
      <c r="F20" s="114"/>
      <c r="G20" s="83" t="s">
        <v>1018</v>
      </c>
      <c r="H20" s="115"/>
      <c r="I20" s="177" t="s">
        <v>150</v>
      </c>
      <c r="J20" s="154"/>
      <c r="K20" s="154"/>
      <c r="L20" s="154"/>
      <c r="M20" s="154"/>
      <c r="N20" s="154"/>
    </row>
    <row r="21" spans="1:14" ht="11.25" customHeight="1">
      <c r="A21" s="113" t="s">
        <v>151</v>
      </c>
      <c r="B21" s="109"/>
      <c r="C21" s="140"/>
      <c r="D21" s="109"/>
      <c r="E21" s="67">
        <v>12</v>
      </c>
      <c r="F21" s="114"/>
      <c r="G21" s="83" t="s">
        <v>1018</v>
      </c>
      <c r="H21" s="115"/>
      <c r="I21" s="177" t="s">
        <v>152</v>
      </c>
      <c r="J21" s="154"/>
      <c r="K21" s="154"/>
      <c r="L21" s="154"/>
      <c r="M21" s="154"/>
      <c r="N21" s="154"/>
    </row>
    <row r="22" spans="1:14" ht="11.25" customHeight="1">
      <c r="A22" s="109" t="s">
        <v>153</v>
      </c>
      <c r="B22" s="109"/>
      <c r="C22" s="140"/>
      <c r="D22" s="109"/>
      <c r="E22" s="67">
        <v>20</v>
      </c>
      <c r="F22" s="114"/>
      <c r="G22" s="83">
        <f>ROUND(0.255*E22,3-LEN(INT(0.255*E22)))</f>
        <v>5.1</v>
      </c>
      <c r="H22" s="115"/>
      <c r="I22" s="177" t="s">
        <v>154</v>
      </c>
      <c r="J22" s="154"/>
      <c r="K22" s="154"/>
      <c r="L22" s="154"/>
      <c r="M22" s="154"/>
      <c r="N22" s="154"/>
    </row>
    <row r="23" spans="1:14" ht="11.25" customHeight="1">
      <c r="A23" s="109" t="s">
        <v>155</v>
      </c>
      <c r="B23" s="109"/>
      <c r="C23" s="140"/>
      <c r="D23" s="109"/>
      <c r="E23" s="67">
        <v>349</v>
      </c>
      <c r="F23" s="114"/>
      <c r="G23" s="83" t="s">
        <v>1018</v>
      </c>
      <c r="H23" s="115"/>
      <c r="I23" s="177" t="s">
        <v>156</v>
      </c>
      <c r="J23" s="154"/>
      <c r="K23" s="154"/>
      <c r="L23" s="154"/>
      <c r="M23" s="154"/>
      <c r="N23" s="154"/>
    </row>
    <row r="24" spans="1:14" ht="11.25" customHeight="1">
      <c r="A24" s="109" t="s">
        <v>157</v>
      </c>
      <c r="B24" s="109"/>
      <c r="C24" s="141"/>
      <c r="D24" s="109"/>
      <c r="E24" s="67">
        <v>14188</v>
      </c>
      <c r="F24" s="114"/>
      <c r="G24" s="83" t="s">
        <v>1018</v>
      </c>
      <c r="H24" s="115"/>
      <c r="I24" s="177" t="s">
        <v>158</v>
      </c>
      <c r="J24" s="154"/>
      <c r="K24" s="154"/>
      <c r="L24" s="154"/>
      <c r="M24" s="154"/>
      <c r="N24" s="154"/>
    </row>
    <row r="25" spans="1:14" ht="11.25" customHeight="1">
      <c r="A25" s="109" t="s">
        <v>159</v>
      </c>
      <c r="B25" s="109"/>
      <c r="C25" s="140"/>
      <c r="D25" s="103"/>
      <c r="E25" s="62"/>
      <c r="F25" s="116"/>
      <c r="G25" s="72"/>
      <c r="H25" s="111"/>
      <c r="I25" s="151"/>
      <c r="J25" s="152"/>
      <c r="K25" s="152"/>
      <c r="L25" s="152"/>
      <c r="M25" s="152"/>
      <c r="N25" s="152"/>
    </row>
    <row r="26" spans="1:14" ht="11.25" customHeight="1">
      <c r="A26" s="113" t="s">
        <v>149</v>
      </c>
      <c r="B26" s="109"/>
      <c r="C26" s="140"/>
      <c r="D26" s="102"/>
      <c r="E26" s="67">
        <v>171</v>
      </c>
      <c r="F26" s="114"/>
      <c r="G26" s="83" t="s">
        <v>1018</v>
      </c>
      <c r="H26" s="115"/>
      <c r="I26" s="177" t="s">
        <v>160</v>
      </c>
      <c r="J26" s="154"/>
      <c r="K26" s="154"/>
      <c r="L26" s="154"/>
      <c r="M26" s="154"/>
      <c r="N26" s="154"/>
    </row>
    <row r="27" spans="1:14" ht="11.25" customHeight="1">
      <c r="A27" s="113" t="s">
        <v>161</v>
      </c>
      <c r="B27" s="109"/>
      <c r="C27" s="140"/>
      <c r="D27" s="109"/>
      <c r="E27" s="67">
        <v>185</v>
      </c>
      <c r="F27" s="114"/>
      <c r="G27" s="83" t="s">
        <v>1018</v>
      </c>
      <c r="H27" s="115"/>
      <c r="I27" s="177" t="s">
        <v>162</v>
      </c>
      <c r="J27" s="154"/>
      <c r="K27" s="154"/>
      <c r="L27" s="154"/>
      <c r="M27" s="154"/>
      <c r="N27" s="154"/>
    </row>
    <row r="28" spans="1:14" ht="11.25" customHeight="1">
      <c r="A28" s="113" t="s">
        <v>151</v>
      </c>
      <c r="B28" s="109"/>
      <c r="C28" s="140"/>
      <c r="D28" s="109"/>
      <c r="E28" s="67">
        <v>444</v>
      </c>
      <c r="F28" s="114"/>
      <c r="G28" s="83" t="s">
        <v>1018</v>
      </c>
      <c r="H28" s="115"/>
      <c r="I28" s="177" t="s">
        <v>163</v>
      </c>
      <c r="J28" s="154"/>
      <c r="K28" s="154"/>
      <c r="L28" s="154"/>
      <c r="M28" s="154"/>
      <c r="N28" s="154"/>
    </row>
    <row r="29" spans="1:14" ht="11.25" customHeight="1">
      <c r="A29" s="113" t="s">
        <v>146</v>
      </c>
      <c r="B29" s="109"/>
      <c r="C29" s="140"/>
      <c r="D29" s="109"/>
      <c r="E29" s="67">
        <v>384</v>
      </c>
      <c r="F29" s="114"/>
      <c r="G29" s="83">
        <f>ROUND(0.257*E29,3-LEN(INT(0.257*E29)))</f>
        <v>98.7</v>
      </c>
      <c r="H29" s="115"/>
      <c r="I29" s="177" t="s">
        <v>164</v>
      </c>
      <c r="J29" s="154"/>
      <c r="K29" s="154"/>
      <c r="L29" s="154"/>
      <c r="M29" s="154"/>
      <c r="N29" s="154"/>
    </row>
    <row r="30" spans="1:14" ht="11.25" customHeight="1">
      <c r="A30" s="102" t="s">
        <v>165</v>
      </c>
      <c r="B30" s="102"/>
      <c r="C30" s="142"/>
      <c r="D30" s="99"/>
      <c r="E30" s="62"/>
      <c r="F30" s="116"/>
      <c r="G30" s="72"/>
      <c r="H30" s="111"/>
      <c r="I30" s="151"/>
      <c r="J30" s="152"/>
      <c r="K30" s="152"/>
      <c r="L30" s="152"/>
      <c r="M30" s="152"/>
      <c r="N30" s="152"/>
    </row>
    <row r="31" spans="1:14" ht="11.25" customHeight="1">
      <c r="A31" s="113" t="s">
        <v>149</v>
      </c>
      <c r="B31" s="109"/>
      <c r="C31" s="140"/>
      <c r="D31" s="102"/>
      <c r="E31" s="67">
        <v>46139</v>
      </c>
      <c r="F31" s="114"/>
      <c r="G31" s="83" t="s">
        <v>1018</v>
      </c>
      <c r="H31" s="115"/>
      <c r="I31" s="177" t="s">
        <v>166</v>
      </c>
      <c r="J31" s="154"/>
      <c r="K31" s="154"/>
      <c r="L31" s="154"/>
      <c r="M31" s="154"/>
      <c r="N31" s="154"/>
    </row>
    <row r="32" spans="1:14" ht="11.25" customHeight="1">
      <c r="A32" s="113" t="s">
        <v>167</v>
      </c>
      <c r="B32" s="109"/>
      <c r="C32" s="140"/>
      <c r="D32" s="109"/>
      <c r="E32" s="67">
        <v>535</v>
      </c>
      <c r="F32" s="114"/>
      <c r="G32" s="83" t="s">
        <v>1018</v>
      </c>
      <c r="H32" s="115"/>
      <c r="I32" s="177" t="s">
        <v>168</v>
      </c>
      <c r="J32" s="154"/>
      <c r="K32" s="154"/>
      <c r="L32" s="154"/>
      <c r="M32" s="154"/>
      <c r="N32" s="154"/>
    </row>
    <row r="33" spans="1:14" ht="11.25" customHeight="1">
      <c r="A33" s="113" t="s">
        <v>169</v>
      </c>
      <c r="B33" s="109"/>
      <c r="C33" s="140"/>
      <c r="D33" s="109"/>
      <c r="E33" s="67">
        <v>15928</v>
      </c>
      <c r="F33" s="114"/>
      <c r="G33" s="83" t="s">
        <v>1018</v>
      </c>
      <c r="H33" s="115"/>
      <c r="I33" s="177" t="s">
        <v>170</v>
      </c>
      <c r="J33" s="154"/>
      <c r="K33" s="154"/>
      <c r="L33" s="154"/>
      <c r="M33" s="154"/>
      <c r="N33" s="154"/>
    </row>
    <row r="34" spans="1:14" ht="11.25" customHeight="1">
      <c r="A34" s="113" t="s">
        <v>140</v>
      </c>
      <c r="B34" s="109"/>
      <c r="C34" s="140"/>
      <c r="D34" s="99"/>
      <c r="E34" s="62"/>
      <c r="F34" s="116"/>
      <c r="G34" s="72"/>
      <c r="H34" s="111"/>
      <c r="I34" s="151"/>
      <c r="J34" s="152"/>
      <c r="K34" s="152"/>
      <c r="L34" s="152"/>
      <c r="M34" s="152"/>
      <c r="N34" s="152"/>
    </row>
    <row r="35" spans="1:14" ht="11.25" customHeight="1">
      <c r="A35" s="117" t="s">
        <v>171</v>
      </c>
      <c r="B35" s="109"/>
      <c r="C35" s="140"/>
      <c r="D35" s="102"/>
      <c r="E35" s="67">
        <v>232</v>
      </c>
      <c r="F35" s="114"/>
      <c r="G35" s="83" t="s">
        <v>1018</v>
      </c>
      <c r="H35" s="115"/>
      <c r="I35" s="177" t="s">
        <v>172</v>
      </c>
      <c r="J35" s="154"/>
      <c r="K35" s="154"/>
      <c r="L35" s="154"/>
      <c r="M35" s="154"/>
      <c r="N35" s="154"/>
    </row>
    <row r="36" spans="1:14" ht="11.25" customHeight="1">
      <c r="A36" s="117" t="s">
        <v>173</v>
      </c>
      <c r="B36" s="109"/>
      <c r="C36" s="141"/>
      <c r="D36" s="109"/>
      <c r="E36" s="67">
        <v>149083</v>
      </c>
      <c r="F36" s="114"/>
      <c r="G36" s="83">
        <f>ROUND(0.15*E36,3-LEN(INT(0.15*E36)))</f>
        <v>22400</v>
      </c>
      <c r="H36" s="115"/>
      <c r="I36" s="177" t="s">
        <v>174</v>
      </c>
      <c r="J36" s="154"/>
      <c r="K36" s="154"/>
      <c r="L36" s="154"/>
      <c r="M36" s="154"/>
      <c r="N36" s="154"/>
    </row>
    <row r="37" spans="1:14" ht="11.25" customHeight="1">
      <c r="A37" s="117" t="s">
        <v>175</v>
      </c>
      <c r="B37" s="109"/>
      <c r="C37" s="140"/>
      <c r="D37" s="109"/>
      <c r="E37" s="67">
        <v>20232</v>
      </c>
      <c r="F37" s="114"/>
      <c r="G37" s="83" t="s">
        <v>1018</v>
      </c>
      <c r="H37" s="115"/>
      <c r="I37" s="177" t="s">
        <v>176</v>
      </c>
      <c r="J37" s="154"/>
      <c r="K37" s="154"/>
      <c r="L37" s="154"/>
      <c r="M37" s="154"/>
      <c r="N37" s="154"/>
    </row>
    <row r="38" spans="1:14" ht="11.25" customHeight="1">
      <c r="A38" s="117" t="s">
        <v>146</v>
      </c>
      <c r="B38" s="109"/>
      <c r="C38" s="140"/>
      <c r="D38" s="109"/>
      <c r="E38" s="67">
        <v>439134</v>
      </c>
      <c r="F38" s="114"/>
      <c r="G38" s="83" t="s">
        <v>1018</v>
      </c>
      <c r="H38" s="115"/>
      <c r="I38" s="177" t="s">
        <v>177</v>
      </c>
      <c r="J38" s="154"/>
      <c r="K38" s="154"/>
      <c r="L38" s="154"/>
      <c r="M38" s="154"/>
      <c r="N38" s="154"/>
    </row>
    <row r="39" spans="1:14" ht="11.25" customHeight="1">
      <c r="A39" s="109" t="s">
        <v>178</v>
      </c>
      <c r="B39" s="109"/>
      <c r="C39" s="140"/>
      <c r="D39" s="109"/>
      <c r="E39" s="67">
        <v>15</v>
      </c>
      <c r="F39" s="114"/>
      <c r="G39" s="83" t="s">
        <v>1018</v>
      </c>
      <c r="H39" s="115"/>
      <c r="I39" s="177" t="s">
        <v>179</v>
      </c>
      <c r="J39" s="154"/>
      <c r="K39" s="154"/>
      <c r="L39" s="154"/>
      <c r="M39" s="154"/>
      <c r="N39" s="154"/>
    </row>
    <row r="40" spans="1:14" ht="11.25" customHeight="1">
      <c r="A40" s="109" t="s">
        <v>180</v>
      </c>
      <c r="B40" s="109"/>
      <c r="C40" s="140"/>
      <c r="D40" s="109"/>
      <c r="E40" s="67">
        <v>259</v>
      </c>
      <c r="F40" s="114"/>
      <c r="G40" s="83" t="s">
        <v>1018</v>
      </c>
      <c r="H40" s="115"/>
      <c r="I40" s="177" t="s">
        <v>181</v>
      </c>
      <c r="J40" s="154"/>
      <c r="K40" s="154"/>
      <c r="L40" s="154"/>
      <c r="M40" s="154"/>
      <c r="N40" s="154"/>
    </row>
    <row r="41" spans="1:14" ht="11.25" customHeight="1">
      <c r="A41" s="109" t="s">
        <v>182</v>
      </c>
      <c r="B41" s="109"/>
      <c r="C41" s="140"/>
      <c r="D41" s="99"/>
      <c r="E41" s="62"/>
      <c r="F41" s="116"/>
      <c r="G41" s="72"/>
      <c r="H41" s="111"/>
      <c r="I41" s="151"/>
      <c r="J41" s="152"/>
      <c r="K41" s="152"/>
      <c r="L41" s="152"/>
      <c r="M41" s="152"/>
      <c r="N41" s="152"/>
    </row>
    <row r="42" spans="1:14" ht="11.25" customHeight="1">
      <c r="A42" s="113" t="s">
        <v>151</v>
      </c>
      <c r="B42" s="109"/>
      <c r="C42" s="140" t="s">
        <v>1033</v>
      </c>
      <c r="D42" s="102"/>
      <c r="E42" s="67">
        <v>82</v>
      </c>
      <c r="F42" s="114"/>
      <c r="G42" s="83">
        <f>ROUND(0.243*E42,3-LEN(INT(0.243*E42)))</f>
        <v>19.9</v>
      </c>
      <c r="H42" s="115"/>
      <c r="I42" s="177" t="s">
        <v>183</v>
      </c>
      <c r="J42" s="154"/>
      <c r="K42" s="154"/>
      <c r="L42" s="154"/>
      <c r="M42" s="154"/>
      <c r="N42" s="154"/>
    </row>
    <row r="43" spans="1:14" ht="11.25" customHeight="1">
      <c r="A43" s="113" t="s">
        <v>184</v>
      </c>
      <c r="B43" s="109"/>
      <c r="C43" s="141"/>
      <c r="D43" s="109"/>
      <c r="E43" s="67">
        <v>31</v>
      </c>
      <c r="F43" s="114"/>
      <c r="G43" s="83" t="s">
        <v>1018</v>
      </c>
      <c r="H43" s="115"/>
      <c r="I43" s="177" t="s">
        <v>185</v>
      </c>
      <c r="J43" s="154"/>
      <c r="K43" s="154"/>
      <c r="L43" s="154"/>
      <c r="M43" s="154"/>
      <c r="N43" s="154"/>
    </row>
    <row r="44" spans="1:14" ht="11.25" customHeight="1">
      <c r="A44" s="109" t="s">
        <v>1023</v>
      </c>
      <c r="B44" s="109"/>
      <c r="C44" s="140"/>
      <c r="D44" s="99"/>
      <c r="E44" s="62"/>
      <c r="F44" s="116"/>
      <c r="G44" s="72"/>
      <c r="H44" s="111"/>
      <c r="I44" s="151"/>
      <c r="J44" s="152"/>
      <c r="K44" s="152"/>
      <c r="L44" s="152"/>
      <c r="M44" s="152"/>
      <c r="N44" s="152"/>
    </row>
    <row r="45" spans="1:14" ht="11.25" customHeight="1">
      <c r="A45" s="113" t="s">
        <v>149</v>
      </c>
      <c r="B45" s="109"/>
      <c r="C45" s="140"/>
      <c r="D45" s="102"/>
      <c r="E45" s="67">
        <v>7023</v>
      </c>
      <c r="F45" s="114"/>
      <c r="G45" s="83" t="s">
        <v>1018</v>
      </c>
      <c r="H45" s="115"/>
      <c r="I45" s="177" t="s">
        <v>186</v>
      </c>
      <c r="J45" s="154"/>
      <c r="K45" s="154"/>
      <c r="L45" s="154"/>
      <c r="M45" s="154"/>
      <c r="N45" s="154"/>
    </row>
    <row r="46" spans="1:14" ht="11.25" customHeight="1">
      <c r="A46" s="113" t="s">
        <v>187</v>
      </c>
      <c r="B46" s="109"/>
      <c r="C46" s="140"/>
      <c r="D46" s="109"/>
      <c r="E46" s="67">
        <v>7257</v>
      </c>
      <c r="F46" s="114"/>
      <c r="G46" s="83" t="s">
        <v>1018</v>
      </c>
      <c r="H46" s="115"/>
      <c r="I46" s="177" t="s">
        <v>188</v>
      </c>
      <c r="J46" s="154"/>
      <c r="K46" s="154"/>
      <c r="L46" s="154"/>
      <c r="M46" s="154"/>
      <c r="N46" s="154"/>
    </row>
    <row r="47" spans="1:14" ht="11.25" customHeight="1">
      <c r="A47" s="113" t="s">
        <v>189</v>
      </c>
      <c r="B47" s="109"/>
      <c r="C47" s="140" t="s">
        <v>1012</v>
      </c>
      <c r="D47" s="109"/>
      <c r="E47" s="67">
        <v>940</v>
      </c>
      <c r="F47" s="114"/>
      <c r="G47" s="83" t="s">
        <v>1018</v>
      </c>
      <c r="H47" s="115"/>
      <c r="I47" s="177" t="s">
        <v>190</v>
      </c>
      <c r="J47" s="154"/>
      <c r="K47" s="154"/>
      <c r="L47" s="154"/>
      <c r="M47" s="154"/>
      <c r="N47" s="154"/>
    </row>
    <row r="48" spans="1:14" ht="11.25" customHeight="1">
      <c r="A48" s="113" t="s">
        <v>1014</v>
      </c>
      <c r="B48" s="109"/>
      <c r="C48" s="140"/>
      <c r="D48" s="99"/>
      <c r="E48" s="62"/>
      <c r="F48" s="116"/>
      <c r="G48" s="72"/>
      <c r="H48" s="111"/>
      <c r="I48" s="151"/>
      <c r="J48" s="152"/>
      <c r="K48" s="152"/>
      <c r="L48" s="152"/>
      <c r="M48" s="152"/>
      <c r="N48" s="152"/>
    </row>
    <row r="49" spans="1:14" ht="11.25" customHeight="1">
      <c r="A49" s="117" t="s">
        <v>191</v>
      </c>
      <c r="B49" s="109"/>
      <c r="C49" s="140"/>
      <c r="D49" s="102"/>
      <c r="E49" s="67">
        <v>82776</v>
      </c>
      <c r="F49" s="114"/>
      <c r="G49" s="83" t="s">
        <v>1018</v>
      </c>
      <c r="H49" s="115"/>
      <c r="I49" s="177" t="s">
        <v>192</v>
      </c>
      <c r="J49" s="154"/>
      <c r="K49" s="154"/>
      <c r="L49" s="154"/>
      <c r="M49" s="154"/>
      <c r="N49" s="154"/>
    </row>
    <row r="50" spans="1:14" ht="11.25" customHeight="1">
      <c r="A50" s="117" t="s">
        <v>146</v>
      </c>
      <c r="B50" s="109"/>
      <c r="C50" s="140" t="s">
        <v>1012</v>
      </c>
      <c r="D50" s="109"/>
      <c r="E50" s="67">
        <v>7544</v>
      </c>
      <c r="F50" s="114"/>
      <c r="G50" s="83" t="s">
        <v>1018</v>
      </c>
      <c r="H50" s="115"/>
      <c r="I50" s="177" t="s">
        <v>193</v>
      </c>
      <c r="J50" s="154"/>
      <c r="K50" s="154"/>
      <c r="L50" s="154"/>
      <c r="M50" s="154"/>
      <c r="N50" s="154"/>
    </row>
    <row r="51" spans="1:14" ht="11.25" customHeight="1">
      <c r="A51" s="117" t="s">
        <v>194</v>
      </c>
      <c r="B51" s="109"/>
      <c r="C51" s="140"/>
      <c r="D51" s="109"/>
      <c r="E51" s="67">
        <v>175291</v>
      </c>
      <c r="F51" s="114"/>
      <c r="G51" s="83" t="s">
        <v>1018</v>
      </c>
      <c r="H51" s="115"/>
      <c r="I51" s="177" t="s">
        <v>195</v>
      </c>
      <c r="J51" s="154"/>
      <c r="K51" s="154"/>
      <c r="L51" s="154"/>
      <c r="M51" s="154"/>
      <c r="N51" s="154"/>
    </row>
    <row r="52" spans="1:14" ht="11.25" customHeight="1">
      <c r="A52" s="117" t="s">
        <v>1027</v>
      </c>
      <c r="B52" s="109"/>
      <c r="C52" s="140"/>
      <c r="D52" s="99"/>
      <c r="E52" s="62"/>
      <c r="F52" s="116"/>
      <c r="G52" s="72"/>
      <c r="H52" s="111"/>
      <c r="I52" s="151"/>
      <c r="J52" s="152"/>
      <c r="K52" s="152"/>
      <c r="L52" s="152"/>
      <c r="M52" s="152"/>
      <c r="N52" s="152"/>
    </row>
    <row r="53" spans="1:14" ht="11.25" customHeight="1">
      <c r="A53" s="118" t="s">
        <v>1029</v>
      </c>
      <c r="B53" s="109"/>
      <c r="C53" s="140"/>
      <c r="D53" s="102"/>
      <c r="E53" s="67">
        <v>26472</v>
      </c>
      <c r="F53" s="114"/>
      <c r="G53" s="83">
        <f>ROUND(0.208*E53,3-LEN(INT(0.208*E53)))</f>
        <v>5510</v>
      </c>
      <c r="H53" s="115"/>
      <c r="I53" s="177" t="s">
        <v>196</v>
      </c>
      <c r="J53" s="154"/>
      <c r="K53" s="154"/>
      <c r="L53" s="154"/>
      <c r="M53" s="154"/>
      <c r="N53" s="154"/>
    </row>
    <row r="54" spans="1:14" ht="11.25" customHeight="1">
      <c r="A54" s="118" t="s">
        <v>197</v>
      </c>
      <c r="B54" s="109"/>
      <c r="C54" s="140"/>
      <c r="D54" s="109"/>
      <c r="E54" s="67">
        <v>12660</v>
      </c>
      <c r="F54" s="114"/>
      <c r="G54" s="83" t="s">
        <v>1018</v>
      </c>
      <c r="H54" s="115"/>
      <c r="I54" s="177" t="s">
        <v>198</v>
      </c>
      <c r="J54" s="154"/>
      <c r="K54" s="154"/>
      <c r="L54" s="154"/>
      <c r="M54" s="154"/>
      <c r="N54" s="154"/>
    </row>
    <row r="55" spans="1:14" ht="11.25" customHeight="1">
      <c r="A55" s="118" t="s">
        <v>199</v>
      </c>
      <c r="B55" s="109"/>
      <c r="C55" s="140"/>
      <c r="D55" s="109"/>
      <c r="E55" s="67">
        <v>3867</v>
      </c>
      <c r="F55" s="114"/>
      <c r="G55" s="83" t="s">
        <v>1018</v>
      </c>
      <c r="H55" s="115"/>
      <c r="I55" s="177" t="s">
        <v>200</v>
      </c>
      <c r="J55" s="154"/>
      <c r="K55" s="154"/>
      <c r="L55" s="154"/>
      <c r="M55" s="154"/>
      <c r="N55" s="154"/>
    </row>
    <row r="56" spans="1:14" ht="11.25" customHeight="1">
      <c r="A56" s="118" t="s">
        <v>201</v>
      </c>
      <c r="B56" s="109"/>
      <c r="C56" s="140"/>
      <c r="D56" s="109"/>
      <c r="E56" s="67">
        <v>31</v>
      </c>
      <c r="F56" s="114"/>
      <c r="G56" s="83" t="s">
        <v>1018</v>
      </c>
      <c r="H56" s="115"/>
      <c r="I56" s="177" t="s">
        <v>202</v>
      </c>
      <c r="J56" s="154"/>
      <c r="K56" s="154"/>
      <c r="L56" s="154"/>
      <c r="M56" s="154"/>
      <c r="N56" s="154"/>
    </row>
    <row r="57" spans="1:14" ht="11.25" customHeight="1">
      <c r="A57" s="118" t="s">
        <v>203</v>
      </c>
      <c r="B57" s="109"/>
      <c r="C57" s="140"/>
      <c r="D57" s="109"/>
      <c r="E57" s="67">
        <v>4</v>
      </c>
      <c r="F57" s="114"/>
      <c r="G57" s="83" t="s">
        <v>1018</v>
      </c>
      <c r="H57" s="115"/>
      <c r="I57" s="177" t="s">
        <v>204</v>
      </c>
      <c r="J57" s="154"/>
      <c r="K57" s="154"/>
      <c r="L57" s="154"/>
      <c r="M57" s="154"/>
      <c r="N57" s="154"/>
    </row>
    <row r="58" spans="1:14" ht="11.25" customHeight="1">
      <c r="A58" s="118" t="s">
        <v>205</v>
      </c>
      <c r="B58" s="109"/>
      <c r="C58" s="140"/>
      <c r="D58" s="109"/>
      <c r="E58" s="67">
        <v>14254</v>
      </c>
      <c r="F58" s="114"/>
      <c r="G58" s="83" t="s">
        <v>1018</v>
      </c>
      <c r="H58" s="115"/>
      <c r="I58" s="177" t="s">
        <v>206</v>
      </c>
      <c r="J58" s="154"/>
      <c r="K58" s="154"/>
      <c r="L58" s="154"/>
      <c r="M58" s="154"/>
      <c r="N58" s="154"/>
    </row>
    <row r="59" spans="1:14" ht="11.25" customHeight="1">
      <c r="A59" s="118" t="s">
        <v>207</v>
      </c>
      <c r="B59" s="109"/>
      <c r="C59" s="140"/>
      <c r="D59" s="109"/>
      <c r="E59" s="67">
        <v>2928</v>
      </c>
      <c r="F59" s="114"/>
      <c r="G59" s="83" t="s">
        <v>1018</v>
      </c>
      <c r="H59" s="115"/>
      <c r="I59" s="177" t="s">
        <v>208</v>
      </c>
      <c r="J59" s="154"/>
      <c r="K59" s="154"/>
      <c r="L59" s="154"/>
      <c r="M59" s="154"/>
      <c r="N59" s="154"/>
    </row>
    <row r="60" spans="1:14" ht="11.25" customHeight="1">
      <c r="A60" s="118" t="s">
        <v>209</v>
      </c>
      <c r="B60" s="109"/>
      <c r="C60" s="140"/>
      <c r="D60" s="109"/>
      <c r="E60" s="67">
        <v>53979</v>
      </c>
      <c r="F60" s="114"/>
      <c r="G60" s="83" t="s">
        <v>1018</v>
      </c>
      <c r="H60" s="115"/>
      <c r="I60" s="177" t="s">
        <v>210</v>
      </c>
      <c r="J60" s="154"/>
      <c r="K60" s="154"/>
      <c r="L60" s="154"/>
      <c r="M60" s="154"/>
      <c r="N60" s="154"/>
    </row>
    <row r="61" spans="1:14" ht="11.25" customHeight="1">
      <c r="A61" s="118" t="s">
        <v>211</v>
      </c>
      <c r="B61" s="109"/>
      <c r="C61" s="140"/>
      <c r="D61" s="102"/>
      <c r="E61" s="67">
        <v>176</v>
      </c>
      <c r="F61" s="114"/>
      <c r="G61" s="83" t="s">
        <v>1018</v>
      </c>
      <c r="H61" s="115"/>
      <c r="I61" s="177" t="s">
        <v>212</v>
      </c>
      <c r="J61" s="154"/>
      <c r="K61" s="154"/>
      <c r="L61" s="154"/>
      <c r="M61" s="154"/>
      <c r="N61" s="154"/>
    </row>
    <row r="62" spans="1:14" ht="11.25" customHeight="1">
      <c r="A62" s="118" t="s">
        <v>213</v>
      </c>
      <c r="B62" s="109"/>
      <c r="C62" s="140"/>
      <c r="D62" s="109"/>
      <c r="E62" s="67">
        <v>5263</v>
      </c>
      <c r="F62" s="114"/>
      <c r="G62" s="83" t="s">
        <v>1018</v>
      </c>
      <c r="H62" s="115"/>
      <c r="I62" s="177" t="s">
        <v>214</v>
      </c>
      <c r="J62" s="154"/>
      <c r="K62" s="154"/>
      <c r="L62" s="154"/>
      <c r="M62" s="154"/>
      <c r="N62" s="154"/>
    </row>
    <row r="63" spans="1:14" ht="11.25" customHeight="1">
      <c r="A63" s="180" t="s">
        <v>765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</row>
    <row r="64" spans="1:14" ht="11.25" customHeight="1">
      <c r="A64" s="182" t="s">
        <v>215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</row>
    <row r="65" spans="1:14" ht="11.25" customHeight="1">
      <c r="A65" s="172" t="s">
        <v>418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</row>
    <row r="66" spans="1:14" ht="11.25" customHeight="1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</row>
    <row r="67" spans="1:14" ht="11.25" customHeight="1">
      <c r="A67" s="172" t="s">
        <v>1004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</row>
    <row r="68" spans="1:14" ht="11.25" customHeight="1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</row>
    <row r="69" spans="1:14" ht="11.25" customHeight="1">
      <c r="A69" s="180"/>
      <c r="B69" s="180"/>
      <c r="C69" s="180"/>
      <c r="D69" s="99"/>
      <c r="E69" s="100"/>
      <c r="F69" s="104"/>
      <c r="G69" s="179" t="s">
        <v>419</v>
      </c>
      <c r="H69" s="179"/>
      <c r="I69" s="179"/>
      <c r="J69" s="179"/>
      <c r="K69" s="179"/>
      <c r="L69" s="179"/>
      <c r="M69" s="179"/>
      <c r="N69" s="179"/>
    </row>
    <row r="70" spans="1:14" ht="11.25" customHeight="1">
      <c r="A70" s="153" t="s">
        <v>713</v>
      </c>
      <c r="B70" s="153"/>
      <c r="C70" s="153"/>
      <c r="D70" s="102"/>
      <c r="E70" s="105" t="s">
        <v>1017</v>
      </c>
      <c r="F70" s="106"/>
      <c r="G70" s="105" t="s">
        <v>131</v>
      </c>
      <c r="H70" s="106"/>
      <c r="I70" s="179" t="s">
        <v>420</v>
      </c>
      <c r="J70" s="179"/>
      <c r="K70" s="179"/>
      <c r="L70" s="179"/>
      <c r="M70" s="179"/>
      <c r="N70" s="179"/>
    </row>
    <row r="71" spans="1:14" ht="11.25" customHeight="1">
      <c r="A71" s="150" t="s">
        <v>216</v>
      </c>
      <c r="B71" s="150"/>
      <c r="C71" s="150"/>
      <c r="D71" s="103"/>
      <c r="E71" s="107"/>
      <c r="F71" s="108"/>
      <c r="G71" s="107"/>
      <c r="H71" s="108"/>
      <c r="I71" s="173"/>
      <c r="J71" s="173"/>
      <c r="K71" s="173"/>
      <c r="L71" s="173"/>
      <c r="M71" s="173"/>
      <c r="N71" s="173"/>
    </row>
    <row r="72" spans="1:14" ht="11.25" customHeight="1">
      <c r="A72" s="109" t="s">
        <v>217</v>
      </c>
      <c r="B72" s="109"/>
      <c r="C72" s="140"/>
      <c r="D72" s="99"/>
      <c r="E72" s="62"/>
      <c r="F72" s="116"/>
      <c r="G72" s="119"/>
      <c r="H72" s="116"/>
      <c r="I72" s="151"/>
      <c r="J72" s="151"/>
      <c r="K72" s="151"/>
      <c r="L72" s="151"/>
      <c r="M72" s="151"/>
      <c r="N72" s="151"/>
    </row>
    <row r="73" spans="1:14" ht="11.25" customHeight="1">
      <c r="A73" s="118" t="s">
        <v>218</v>
      </c>
      <c r="B73" s="109"/>
      <c r="C73" s="140"/>
      <c r="D73" s="102"/>
      <c r="E73" s="67">
        <v>528</v>
      </c>
      <c r="F73" s="114"/>
      <c r="G73" s="83" t="s">
        <v>1018</v>
      </c>
      <c r="H73" s="114"/>
      <c r="I73" s="177" t="s">
        <v>219</v>
      </c>
      <c r="J73" s="154"/>
      <c r="K73" s="154"/>
      <c r="L73" s="154"/>
      <c r="M73" s="154"/>
      <c r="N73" s="154"/>
    </row>
    <row r="74" spans="1:14" ht="11.25" customHeight="1">
      <c r="A74" s="118" t="s">
        <v>220</v>
      </c>
      <c r="B74" s="109"/>
      <c r="C74" s="140"/>
      <c r="D74" s="109"/>
      <c r="E74" s="67">
        <v>1448</v>
      </c>
      <c r="F74" s="114"/>
      <c r="G74" s="83">
        <f>ROUND(0.074*E74,3-LEN(INT(0.074*E74)))</f>
        <v>107</v>
      </c>
      <c r="H74" s="114"/>
      <c r="I74" s="175" t="s">
        <v>221</v>
      </c>
      <c r="J74" s="176"/>
      <c r="K74" s="176"/>
      <c r="L74" s="176"/>
      <c r="M74" s="176"/>
      <c r="N74" s="176"/>
    </row>
    <row r="75" spans="1:14" ht="11.25" customHeight="1">
      <c r="A75" s="118" t="s">
        <v>222</v>
      </c>
      <c r="B75" s="109"/>
      <c r="C75" s="140"/>
      <c r="D75" s="109"/>
      <c r="E75" s="67">
        <v>11585</v>
      </c>
      <c r="F75" s="114"/>
      <c r="G75" s="83" t="s">
        <v>1018</v>
      </c>
      <c r="H75" s="114"/>
      <c r="I75" s="175" t="s">
        <v>223</v>
      </c>
      <c r="J75" s="176"/>
      <c r="K75" s="176"/>
      <c r="L75" s="176"/>
      <c r="M75" s="176"/>
      <c r="N75" s="176"/>
    </row>
    <row r="76" spans="1:14" ht="11.25" customHeight="1">
      <c r="A76" s="117" t="s">
        <v>847</v>
      </c>
      <c r="B76" s="109"/>
      <c r="C76" s="140"/>
      <c r="D76" s="109"/>
      <c r="E76" s="67">
        <v>1999</v>
      </c>
      <c r="F76" s="114"/>
      <c r="G76" s="83" t="s">
        <v>1018</v>
      </c>
      <c r="H76" s="114"/>
      <c r="I76" s="175" t="s">
        <v>224</v>
      </c>
      <c r="J76" s="176"/>
      <c r="K76" s="176"/>
      <c r="L76" s="176"/>
      <c r="M76" s="176"/>
      <c r="N76" s="176"/>
    </row>
    <row r="77" spans="1:14" ht="11.25" customHeight="1">
      <c r="A77" s="109" t="s">
        <v>225</v>
      </c>
      <c r="B77" s="109"/>
      <c r="C77" s="140"/>
      <c r="D77" s="99"/>
      <c r="E77" s="62"/>
      <c r="F77" s="116"/>
      <c r="G77" s="72"/>
      <c r="H77" s="116"/>
      <c r="I77" s="173"/>
      <c r="J77" s="174"/>
      <c r="K77" s="174"/>
      <c r="L77" s="174"/>
      <c r="M77" s="174"/>
      <c r="N77" s="174"/>
    </row>
    <row r="78" spans="1:14" ht="11.25" customHeight="1">
      <c r="A78" s="113" t="s">
        <v>149</v>
      </c>
      <c r="B78" s="109"/>
      <c r="C78" s="140"/>
      <c r="D78" s="102"/>
      <c r="E78" s="67">
        <v>102</v>
      </c>
      <c r="F78" s="114"/>
      <c r="G78" s="83" t="s">
        <v>1018</v>
      </c>
      <c r="H78" s="114"/>
      <c r="I78" s="177" t="s">
        <v>226</v>
      </c>
      <c r="J78" s="154"/>
      <c r="K78" s="154"/>
      <c r="L78" s="154"/>
      <c r="M78" s="154"/>
      <c r="N78" s="154"/>
    </row>
    <row r="79" spans="1:14" ht="11.25" customHeight="1">
      <c r="A79" s="113" t="s">
        <v>227</v>
      </c>
      <c r="B79" s="109"/>
      <c r="C79" s="140"/>
      <c r="D79" s="109"/>
      <c r="E79" s="67">
        <v>15090</v>
      </c>
      <c r="F79" s="114"/>
      <c r="G79" s="83" t="s">
        <v>1018</v>
      </c>
      <c r="H79" s="114"/>
      <c r="I79" s="175" t="s">
        <v>228</v>
      </c>
      <c r="J79" s="176"/>
      <c r="K79" s="176"/>
      <c r="L79" s="176"/>
      <c r="M79" s="176"/>
      <c r="N79" s="176"/>
    </row>
    <row r="80" spans="1:14" ht="11.25" customHeight="1">
      <c r="A80" s="113" t="s">
        <v>140</v>
      </c>
      <c r="B80" s="109"/>
      <c r="C80" s="140"/>
      <c r="D80" s="103"/>
      <c r="E80" s="62"/>
      <c r="F80" s="116"/>
      <c r="G80" s="72"/>
      <c r="H80" s="116"/>
      <c r="I80" s="173"/>
      <c r="J80" s="174"/>
      <c r="K80" s="174"/>
      <c r="L80" s="174"/>
      <c r="M80" s="174"/>
      <c r="N80" s="174"/>
    </row>
    <row r="81" spans="1:14" ht="11.25" customHeight="1">
      <c r="A81" s="117" t="s">
        <v>175</v>
      </c>
      <c r="B81" s="109"/>
      <c r="C81" s="140"/>
      <c r="D81" s="102"/>
      <c r="E81" s="67">
        <v>25382</v>
      </c>
      <c r="F81" s="114"/>
      <c r="G81" s="83" t="s">
        <v>1018</v>
      </c>
      <c r="H81" s="114"/>
      <c r="I81" s="177" t="s">
        <v>229</v>
      </c>
      <c r="J81" s="154"/>
      <c r="K81" s="154"/>
      <c r="L81" s="154"/>
      <c r="M81" s="154"/>
      <c r="N81" s="154"/>
    </row>
    <row r="82" spans="1:14" ht="11.25" customHeight="1">
      <c r="A82" s="117" t="s">
        <v>805</v>
      </c>
      <c r="B82" s="109"/>
      <c r="C82" s="140"/>
      <c r="D82" s="109"/>
      <c r="E82" s="67">
        <v>81647</v>
      </c>
      <c r="F82" s="114"/>
      <c r="G82" s="83" t="s">
        <v>1018</v>
      </c>
      <c r="H82" s="114"/>
      <c r="I82" s="175" t="s">
        <v>230</v>
      </c>
      <c r="J82" s="176"/>
      <c r="K82" s="176"/>
      <c r="L82" s="176"/>
      <c r="M82" s="176"/>
      <c r="N82" s="176"/>
    </row>
    <row r="83" spans="1:14" ht="11.25" customHeight="1">
      <c r="A83" s="117" t="s">
        <v>171</v>
      </c>
      <c r="B83" s="109"/>
      <c r="C83" s="140"/>
      <c r="D83" s="109"/>
      <c r="E83" s="67">
        <v>2</v>
      </c>
      <c r="F83" s="114"/>
      <c r="G83" s="83" t="s">
        <v>1018</v>
      </c>
      <c r="H83" s="114"/>
      <c r="I83" s="175" t="s">
        <v>231</v>
      </c>
      <c r="J83" s="176"/>
      <c r="K83" s="176"/>
      <c r="L83" s="176"/>
      <c r="M83" s="176"/>
      <c r="N83" s="176"/>
    </row>
    <row r="84" spans="1:14" ht="11.25" customHeight="1">
      <c r="A84" s="117" t="s">
        <v>146</v>
      </c>
      <c r="B84" s="109"/>
      <c r="C84" s="140"/>
      <c r="D84" s="109"/>
      <c r="E84" s="67">
        <v>19493</v>
      </c>
      <c r="F84" s="114"/>
      <c r="G84" s="83" t="s">
        <v>1018</v>
      </c>
      <c r="H84" s="114"/>
      <c r="I84" s="175" t="s">
        <v>232</v>
      </c>
      <c r="J84" s="176"/>
      <c r="K84" s="176"/>
      <c r="L84" s="176"/>
      <c r="M84" s="176"/>
      <c r="N84" s="176"/>
    </row>
    <row r="85" spans="1:14" ht="11.25" customHeight="1">
      <c r="A85" s="109" t="s">
        <v>233</v>
      </c>
      <c r="B85" s="109"/>
      <c r="C85" s="140"/>
      <c r="D85" s="109"/>
      <c r="E85" s="67">
        <v>2991</v>
      </c>
      <c r="F85" s="114"/>
      <c r="G85" s="83" t="s">
        <v>1018</v>
      </c>
      <c r="H85" s="114"/>
      <c r="I85" s="175" t="s">
        <v>234</v>
      </c>
      <c r="J85" s="176"/>
      <c r="K85" s="176"/>
      <c r="L85" s="176"/>
      <c r="M85" s="176"/>
      <c r="N85" s="176"/>
    </row>
    <row r="86" spans="1:14" ht="11.25" customHeight="1">
      <c r="A86" s="109" t="s">
        <v>235</v>
      </c>
      <c r="B86" s="109"/>
      <c r="C86" s="140"/>
      <c r="D86" s="99"/>
      <c r="E86" s="62"/>
      <c r="F86" s="116"/>
      <c r="G86" s="72"/>
      <c r="H86" s="116"/>
      <c r="I86" s="173"/>
      <c r="J86" s="174"/>
      <c r="K86" s="174"/>
      <c r="L86" s="174"/>
      <c r="M86" s="174"/>
      <c r="N86" s="174"/>
    </row>
    <row r="87" spans="1:14" ht="11.25" customHeight="1">
      <c r="A87" s="113" t="s">
        <v>146</v>
      </c>
      <c r="B87" s="109"/>
      <c r="C87" s="140"/>
      <c r="D87" s="102"/>
      <c r="E87" s="67">
        <v>12913</v>
      </c>
      <c r="F87" s="114"/>
      <c r="G87" s="83" t="s">
        <v>1018</v>
      </c>
      <c r="H87" s="114"/>
      <c r="I87" s="177" t="s">
        <v>236</v>
      </c>
      <c r="J87" s="154"/>
      <c r="K87" s="154"/>
      <c r="L87" s="154"/>
      <c r="M87" s="154"/>
      <c r="N87" s="154"/>
    </row>
    <row r="88" spans="1:14" ht="11.25" customHeight="1">
      <c r="A88" s="113" t="s">
        <v>237</v>
      </c>
      <c r="B88" s="109"/>
      <c r="C88" s="140"/>
      <c r="D88" s="109"/>
      <c r="E88" s="67">
        <v>8372</v>
      </c>
      <c r="F88" s="114"/>
      <c r="G88" s="83" t="s">
        <v>1018</v>
      </c>
      <c r="H88" s="114"/>
      <c r="I88" s="175" t="s">
        <v>238</v>
      </c>
      <c r="J88" s="176"/>
      <c r="K88" s="176"/>
      <c r="L88" s="176"/>
      <c r="M88" s="176"/>
      <c r="N88" s="176"/>
    </row>
    <row r="89" spans="1:14" ht="11.25" customHeight="1">
      <c r="A89" s="109" t="s">
        <v>239</v>
      </c>
      <c r="B89" s="109"/>
      <c r="C89" s="140"/>
      <c r="D89" s="109"/>
      <c r="E89" s="67">
        <v>3218</v>
      </c>
      <c r="F89" s="114"/>
      <c r="G89" s="83" t="s">
        <v>1018</v>
      </c>
      <c r="H89" s="114"/>
      <c r="I89" s="175" t="s">
        <v>240</v>
      </c>
      <c r="J89" s="176"/>
      <c r="K89" s="176"/>
      <c r="L89" s="176"/>
      <c r="M89" s="176"/>
      <c r="N89" s="176"/>
    </row>
    <row r="90" spans="1:14" ht="11.25" customHeight="1">
      <c r="A90" s="109" t="s">
        <v>241</v>
      </c>
      <c r="B90" s="109"/>
      <c r="C90" s="140"/>
      <c r="D90" s="109"/>
      <c r="E90" s="67">
        <v>36</v>
      </c>
      <c r="F90" s="114"/>
      <c r="G90" s="83">
        <f>ROUND(0.304*E90,3-LEN(INT(0.304*E90)))</f>
        <v>10.9</v>
      </c>
      <c r="H90" s="114"/>
      <c r="I90" s="175" t="s">
        <v>242</v>
      </c>
      <c r="J90" s="176"/>
      <c r="K90" s="176"/>
      <c r="L90" s="176"/>
      <c r="M90" s="176"/>
      <c r="N90" s="176"/>
    </row>
    <row r="91" spans="1:14" ht="11.25" customHeight="1">
      <c r="A91" s="109" t="s">
        <v>243</v>
      </c>
      <c r="B91" s="109"/>
      <c r="C91" s="140"/>
      <c r="D91" s="109"/>
      <c r="E91" s="67">
        <v>2770</v>
      </c>
      <c r="F91" s="114"/>
      <c r="G91" s="83">
        <f>ROUND(0.089*E91,3-LEN(INT(0.089*E91)))</f>
        <v>247</v>
      </c>
      <c r="H91" s="114"/>
      <c r="I91" s="175" t="s">
        <v>244</v>
      </c>
      <c r="J91" s="176"/>
      <c r="K91" s="176"/>
      <c r="L91" s="176"/>
      <c r="M91" s="176"/>
      <c r="N91" s="176"/>
    </row>
    <row r="92" spans="1:14" ht="11.25" customHeight="1">
      <c r="A92" s="109" t="s">
        <v>245</v>
      </c>
      <c r="B92" s="109"/>
      <c r="C92" s="140"/>
      <c r="D92" s="103"/>
      <c r="E92" s="62"/>
      <c r="F92" s="116"/>
      <c r="G92" s="72"/>
      <c r="H92" s="116"/>
      <c r="I92" s="173"/>
      <c r="J92" s="174"/>
      <c r="K92" s="174"/>
      <c r="L92" s="174"/>
      <c r="M92" s="174"/>
      <c r="N92" s="174"/>
    </row>
    <row r="93" spans="1:14" ht="11.25" customHeight="1">
      <c r="A93" s="113" t="s">
        <v>246</v>
      </c>
      <c r="B93" s="109"/>
      <c r="C93" s="140"/>
      <c r="D93" s="102"/>
      <c r="E93" s="67">
        <v>5604</v>
      </c>
      <c r="F93" s="114"/>
      <c r="G93" s="83" t="s">
        <v>1018</v>
      </c>
      <c r="H93" s="114"/>
      <c r="I93" s="177" t="s">
        <v>247</v>
      </c>
      <c r="J93" s="154"/>
      <c r="K93" s="154"/>
      <c r="L93" s="154"/>
      <c r="M93" s="154"/>
      <c r="N93" s="154"/>
    </row>
    <row r="94" spans="1:14" ht="11.25" customHeight="1">
      <c r="A94" s="113" t="s">
        <v>161</v>
      </c>
      <c r="B94" s="109"/>
      <c r="C94" s="140"/>
      <c r="D94" s="109"/>
      <c r="E94" s="67">
        <v>102</v>
      </c>
      <c r="F94" s="114"/>
      <c r="G94" s="83">
        <f>ROUND(0.154*E94,3-LEN(INT(0.154*E94)))</f>
        <v>15.7</v>
      </c>
      <c r="H94" s="114"/>
      <c r="I94" s="175" t="s">
        <v>248</v>
      </c>
      <c r="J94" s="176"/>
      <c r="K94" s="176"/>
      <c r="L94" s="176"/>
      <c r="M94" s="176"/>
      <c r="N94" s="176"/>
    </row>
    <row r="95" spans="1:14" ht="11.25" customHeight="1">
      <c r="A95" s="113" t="s">
        <v>249</v>
      </c>
      <c r="B95" s="109"/>
      <c r="C95" s="140"/>
      <c r="D95" s="109"/>
      <c r="E95" s="67">
        <v>427</v>
      </c>
      <c r="F95" s="114"/>
      <c r="G95" s="83" t="s">
        <v>1018</v>
      </c>
      <c r="H95" s="114"/>
      <c r="I95" s="175" t="s">
        <v>250</v>
      </c>
      <c r="J95" s="176"/>
      <c r="K95" s="176"/>
      <c r="L95" s="176"/>
      <c r="M95" s="176"/>
      <c r="N95" s="176"/>
    </row>
    <row r="96" spans="1:14" ht="11.25" customHeight="1">
      <c r="A96" s="113" t="s">
        <v>140</v>
      </c>
      <c r="B96" s="109"/>
      <c r="C96" s="140"/>
      <c r="D96" s="99"/>
      <c r="E96" s="62"/>
      <c r="F96" s="116"/>
      <c r="G96" s="72"/>
      <c r="H96" s="116"/>
      <c r="I96" s="173"/>
      <c r="J96" s="174"/>
      <c r="K96" s="174"/>
      <c r="L96" s="174"/>
      <c r="M96" s="174"/>
      <c r="N96" s="174"/>
    </row>
    <row r="97" spans="1:14" ht="11.25" customHeight="1">
      <c r="A97" s="117" t="s">
        <v>175</v>
      </c>
      <c r="B97" s="109"/>
      <c r="C97" s="140"/>
      <c r="D97" s="102"/>
      <c r="E97" s="67">
        <v>9376</v>
      </c>
      <c r="F97" s="114"/>
      <c r="G97" s="83" t="s">
        <v>1018</v>
      </c>
      <c r="H97" s="114"/>
      <c r="I97" s="177" t="s">
        <v>251</v>
      </c>
      <c r="J97" s="154"/>
      <c r="K97" s="154"/>
      <c r="L97" s="154"/>
      <c r="M97" s="154"/>
      <c r="N97" s="154"/>
    </row>
    <row r="98" spans="1:14" ht="11.25" customHeight="1">
      <c r="A98" s="117" t="s">
        <v>252</v>
      </c>
      <c r="B98" s="109"/>
      <c r="C98" s="140"/>
      <c r="D98" s="109"/>
      <c r="E98" s="67">
        <v>8988</v>
      </c>
      <c r="F98" s="114"/>
      <c r="G98" s="83" t="s">
        <v>1018</v>
      </c>
      <c r="H98" s="114"/>
      <c r="I98" s="175" t="s">
        <v>253</v>
      </c>
      <c r="J98" s="176"/>
      <c r="K98" s="176"/>
      <c r="L98" s="176"/>
      <c r="M98" s="176"/>
      <c r="N98" s="176"/>
    </row>
    <row r="99" spans="1:14" ht="11.25" customHeight="1">
      <c r="A99" s="117" t="s">
        <v>146</v>
      </c>
      <c r="B99" s="109"/>
      <c r="C99" s="140"/>
      <c r="D99" s="109"/>
      <c r="E99" s="67">
        <v>9342</v>
      </c>
      <c r="F99" s="114"/>
      <c r="G99" s="83">
        <f>ROUND(0.104*E99,3-LEN(INT(0.104*E99)))</f>
        <v>972</v>
      </c>
      <c r="H99" s="114"/>
      <c r="I99" s="175" t="s">
        <v>254</v>
      </c>
      <c r="J99" s="176"/>
      <c r="K99" s="176"/>
      <c r="L99" s="176"/>
      <c r="M99" s="176"/>
      <c r="N99" s="176"/>
    </row>
    <row r="100" spans="1:14" ht="11.25" customHeight="1">
      <c r="A100" s="109" t="s">
        <v>255</v>
      </c>
      <c r="B100" s="109"/>
      <c r="C100" s="140"/>
      <c r="D100" s="103"/>
      <c r="E100" s="62"/>
      <c r="F100" s="116"/>
      <c r="G100" s="72"/>
      <c r="H100" s="116"/>
      <c r="I100" s="173"/>
      <c r="J100" s="174"/>
      <c r="K100" s="174"/>
      <c r="L100" s="174"/>
      <c r="M100" s="174"/>
      <c r="N100" s="174"/>
    </row>
    <row r="101" spans="1:14" ht="11.25" customHeight="1">
      <c r="A101" s="113" t="s">
        <v>184</v>
      </c>
      <c r="B101" s="109"/>
      <c r="C101" s="140"/>
      <c r="D101" s="102"/>
      <c r="E101" s="67">
        <v>1649</v>
      </c>
      <c r="F101" s="114"/>
      <c r="G101" s="83">
        <f>ROUND(0.5*E101,3-LEN(INT(0.5*E101)))</f>
        <v>825</v>
      </c>
      <c r="H101" s="114"/>
      <c r="I101" s="177" t="s">
        <v>256</v>
      </c>
      <c r="J101" s="154"/>
      <c r="K101" s="154"/>
      <c r="L101" s="154"/>
      <c r="M101" s="154"/>
      <c r="N101" s="154"/>
    </row>
    <row r="102" spans="1:14" ht="11.25" customHeight="1">
      <c r="A102" s="113" t="s">
        <v>257</v>
      </c>
      <c r="B102" s="109"/>
      <c r="C102" s="140"/>
      <c r="D102" s="103"/>
      <c r="E102" s="62"/>
      <c r="F102" s="116"/>
      <c r="G102" s="72"/>
      <c r="H102" s="116"/>
      <c r="I102" s="173"/>
      <c r="J102" s="174"/>
      <c r="K102" s="174"/>
      <c r="L102" s="174"/>
      <c r="M102" s="174"/>
      <c r="N102" s="174"/>
    </row>
    <row r="103" spans="1:14" ht="11.25" customHeight="1">
      <c r="A103" s="117" t="s">
        <v>258</v>
      </c>
      <c r="B103" s="109"/>
      <c r="C103" s="140" t="s">
        <v>1033</v>
      </c>
      <c r="D103" s="102"/>
      <c r="E103" s="67">
        <v>38394</v>
      </c>
      <c r="F103" s="114"/>
      <c r="G103" s="83">
        <f>ROUND(0.148*E103,3-LEN(INT(0.148*E103)))</f>
        <v>5680</v>
      </c>
      <c r="H103" s="114"/>
      <c r="I103" s="177" t="s">
        <v>259</v>
      </c>
      <c r="J103" s="154"/>
      <c r="K103" s="154"/>
      <c r="L103" s="154"/>
      <c r="M103" s="154"/>
      <c r="N103" s="154"/>
    </row>
    <row r="104" spans="1:14" ht="11.25" customHeight="1">
      <c r="A104" s="117" t="s">
        <v>260</v>
      </c>
      <c r="B104" s="109"/>
      <c r="C104" s="140" t="s">
        <v>754</v>
      </c>
      <c r="D104" s="109"/>
      <c r="E104" s="67">
        <v>16639</v>
      </c>
      <c r="F104" s="114"/>
      <c r="G104" s="83">
        <f>ROUND(0.265*E104,3-LEN(INT(0.265*E104)))</f>
        <v>4410</v>
      </c>
      <c r="H104" s="114"/>
      <c r="I104" s="175" t="s">
        <v>261</v>
      </c>
      <c r="J104" s="176"/>
      <c r="K104" s="176"/>
      <c r="L104" s="176"/>
      <c r="M104" s="176"/>
      <c r="N104" s="176"/>
    </row>
    <row r="105" spans="1:14" ht="11.25" customHeight="1">
      <c r="A105" s="120" t="s">
        <v>262</v>
      </c>
      <c r="B105" s="103"/>
      <c r="C105" s="143" t="s">
        <v>754</v>
      </c>
      <c r="D105" s="99"/>
      <c r="E105" s="62">
        <v>4681</v>
      </c>
      <c r="F105" s="116"/>
      <c r="G105" s="83">
        <f>ROUND(0.155*E105,3-LEN(INT(0.155*E105)))</f>
        <v>726</v>
      </c>
      <c r="H105" s="116"/>
      <c r="I105" s="173" t="s">
        <v>263</v>
      </c>
      <c r="J105" s="174"/>
      <c r="K105" s="174"/>
      <c r="L105" s="174"/>
      <c r="M105" s="174"/>
      <c r="N105" s="174"/>
    </row>
    <row r="106" spans="1:14" ht="11.25" customHeight="1">
      <c r="A106" s="117" t="s">
        <v>264</v>
      </c>
      <c r="B106" s="109"/>
      <c r="C106" s="140" t="s">
        <v>754</v>
      </c>
      <c r="D106" s="109"/>
      <c r="E106" s="121">
        <v>9034</v>
      </c>
      <c r="F106" s="122"/>
      <c r="G106" s="83">
        <f>ROUND(0.683*E106,3-LEN(INT(0.683*E106)))</f>
        <v>6170</v>
      </c>
      <c r="H106" s="122"/>
      <c r="I106" s="175" t="s">
        <v>265</v>
      </c>
      <c r="J106" s="176"/>
      <c r="K106" s="176"/>
      <c r="L106" s="176"/>
      <c r="M106" s="176"/>
      <c r="N106" s="176"/>
    </row>
    <row r="107" spans="1:14" ht="11.25" customHeight="1">
      <c r="A107" s="102" t="s">
        <v>266</v>
      </c>
      <c r="B107" s="102"/>
      <c r="C107" s="142"/>
      <c r="D107" s="99"/>
      <c r="E107" s="62"/>
      <c r="F107" s="116"/>
      <c r="G107" s="72"/>
      <c r="H107" s="116"/>
      <c r="I107" s="151"/>
      <c r="J107" s="152"/>
      <c r="K107" s="152"/>
      <c r="L107" s="152"/>
      <c r="M107" s="152"/>
      <c r="N107" s="152"/>
    </row>
    <row r="108" spans="1:14" ht="11.25" customHeight="1">
      <c r="A108" s="113" t="s">
        <v>267</v>
      </c>
      <c r="B108" s="109"/>
      <c r="C108" s="140"/>
      <c r="D108" s="102"/>
      <c r="E108" s="67">
        <v>1</v>
      </c>
      <c r="F108" s="114"/>
      <c r="G108" s="83" t="s">
        <v>1018</v>
      </c>
      <c r="H108" s="114"/>
      <c r="I108" s="177" t="s">
        <v>268</v>
      </c>
      <c r="J108" s="154"/>
      <c r="K108" s="154"/>
      <c r="L108" s="154"/>
      <c r="M108" s="154"/>
      <c r="N108" s="154"/>
    </row>
    <row r="109" spans="1:14" ht="11.25" customHeight="1">
      <c r="A109" s="113" t="s">
        <v>269</v>
      </c>
      <c r="B109" s="109"/>
      <c r="C109" s="140"/>
      <c r="D109" s="109"/>
      <c r="E109" s="67">
        <v>123</v>
      </c>
      <c r="F109" s="114"/>
      <c r="G109" s="83" t="s">
        <v>1018</v>
      </c>
      <c r="H109" s="114"/>
      <c r="I109" s="175" t="s">
        <v>270</v>
      </c>
      <c r="J109" s="176"/>
      <c r="K109" s="176"/>
      <c r="L109" s="176"/>
      <c r="M109" s="176"/>
      <c r="N109" s="176"/>
    </row>
    <row r="110" spans="1:14" ht="11.25" customHeight="1">
      <c r="A110" s="109" t="s">
        <v>271</v>
      </c>
      <c r="B110" s="109"/>
      <c r="C110" s="140"/>
      <c r="D110" s="109"/>
      <c r="E110" s="67">
        <v>205</v>
      </c>
      <c r="F110" s="114"/>
      <c r="G110" s="83">
        <f>ROUND(0.174*E110,3-LEN(INT(0.174*E110)))</f>
        <v>35.7</v>
      </c>
      <c r="H110" s="114"/>
      <c r="I110" s="175" t="s">
        <v>272</v>
      </c>
      <c r="J110" s="176"/>
      <c r="K110" s="176"/>
      <c r="L110" s="176"/>
      <c r="M110" s="176"/>
      <c r="N110" s="176"/>
    </row>
    <row r="111" spans="1:14" ht="11.25" customHeight="1">
      <c r="A111" s="109" t="s">
        <v>273</v>
      </c>
      <c r="B111" s="109"/>
      <c r="C111" s="140"/>
      <c r="D111" s="103"/>
      <c r="E111" s="62"/>
      <c r="F111" s="116"/>
      <c r="G111" s="72"/>
      <c r="H111" s="116"/>
      <c r="I111" s="173"/>
      <c r="J111" s="174"/>
      <c r="K111" s="174"/>
      <c r="L111" s="174"/>
      <c r="M111" s="174"/>
      <c r="N111" s="174"/>
    </row>
    <row r="112" spans="1:14" ht="11.25" customHeight="1">
      <c r="A112" s="113" t="s">
        <v>267</v>
      </c>
      <c r="B112" s="109"/>
      <c r="C112" s="140"/>
      <c r="D112" s="102"/>
      <c r="E112" s="70">
        <v>1583</v>
      </c>
      <c r="F112" s="114"/>
      <c r="G112" s="83" t="s">
        <v>1018</v>
      </c>
      <c r="H112" s="115"/>
      <c r="I112" s="177" t="s">
        <v>274</v>
      </c>
      <c r="J112" s="154"/>
      <c r="K112" s="154"/>
      <c r="L112" s="154"/>
      <c r="M112" s="154"/>
      <c r="N112" s="154"/>
    </row>
    <row r="113" spans="1:14" ht="11.25" customHeight="1">
      <c r="A113" s="113" t="s">
        <v>275</v>
      </c>
      <c r="B113" s="109"/>
      <c r="C113" s="140" t="s">
        <v>1033</v>
      </c>
      <c r="D113" s="109"/>
      <c r="E113" s="67">
        <v>58454</v>
      </c>
      <c r="F113" s="114"/>
      <c r="G113" s="83">
        <f>ROUND(0.052*E113,3-LEN(INT(0.052*E113)))</f>
        <v>3040</v>
      </c>
      <c r="H113" s="114"/>
      <c r="I113" s="175" t="s">
        <v>276</v>
      </c>
      <c r="J113" s="176"/>
      <c r="K113" s="176"/>
      <c r="L113" s="176"/>
      <c r="M113" s="176"/>
      <c r="N113" s="176"/>
    </row>
    <row r="114" spans="1:14" ht="11.25" customHeight="1">
      <c r="A114" s="109" t="s">
        <v>277</v>
      </c>
      <c r="B114" s="109"/>
      <c r="C114" s="140"/>
      <c r="D114" s="103"/>
      <c r="E114" s="62"/>
      <c r="F114" s="116"/>
      <c r="G114" s="72"/>
      <c r="H114" s="116"/>
      <c r="I114" s="173"/>
      <c r="J114" s="174"/>
      <c r="K114" s="174"/>
      <c r="L114" s="174"/>
      <c r="M114" s="174"/>
      <c r="N114" s="174"/>
    </row>
    <row r="115" spans="1:14" ht="11.25" customHeight="1">
      <c r="A115" s="113" t="s">
        <v>149</v>
      </c>
      <c r="B115" s="109"/>
      <c r="C115" s="140"/>
      <c r="D115" s="102"/>
      <c r="E115" s="70">
        <v>163</v>
      </c>
      <c r="F115" s="114"/>
      <c r="G115" s="83" t="s">
        <v>1018</v>
      </c>
      <c r="H115" s="115"/>
      <c r="I115" s="177" t="s">
        <v>278</v>
      </c>
      <c r="J115" s="154"/>
      <c r="K115" s="154"/>
      <c r="L115" s="154"/>
      <c r="M115" s="154"/>
      <c r="N115" s="154"/>
    </row>
    <row r="116" spans="1:14" ht="11.25" customHeight="1">
      <c r="A116" s="113" t="s">
        <v>279</v>
      </c>
      <c r="B116" s="109"/>
      <c r="C116" s="140"/>
      <c r="D116" s="109"/>
      <c r="E116" s="67">
        <v>764</v>
      </c>
      <c r="F116" s="114"/>
      <c r="G116" s="83" t="s">
        <v>1018</v>
      </c>
      <c r="H116" s="114"/>
      <c r="I116" s="175" t="s">
        <v>280</v>
      </c>
      <c r="J116" s="176"/>
      <c r="K116" s="176"/>
      <c r="L116" s="176"/>
      <c r="M116" s="176"/>
      <c r="N116" s="176"/>
    </row>
    <row r="117" spans="1:14" ht="11.25" customHeight="1">
      <c r="A117" s="113" t="s">
        <v>281</v>
      </c>
      <c r="B117" s="109"/>
      <c r="C117" s="140"/>
      <c r="D117" s="109"/>
      <c r="E117" s="67">
        <v>1672</v>
      </c>
      <c r="F117" s="114"/>
      <c r="G117" s="83" t="s">
        <v>1018</v>
      </c>
      <c r="H117" s="114"/>
      <c r="I117" s="175" t="s">
        <v>282</v>
      </c>
      <c r="J117" s="176"/>
      <c r="K117" s="176"/>
      <c r="L117" s="176"/>
      <c r="M117" s="176"/>
      <c r="N117" s="176"/>
    </row>
    <row r="118" spans="1:14" ht="11.25" customHeight="1">
      <c r="A118" s="113" t="s">
        <v>146</v>
      </c>
      <c r="B118" s="109"/>
      <c r="C118" s="140"/>
      <c r="D118" s="109"/>
      <c r="E118" s="67">
        <v>701</v>
      </c>
      <c r="F118" s="114"/>
      <c r="G118" s="83" t="s">
        <v>1018</v>
      </c>
      <c r="H118" s="114"/>
      <c r="I118" s="175" t="s">
        <v>283</v>
      </c>
      <c r="J118" s="176"/>
      <c r="K118" s="176"/>
      <c r="L118" s="176"/>
      <c r="M118" s="176"/>
      <c r="N118" s="176"/>
    </row>
    <row r="119" spans="1:14" ht="11.25" customHeight="1">
      <c r="A119" s="109" t="s">
        <v>284</v>
      </c>
      <c r="B119" s="109"/>
      <c r="C119" s="140"/>
      <c r="D119" s="109"/>
      <c r="E119" s="67">
        <v>607</v>
      </c>
      <c r="F119" s="114"/>
      <c r="G119" s="83" t="s">
        <v>1018</v>
      </c>
      <c r="H119" s="114"/>
      <c r="I119" s="175" t="s">
        <v>285</v>
      </c>
      <c r="J119" s="176"/>
      <c r="K119" s="176"/>
      <c r="L119" s="176"/>
      <c r="M119" s="176"/>
      <c r="N119" s="176"/>
    </row>
    <row r="120" spans="1:14" ht="11.25" customHeight="1">
      <c r="A120" s="109" t="s">
        <v>286</v>
      </c>
      <c r="B120" s="109"/>
      <c r="C120" s="140"/>
      <c r="D120" s="99"/>
      <c r="E120" s="62"/>
      <c r="F120" s="116"/>
      <c r="G120" s="72"/>
      <c r="H120" s="116"/>
      <c r="I120" s="151"/>
      <c r="J120" s="152"/>
      <c r="K120" s="152"/>
      <c r="L120" s="152"/>
      <c r="M120" s="152"/>
      <c r="N120" s="152"/>
    </row>
    <row r="121" spans="1:14" ht="11.25" customHeight="1">
      <c r="A121" s="113" t="s">
        <v>149</v>
      </c>
      <c r="B121" s="109"/>
      <c r="C121" s="140"/>
      <c r="D121" s="102"/>
      <c r="E121" s="67">
        <v>43</v>
      </c>
      <c r="F121" s="114"/>
      <c r="G121" s="83" t="s">
        <v>1018</v>
      </c>
      <c r="H121" s="114"/>
      <c r="I121" s="177" t="s">
        <v>287</v>
      </c>
      <c r="J121" s="154"/>
      <c r="K121" s="154"/>
      <c r="L121" s="154"/>
      <c r="M121" s="154"/>
      <c r="N121" s="154"/>
    </row>
    <row r="122" spans="1:14" ht="11.25" customHeight="1">
      <c r="A122" s="113" t="s">
        <v>140</v>
      </c>
      <c r="B122" s="109"/>
      <c r="C122" s="140"/>
      <c r="D122" s="99"/>
      <c r="E122" s="62"/>
      <c r="F122" s="116"/>
      <c r="G122" s="72"/>
      <c r="H122" s="116"/>
      <c r="I122" s="173"/>
      <c r="J122" s="174"/>
      <c r="K122" s="174"/>
      <c r="L122" s="174"/>
      <c r="M122" s="174"/>
      <c r="N122" s="174"/>
    </row>
    <row r="123" spans="1:14" ht="11.25" customHeight="1">
      <c r="A123" s="117" t="s">
        <v>267</v>
      </c>
      <c r="B123" s="109"/>
      <c r="C123" s="140"/>
      <c r="D123" s="102"/>
      <c r="E123" s="67">
        <v>915</v>
      </c>
      <c r="F123" s="114"/>
      <c r="G123" s="83" t="s">
        <v>1018</v>
      </c>
      <c r="H123" s="114"/>
      <c r="I123" s="177" t="s">
        <v>288</v>
      </c>
      <c r="J123" s="154"/>
      <c r="K123" s="154"/>
      <c r="L123" s="154"/>
      <c r="M123" s="154"/>
      <c r="N123" s="154"/>
    </row>
    <row r="124" spans="1:14" ht="11.25" customHeight="1">
      <c r="A124" s="117" t="s">
        <v>146</v>
      </c>
      <c r="B124" s="109"/>
      <c r="C124" s="140"/>
      <c r="D124" s="109"/>
      <c r="E124" s="67">
        <v>2894</v>
      </c>
      <c r="F124" s="114"/>
      <c r="G124" s="83">
        <f>ROUND(0.297*E124,3-LEN(INT(0.297*E124)))</f>
        <v>860</v>
      </c>
      <c r="H124" s="114"/>
      <c r="I124" s="175" t="s">
        <v>289</v>
      </c>
      <c r="J124" s="176"/>
      <c r="K124" s="176"/>
      <c r="L124" s="176"/>
      <c r="M124" s="176"/>
      <c r="N124" s="176"/>
    </row>
    <row r="125" spans="1:14" ht="11.25" customHeight="1">
      <c r="A125" s="117" t="s">
        <v>290</v>
      </c>
      <c r="B125" s="109"/>
      <c r="C125" s="140"/>
      <c r="D125" s="102"/>
      <c r="E125" s="67">
        <v>2753</v>
      </c>
      <c r="F125" s="114"/>
      <c r="G125" s="83" t="s">
        <v>1018</v>
      </c>
      <c r="H125" s="114"/>
      <c r="I125" s="175" t="s">
        <v>288</v>
      </c>
      <c r="J125" s="176"/>
      <c r="K125" s="176"/>
      <c r="L125" s="176"/>
      <c r="M125" s="176"/>
      <c r="N125" s="176"/>
    </row>
    <row r="126" spans="1:14" ht="11.25" customHeight="1">
      <c r="A126" s="180" t="s">
        <v>765</v>
      </c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</row>
    <row r="127" spans="1:14" ht="11.25" customHeight="1">
      <c r="A127" s="182" t="s">
        <v>215</v>
      </c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</row>
    <row r="128" spans="1:14" ht="11.25" customHeight="1">
      <c r="A128" s="172" t="s">
        <v>418</v>
      </c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</row>
    <row r="129" spans="1:14" ht="11.25" customHeight="1">
      <c r="A129" s="172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</row>
    <row r="130" spans="1:14" ht="11.25" customHeight="1">
      <c r="A130" s="172" t="s">
        <v>1004</v>
      </c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</row>
    <row r="131" spans="1:14" ht="11.25" customHeight="1">
      <c r="A131" s="153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</row>
    <row r="132" spans="1:14" ht="11.25" customHeight="1">
      <c r="A132" s="180"/>
      <c r="B132" s="180"/>
      <c r="C132" s="180"/>
      <c r="D132" s="99"/>
      <c r="E132" s="100"/>
      <c r="F132" s="104"/>
      <c r="G132" s="179" t="s">
        <v>419</v>
      </c>
      <c r="H132" s="179"/>
      <c r="I132" s="179"/>
      <c r="J132" s="179"/>
      <c r="K132" s="179"/>
      <c r="L132" s="179"/>
      <c r="M132" s="179"/>
      <c r="N132" s="179"/>
    </row>
    <row r="133" spans="1:14" ht="11.25" customHeight="1">
      <c r="A133" s="153" t="s">
        <v>713</v>
      </c>
      <c r="B133" s="153"/>
      <c r="C133" s="153"/>
      <c r="D133" s="102"/>
      <c r="E133" s="105" t="s">
        <v>1017</v>
      </c>
      <c r="F133" s="106"/>
      <c r="G133" s="105" t="s">
        <v>131</v>
      </c>
      <c r="H133" s="106"/>
      <c r="I133" s="179" t="s">
        <v>420</v>
      </c>
      <c r="J133" s="179"/>
      <c r="K133" s="179"/>
      <c r="L133" s="179"/>
      <c r="M133" s="179"/>
      <c r="N133" s="179"/>
    </row>
    <row r="134" spans="1:14" ht="11.25" customHeight="1">
      <c r="A134" s="150" t="s">
        <v>216</v>
      </c>
      <c r="B134" s="150"/>
      <c r="C134" s="150"/>
      <c r="D134" s="103"/>
      <c r="E134" s="107"/>
      <c r="F134" s="108"/>
      <c r="G134" s="107"/>
      <c r="H134" s="108"/>
      <c r="I134" s="173"/>
      <c r="J134" s="173"/>
      <c r="K134" s="173"/>
      <c r="L134" s="173"/>
      <c r="M134" s="173"/>
      <c r="N134" s="173"/>
    </row>
    <row r="135" spans="1:14" ht="11.25" customHeight="1">
      <c r="A135" s="109" t="s">
        <v>291</v>
      </c>
      <c r="B135" s="109"/>
      <c r="C135" s="140"/>
      <c r="D135" s="109"/>
      <c r="E135" s="67">
        <v>1216</v>
      </c>
      <c r="F135" s="114"/>
      <c r="G135" s="83" t="s">
        <v>1018</v>
      </c>
      <c r="H135" s="114"/>
      <c r="I135" s="177" t="s">
        <v>288</v>
      </c>
      <c r="J135" s="154"/>
      <c r="K135" s="154"/>
      <c r="L135" s="154"/>
      <c r="M135" s="154"/>
      <c r="N135" s="154"/>
    </row>
    <row r="136" spans="1:14" ht="11.25" customHeight="1">
      <c r="A136" s="109" t="s">
        <v>292</v>
      </c>
      <c r="B136" s="109"/>
      <c r="C136" s="140"/>
      <c r="D136" s="99"/>
      <c r="E136" s="62"/>
      <c r="F136" s="116"/>
      <c r="G136" s="72"/>
      <c r="H136" s="116"/>
      <c r="I136" s="173"/>
      <c r="J136" s="174"/>
      <c r="K136" s="174"/>
      <c r="L136" s="174"/>
      <c r="M136" s="174"/>
      <c r="N136" s="174"/>
    </row>
    <row r="137" spans="1:14" ht="11.25" customHeight="1">
      <c r="A137" s="113" t="s">
        <v>149</v>
      </c>
      <c r="B137" s="109"/>
      <c r="C137" s="140"/>
      <c r="D137" s="102"/>
      <c r="E137" s="67">
        <v>7257</v>
      </c>
      <c r="F137" s="114"/>
      <c r="G137" s="83" t="s">
        <v>1018</v>
      </c>
      <c r="H137" s="114"/>
      <c r="I137" s="177" t="s">
        <v>293</v>
      </c>
      <c r="J137" s="154"/>
      <c r="K137" s="154"/>
      <c r="L137" s="154"/>
      <c r="M137" s="154"/>
      <c r="N137" s="154"/>
    </row>
    <row r="138" spans="1:14" ht="11.25" customHeight="1">
      <c r="A138" s="113" t="s">
        <v>294</v>
      </c>
      <c r="B138" s="109"/>
      <c r="C138" s="140"/>
      <c r="D138" s="109"/>
      <c r="E138" s="67">
        <v>8875</v>
      </c>
      <c r="F138" s="114"/>
      <c r="G138" s="83" t="s">
        <v>1018</v>
      </c>
      <c r="H138" s="114"/>
      <c r="I138" s="175" t="s">
        <v>295</v>
      </c>
      <c r="J138" s="176"/>
      <c r="K138" s="176"/>
      <c r="L138" s="176"/>
      <c r="M138" s="176"/>
      <c r="N138" s="176"/>
    </row>
    <row r="139" spans="1:14" ht="11.25" customHeight="1">
      <c r="A139" s="113" t="s">
        <v>296</v>
      </c>
      <c r="B139" s="109"/>
      <c r="C139" s="140"/>
      <c r="D139" s="109"/>
      <c r="E139" s="67">
        <v>5211</v>
      </c>
      <c r="F139" s="114"/>
      <c r="G139" s="83">
        <f>ROUND(0.106*E139,3-LEN(INT(0.106*E139)))</f>
        <v>552</v>
      </c>
      <c r="H139" s="114"/>
      <c r="I139" s="175" t="s">
        <v>297</v>
      </c>
      <c r="J139" s="176"/>
      <c r="K139" s="176"/>
      <c r="L139" s="176"/>
      <c r="M139" s="176"/>
      <c r="N139" s="176"/>
    </row>
    <row r="140" spans="1:14" ht="11.25" customHeight="1">
      <c r="A140" s="113" t="s">
        <v>298</v>
      </c>
      <c r="B140" s="109"/>
      <c r="C140" s="140"/>
      <c r="D140" s="109"/>
      <c r="E140" s="67">
        <v>36331</v>
      </c>
      <c r="F140" s="114"/>
      <c r="G140" s="83" t="s">
        <v>1018</v>
      </c>
      <c r="H140" s="114"/>
      <c r="I140" s="175" t="s">
        <v>299</v>
      </c>
      <c r="J140" s="176"/>
      <c r="K140" s="176"/>
      <c r="L140" s="176"/>
      <c r="M140" s="176"/>
      <c r="N140" s="176"/>
    </row>
    <row r="141" spans="1:14" ht="11.25" customHeight="1">
      <c r="A141" s="113" t="s">
        <v>140</v>
      </c>
      <c r="B141" s="109"/>
      <c r="C141" s="140"/>
      <c r="D141" s="99"/>
      <c r="E141" s="62"/>
      <c r="F141" s="116"/>
      <c r="G141" s="72"/>
      <c r="H141" s="116"/>
      <c r="I141" s="173"/>
      <c r="J141" s="174"/>
      <c r="K141" s="174"/>
      <c r="L141" s="174"/>
      <c r="M141" s="174"/>
      <c r="N141" s="174"/>
    </row>
    <row r="142" spans="1:14" ht="11.25" customHeight="1">
      <c r="A142" s="65" t="s">
        <v>175</v>
      </c>
      <c r="B142" s="50"/>
      <c r="C142" s="141"/>
      <c r="D142" s="48"/>
      <c r="E142" s="67">
        <v>30115</v>
      </c>
      <c r="F142" s="114"/>
      <c r="G142" s="83" t="s">
        <v>1018</v>
      </c>
      <c r="H142" s="114"/>
      <c r="I142" s="177" t="s">
        <v>300</v>
      </c>
      <c r="J142" s="154"/>
      <c r="K142" s="154"/>
      <c r="L142" s="154"/>
      <c r="M142" s="154"/>
      <c r="N142" s="154"/>
    </row>
    <row r="143" spans="1:14" ht="11.25" customHeight="1">
      <c r="A143" s="117" t="s">
        <v>252</v>
      </c>
      <c r="B143" s="109"/>
      <c r="C143" s="140"/>
      <c r="D143" s="109"/>
      <c r="E143" s="67">
        <v>81664</v>
      </c>
      <c r="F143" s="114"/>
      <c r="G143" s="83" t="s">
        <v>1018</v>
      </c>
      <c r="H143" s="114"/>
      <c r="I143" s="175" t="s">
        <v>301</v>
      </c>
      <c r="J143" s="176"/>
      <c r="K143" s="176"/>
      <c r="L143" s="176"/>
      <c r="M143" s="176"/>
      <c r="N143" s="176"/>
    </row>
    <row r="144" spans="1:14" ht="11.25" customHeight="1">
      <c r="A144" s="117" t="s">
        <v>146</v>
      </c>
      <c r="B144" s="109"/>
      <c r="C144" s="140"/>
      <c r="D144" s="109"/>
      <c r="E144" s="67">
        <v>55913</v>
      </c>
      <c r="F144" s="114"/>
      <c r="G144" s="83" t="s">
        <v>1018</v>
      </c>
      <c r="H144" s="114"/>
      <c r="I144" s="175" t="s">
        <v>302</v>
      </c>
      <c r="J144" s="176"/>
      <c r="K144" s="176"/>
      <c r="L144" s="176"/>
      <c r="M144" s="176"/>
      <c r="N144" s="176"/>
    </row>
    <row r="145" spans="1:14" ht="11.25" customHeight="1">
      <c r="A145" s="109" t="s">
        <v>303</v>
      </c>
      <c r="B145" s="109"/>
      <c r="C145" s="140"/>
      <c r="D145" s="103"/>
      <c r="E145" s="62"/>
      <c r="F145" s="116"/>
      <c r="G145" s="72"/>
      <c r="H145" s="116"/>
      <c r="I145" s="173"/>
      <c r="J145" s="174"/>
      <c r="K145" s="174"/>
      <c r="L145" s="174"/>
      <c r="M145" s="174"/>
      <c r="N145" s="174"/>
    </row>
    <row r="146" spans="1:14" ht="11.25" customHeight="1">
      <c r="A146" s="113" t="s">
        <v>149</v>
      </c>
      <c r="B146" s="109"/>
      <c r="C146" s="140"/>
      <c r="D146" s="102"/>
      <c r="E146" s="67">
        <v>5044</v>
      </c>
      <c r="F146" s="114"/>
      <c r="G146" s="83" t="s">
        <v>1018</v>
      </c>
      <c r="H146" s="114"/>
      <c r="I146" s="177" t="s">
        <v>304</v>
      </c>
      <c r="J146" s="154"/>
      <c r="K146" s="154"/>
      <c r="L146" s="154"/>
      <c r="M146" s="154"/>
      <c r="N146" s="154"/>
    </row>
    <row r="147" spans="1:14" ht="11.25" customHeight="1">
      <c r="A147" s="113" t="s">
        <v>281</v>
      </c>
      <c r="B147" s="109"/>
      <c r="C147" s="140"/>
      <c r="D147" s="103"/>
      <c r="E147" s="67">
        <v>38</v>
      </c>
      <c r="F147" s="114"/>
      <c r="G147" s="83">
        <f>ROUND(0.427*E147,3-LEN(INT(0.427*E147)))</f>
        <v>16.2</v>
      </c>
      <c r="H147" s="114"/>
      <c r="I147" s="175" t="s">
        <v>305</v>
      </c>
      <c r="J147" s="176"/>
      <c r="K147" s="176"/>
      <c r="L147" s="176"/>
      <c r="M147" s="176"/>
      <c r="N147" s="176"/>
    </row>
    <row r="148" spans="1:14" ht="11.25" customHeight="1">
      <c r="A148" s="150" t="s">
        <v>1037</v>
      </c>
      <c r="B148" s="150"/>
      <c r="C148" s="150"/>
      <c r="D148" s="103"/>
      <c r="E148" s="62"/>
      <c r="F148" s="116"/>
      <c r="G148" s="72"/>
      <c r="H148" s="116"/>
      <c r="I148" s="173"/>
      <c r="J148" s="174"/>
      <c r="K148" s="174"/>
      <c r="L148" s="174"/>
      <c r="M148" s="174"/>
      <c r="N148" s="174"/>
    </row>
    <row r="149" spans="1:14" ht="11.25" customHeight="1">
      <c r="A149" s="109" t="s">
        <v>306</v>
      </c>
      <c r="B149" s="109"/>
      <c r="C149" s="140"/>
      <c r="D149" s="99"/>
      <c r="E149" s="62"/>
      <c r="F149" s="116"/>
      <c r="G149" s="72"/>
      <c r="H149" s="116"/>
      <c r="I149" s="151"/>
      <c r="J149" s="152"/>
      <c r="K149" s="152"/>
      <c r="L149" s="152"/>
      <c r="M149" s="152"/>
      <c r="N149" s="152"/>
    </row>
    <row r="150" spans="1:14" ht="11.25" customHeight="1">
      <c r="A150" s="113" t="s">
        <v>307</v>
      </c>
      <c r="B150" s="113"/>
      <c r="C150" s="140"/>
      <c r="D150" s="102"/>
      <c r="E150" s="67">
        <v>4546</v>
      </c>
      <c r="F150" s="114"/>
      <c r="G150" s="83" t="s">
        <v>1018</v>
      </c>
      <c r="H150" s="114"/>
      <c r="I150" s="177" t="s">
        <v>308</v>
      </c>
      <c r="J150" s="154"/>
      <c r="K150" s="154"/>
      <c r="L150" s="154"/>
      <c r="M150" s="154"/>
      <c r="N150" s="154"/>
    </row>
    <row r="151" spans="1:14" ht="11.25" customHeight="1">
      <c r="A151" s="113" t="s">
        <v>309</v>
      </c>
      <c r="B151" s="113"/>
      <c r="C151" s="140"/>
      <c r="D151" s="109"/>
      <c r="E151" s="67">
        <v>102274</v>
      </c>
      <c r="F151" s="114"/>
      <c r="G151" s="83" t="s">
        <v>1018</v>
      </c>
      <c r="H151" s="114"/>
      <c r="I151" s="175" t="s">
        <v>310</v>
      </c>
      <c r="J151" s="176"/>
      <c r="K151" s="176"/>
      <c r="L151" s="176"/>
      <c r="M151" s="176"/>
      <c r="N151" s="176"/>
    </row>
    <row r="152" spans="1:14" ht="11.25" customHeight="1">
      <c r="A152" s="109" t="s">
        <v>311</v>
      </c>
      <c r="B152" s="109"/>
      <c r="C152" s="140"/>
      <c r="D152" s="109"/>
      <c r="E152" s="70" t="s">
        <v>312</v>
      </c>
      <c r="F152" s="114"/>
      <c r="G152" s="123">
        <v>1</v>
      </c>
      <c r="H152" s="114"/>
      <c r="I152" s="183" t="s">
        <v>1018</v>
      </c>
      <c r="J152" s="176"/>
      <c r="K152" s="176"/>
      <c r="L152" s="176"/>
      <c r="M152" s="176"/>
      <c r="N152" s="176"/>
    </row>
    <row r="153" spans="1:14" ht="11.25" customHeight="1">
      <c r="A153" s="109" t="s">
        <v>313</v>
      </c>
      <c r="B153" s="109"/>
      <c r="C153" s="140"/>
      <c r="D153" s="109"/>
      <c r="E153" s="67">
        <v>32375</v>
      </c>
      <c r="F153" s="114"/>
      <c r="G153" s="83" t="s">
        <v>1018</v>
      </c>
      <c r="H153" s="114"/>
      <c r="I153" s="175" t="s">
        <v>288</v>
      </c>
      <c r="J153" s="176"/>
      <c r="K153" s="176"/>
      <c r="L153" s="176"/>
      <c r="M153" s="176"/>
      <c r="N153" s="176"/>
    </row>
    <row r="154" spans="1:14" ht="11.25" customHeight="1">
      <c r="A154" s="109" t="s">
        <v>314</v>
      </c>
      <c r="B154" s="109"/>
      <c r="C154" s="140"/>
      <c r="D154" s="102"/>
      <c r="E154" s="67">
        <v>30</v>
      </c>
      <c r="F154" s="114"/>
      <c r="G154" s="83" t="s">
        <v>1018</v>
      </c>
      <c r="H154" s="114"/>
      <c r="I154" s="175" t="s">
        <v>315</v>
      </c>
      <c r="J154" s="176"/>
      <c r="K154" s="176"/>
      <c r="L154" s="176"/>
      <c r="M154" s="176"/>
      <c r="N154" s="176"/>
    </row>
    <row r="155" spans="1:14" ht="11.25" customHeight="1">
      <c r="A155" s="109" t="s">
        <v>747</v>
      </c>
      <c r="B155" s="109"/>
      <c r="C155" s="140" t="s">
        <v>1012</v>
      </c>
      <c r="D155" s="109"/>
      <c r="E155" s="67">
        <v>6238</v>
      </c>
      <c r="F155" s="114"/>
      <c r="G155" s="83" t="s">
        <v>1018</v>
      </c>
      <c r="H155" s="114"/>
      <c r="I155" s="175" t="s">
        <v>316</v>
      </c>
      <c r="J155" s="176"/>
      <c r="K155" s="176"/>
      <c r="L155" s="176"/>
      <c r="M155" s="176"/>
      <c r="N155" s="176"/>
    </row>
    <row r="156" spans="1:14" ht="11.25" customHeight="1">
      <c r="A156" s="109" t="s">
        <v>317</v>
      </c>
      <c r="B156" s="109"/>
      <c r="C156" s="140"/>
      <c r="D156" s="109"/>
      <c r="E156" s="67">
        <v>137812</v>
      </c>
      <c r="F156" s="114"/>
      <c r="G156" s="83" t="s">
        <v>1018</v>
      </c>
      <c r="H156" s="114"/>
      <c r="I156" s="175" t="s">
        <v>318</v>
      </c>
      <c r="J156" s="176"/>
      <c r="K156" s="176"/>
      <c r="L156" s="176"/>
      <c r="M156" s="176"/>
      <c r="N156" s="176"/>
    </row>
    <row r="157" spans="1:14" ht="11.25" customHeight="1">
      <c r="A157" s="109" t="s">
        <v>319</v>
      </c>
      <c r="B157" s="109"/>
      <c r="C157" s="140"/>
      <c r="D157" s="99"/>
      <c r="E157" s="62"/>
      <c r="F157" s="116"/>
      <c r="G157" s="72"/>
      <c r="H157" s="116"/>
      <c r="I157" s="173"/>
      <c r="J157" s="174"/>
      <c r="K157" s="174"/>
      <c r="L157" s="174"/>
      <c r="M157" s="174"/>
      <c r="N157" s="174"/>
    </row>
    <row r="158" spans="1:14" ht="11.25" customHeight="1">
      <c r="A158" s="113" t="s">
        <v>742</v>
      </c>
      <c r="B158" s="109"/>
      <c r="C158" s="140"/>
      <c r="D158" s="102"/>
      <c r="E158" s="67">
        <v>71977</v>
      </c>
      <c r="F158" s="114"/>
      <c r="G158" s="83" t="s">
        <v>1018</v>
      </c>
      <c r="H158" s="114"/>
      <c r="I158" s="177" t="s">
        <v>320</v>
      </c>
      <c r="J158" s="154"/>
      <c r="K158" s="154"/>
      <c r="L158" s="154"/>
      <c r="M158" s="154"/>
      <c r="N158" s="154"/>
    </row>
    <row r="159" spans="1:14" ht="11.25" customHeight="1">
      <c r="A159" s="113" t="s">
        <v>767</v>
      </c>
      <c r="B159" s="109"/>
      <c r="C159" s="141"/>
      <c r="D159" s="109"/>
      <c r="E159" s="67">
        <v>301870</v>
      </c>
      <c r="F159" s="114"/>
      <c r="G159" s="83" t="s">
        <v>1018</v>
      </c>
      <c r="H159" s="114"/>
      <c r="I159" s="175" t="s">
        <v>321</v>
      </c>
      <c r="J159" s="176"/>
      <c r="K159" s="176"/>
      <c r="L159" s="176"/>
      <c r="M159" s="176"/>
      <c r="N159" s="176"/>
    </row>
    <row r="160" spans="1:14" ht="11.25" customHeight="1">
      <c r="A160" s="113" t="s">
        <v>15</v>
      </c>
      <c r="B160" s="109"/>
      <c r="C160" s="140" t="s">
        <v>1012</v>
      </c>
      <c r="D160" s="102"/>
      <c r="E160" s="67">
        <v>2434</v>
      </c>
      <c r="F160" s="114"/>
      <c r="G160" s="83" t="s">
        <v>1018</v>
      </c>
      <c r="H160" s="114"/>
      <c r="I160" s="175" t="s">
        <v>322</v>
      </c>
      <c r="J160" s="176"/>
      <c r="K160" s="176"/>
      <c r="L160" s="176"/>
      <c r="M160" s="176"/>
      <c r="N160" s="176"/>
    </row>
    <row r="161" spans="1:14" ht="11.25" customHeight="1">
      <c r="A161" s="109" t="s">
        <v>323</v>
      </c>
      <c r="B161" s="109"/>
      <c r="C161" s="140"/>
      <c r="D161" s="99"/>
      <c r="E161" s="62"/>
      <c r="F161" s="116"/>
      <c r="G161" s="72"/>
      <c r="H161" s="116"/>
      <c r="I161" s="173"/>
      <c r="J161" s="174"/>
      <c r="K161" s="174"/>
      <c r="L161" s="174"/>
      <c r="M161" s="174"/>
      <c r="N161" s="174"/>
    </row>
    <row r="162" spans="1:14" ht="11.25" customHeight="1">
      <c r="A162" s="113" t="s">
        <v>324</v>
      </c>
      <c r="B162" s="109"/>
      <c r="C162" s="140" t="s">
        <v>325</v>
      </c>
      <c r="D162" s="102"/>
      <c r="E162" s="67">
        <v>164393</v>
      </c>
      <c r="F162" s="114"/>
      <c r="G162" s="83">
        <f>ROUND(0.125*E162,3-LEN(INT(0.125*E162)))</f>
        <v>20500</v>
      </c>
      <c r="H162" s="114"/>
      <c r="I162" s="177" t="s">
        <v>326</v>
      </c>
      <c r="J162" s="154"/>
      <c r="K162" s="154"/>
      <c r="L162" s="154"/>
      <c r="M162" s="154"/>
      <c r="N162" s="154"/>
    </row>
    <row r="163" spans="1:14" ht="11.25" customHeight="1">
      <c r="A163" s="113" t="s">
        <v>327</v>
      </c>
      <c r="B163" s="109"/>
      <c r="C163" s="140" t="s">
        <v>754</v>
      </c>
      <c r="D163" s="109"/>
      <c r="E163" s="67">
        <v>5186</v>
      </c>
      <c r="F163" s="114"/>
      <c r="G163" s="83" t="s">
        <v>1018</v>
      </c>
      <c r="H163" s="114"/>
      <c r="I163" s="175" t="s">
        <v>328</v>
      </c>
      <c r="J163" s="176"/>
      <c r="K163" s="176"/>
      <c r="L163" s="176"/>
      <c r="M163" s="176"/>
      <c r="N163" s="176"/>
    </row>
    <row r="164" spans="1:14" ht="11.25" customHeight="1">
      <c r="A164" s="113" t="s">
        <v>329</v>
      </c>
      <c r="B164" s="109"/>
      <c r="C164" s="140" t="s">
        <v>1033</v>
      </c>
      <c r="D164" s="102"/>
      <c r="E164" s="67">
        <v>2984</v>
      </c>
      <c r="F164" s="114"/>
      <c r="G164" s="83" t="s">
        <v>1018</v>
      </c>
      <c r="H164" s="114"/>
      <c r="I164" s="175" t="s">
        <v>330</v>
      </c>
      <c r="J164" s="176"/>
      <c r="K164" s="176"/>
      <c r="L164" s="176"/>
      <c r="M164" s="176"/>
      <c r="N164" s="176"/>
    </row>
    <row r="165" spans="1:14" ht="11.25" customHeight="1">
      <c r="A165" s="109" t="s">
        <v>331</v>
      </c>
      <c r="B165" s="109"/>
      <c r="C165" s="140"/>
      <c r="D165" s="102"/>
      <c r="E165" s="67">
        <v>7611</v>
      </c>
      <c r="F165" s="114"/>
      <c r="G165" s="83" t="s">
        <v>1018</v>
      </c>
      <c r="H165" s="114"/>
      <c r="I165" s="175" t="s">
        <v>332</v>
      </c>
      <c r="J165" s="176"/>
      <c r="K165" s="176"/>
      <c r="L165" s="176"/>
      <c r="M165" s="176"/>
      <c r="N165" s="176"/>
    </row>
    <row r="166" spans="1:14" ht="11.25" customHeight="1">
      <c r="A166" s="109" t="s">
        <v>16</v>
      </c>
      <c r="B166" s="109"/>
      <c r="C166" s="140"/>
      <c r="D166" s="109"/>
      <c r="E166" s="67">
        <v>113329</v>
      </c>
      <c r="F166" s="114"/>
      <c r="G166" s="83" t="s">
        <v>1018</v>
      </c>
      <c r="H166" s="114"/>
      <c r="I166" s="175" t="s">
        <v>333</v>
      </c>
      <c r="J166" s="176"/>
      <c r="K166" s="176"/>
      <c r="L166" s="176"/>
      <c r="M166" s="176"/>
      <c r="N166" s="176"/>
    </row>
    <row r="167" spans="1:14" ht="11.25" customHeight="1">
      <c r="A167" s="109" t="s">
        <v>17</v>
      </c>
      <c r="B167" s="109"/>
      <c r="C167" s="140"/>
      <c r="D167" s="99"/>
      <c r="E167" s="62"/>
      <c r="F167" s="116"/>
      <c r="G167" s="72"/>
      <c r="H167" s="116"/>
      <c r="I167" s="173"/>
      <c r="J167" s="174"/>
      <c r="K167" s="174"/>
      <c r="L167" s="174"/>
      <c r="M167" s="174"/>
      <c r="N167" s="174"/>
    </row>
    <row r="168" spans="1:14" ht="11.25" customHeight="1">
      <c r="A168" s="113" t="s">
        <v>18</v>
      </c>
      <c r="B168" s="109"/>
      <c r="C168" s="140"/>
      <c r="D168" s="102"/>
      <c r="E168" s="67">
        <v>11323</v>
      </c>
      <c r="F168" s="114"/>
      <c r="G168" s="83" t="s">
        <v>1018</v>
      </c>
      <c r="H168" s="114"/>
      <c r="I168" s="177" t="s">
        <v>334</v>
      </c>
      <c r="J168" s="154"/>
      <c r="K168" s="154"/>
      <c r="L168" s="154"/>
      <c r="M168" s="154"/>
      <c r="N168" s="154"/>
    </row>
    <row r="169" spans="1:14" ht="11.25" customHeight="1">
      <c r="A169" s="113" t="s">
        <v>19</v>
      </c>
      <c r="B169" s="109"/>
      <c r="C169" s="140"/>
      <c r="D169" s="102"/>
      <c r="E169" s="67">
        <v>12738</v>
      </c>
      <c r="F169" s="114"/>
      <c r="G169" s="83" t="s">
        <v>1018</v>
      </c>
      <c r="H169" s="114"/>
      <c r="I169" s="175" t="s">
        <v>335</v>
      </c>
      <c r="J169" s="176"/>
      <c r="K169" s="176"/>
      <c r="L169" s="176"/>
      <c r="M169" s="176"/>
      <c r="N169" s="176"/>
    </row>
    <row r="170" spans="1:14" ht="11.25" customHeight="1">
      <c r="A170" s="109" t="s">
        <v>20</v>
      </c>
      <c r="B170" s="109"/>
      <c r="C170" s="140"/>
      <c r="D170" s="109"/>
      <c r="E170" s="67">
        <v>14241</v>
      </c>
      <c r="F170" s="114"/>
      <c r="G170" s="83" t="s">
        <v>1018</v>
      </c>
      <c r="H170" s="114"/>
      <c r="I170" s="175" t="s">
        <v>336</v>
      </c>
      <c r="J170" s="176"/>
      <c r="K170" s="176"/>
      <c r="L170" s="176"/>
      <c r="M170" s="176"/>
      <c r="N170" s="176"/>
    </row>
    <row r="171" spans="1:14" ht="11.25" customHeight="1">
      <c r="A171" s="109" t="s">
        <v>337</v>
      </c>
      <c r="B171" s="109"/>
      <c r="C171" s="140" t="s">
        <v>1012</v>
      </c>
      <c r="D171" s="109"/>
      <c r="E171" s="67">
        <v>1252</v>
      </c>
      <c r="F171" s="114"/>
      <c r="G171" s="83" t="s">
        <v>1018</v>
      </c>
      <c r="H171" s="114"/>
      <c r="I171" s="175" t="s">
        <v>338</v>
      </c>
      <c r="J171" s="176"/>
      <c r="K171" s="176"/>
      <c r="L171" s="176"/>
      <c r="M171" s="176"/>
      <c r="N171" s="176"/>
    </row>
    <row r="172" spans="1:14" ht="11.25" customHeight="1">
      <c r="A172" s="109" t="s">
        <v>339</v>
      </c>
      <c r="B172" s="109"/>
      <c r="C172" s="140"/>
      <c r="D172" s="99"/>
      <c r="E172" s="62"/>
      <c r="F172" s="116"/>
      <c r="G172" s="72"/>
      <c r="H172" s="116"/>
      <c r="I172" s="173"/>
      <c r="J172" s="174"/>
      <c r="K172" s="174"/>
      <c r="L172" s="174"/>
      <c r="M172" s="174"/>
      <c r="N172" s="174"/>
    </row>
    <row r="173" spans="1:14" ht="11.25" customHeight="1">
      <c r="A173" s="113" t="s">
        <v>340</v>
      </c>
      <c r="B173" s="109"/>
      <c r="C173" s="140"/>
      <c r="D173" s="102"/>
      <c r="E173" s="67">
        <v>2214</v>
      </c>
      <c r="F173" s="114"/>
      <c r="G173" s="83" t="s">
        <v>1018</v>
      </c>
      <c r="H173" s="114"/>
      <c r="I173" s="177" t="s">
        <v>341</v>
      </c>
      <c r="J173" s="154"/>
      <c r="K173" s="154"/>
      <c r="L173" s="154"/>
      <c r="M173" s="154"/>
      <c r="N173" s="154"/>
    </row>
    <row r="174" spans="1:14" ht="11.25" customHeight="1">
      <c r="A174" s="113" t="s">
        <v>342</v>
      </c>
      <c r="B174" s="109"/>
      <c r="C174" s="140"/>
      <c r="D174" s="109"/>
      <c r="E174" s="67">
        <v>9977</v>
      </c>
      <c r="F174" s="114"/>
      <c r="G174" s="83">
        <f>ROUND(0.297*E174,3-LEN(INT(0.297*E174)))</f>
        <v>2960</v>
      </c>
      <c r="H174" s="114"/>
      <c r="I174" s="175" t="s">
        <v>343</v>
      </c>
      <c r="J174" s="176"/>
      <c r="K174" s="176"/>
      <c r="L174" s="176"/>
      <c r="M174" s="176"/>
      <c r="N174" s="176"/>
    </row>
    <row r="175" spans="1:14" ht="11.25" customHeight="1">
      <c r="A175" s="109" t="s">
        <v>344</v>
      </c>
      <c r="B175" s="109"/>
      <c r="C175" s="140" t="s">
        <v>1012</v>
      </c>
      <c r="D175" s="109"/>
      <c r="E175" s="67">
        <v>955</v>
      </c>
      <c r="F175" s="114"/>
      <c r="G175" s="83" t="s">
        <v>1018</v>
      </c>
      <c r="H175" s="114"/>
      <c r="I175" s="175" t="s">
        <v>345</v>
      </c>
      <c r="J175" s="176"/>
      <c r="K175" s="176"/>
      <c r="L175" s="176"/>
      <c r="M175" s="176"/>
      <c r="N175" s="176"/>
    </row>
    <row r="176" spans="1:14" ht="11.25" customHeight="1">
      <c r="A176" s="109" t="s">
        <v>346</v>
      </c>
      <c r="B176" s="109"/>
      <c r="C176" s="140"/>
      <c r="D176" s="103"/>
      <c r="E176" s="62"/>
      <c r="F176" s="116"/>
      <c r="G176" s="72"/>
      <c r="H176" s="116"/>
      <c r="I176" s="173"/>
      <c r="J176" s="174"/>
      <c r="K176" s="174"/>
      <c r="L176" s="174"/>
      <c r="M176" s="174"/>
      <c r="N176" s="174"/>
    </row>
    <row r="177" spans="1:14" ht="11.25" customHeight="1">
      <c r="A177" s="113" t="s">
        <v>347</v>
      </c>
      <c r="B177" s="109"/>
      <c r="C177" s="140"/>
      <c r="D177" s="102"/>
      <c r="E177" s="67">
        <v>81082</v>
      </c>
      <c r="F177" s="114"/>
      <c r="G177" s="83" t="s">
        <v>1018</v>
      </c>
      <c r="H177" s="114"/>
      <c r="I177" s="177" t="s">
        <v>348</v>
      </c>
      <c r="J177" s="154"/>
      <c r="K177" s="154"/>
      <c r="L177" s="154"/>
      <c r="M177" s="154"/>
      <c r="N177" s="154"/>
    </row>
    <row r="178" spans="1:14" ht="11.25" customHeight="1">
      <c r="A178" s="113" t="s">
        <v>349</v>
      </c>
      <c r="B178" s="109"/>
      <c r="C178" s="140"/>
      <c r="D178" s="109"/>
      <c r="E178" s="67">
        <v>760490</v>
      </c>
      <c r="F178" s="114"/>
      <c r="G178" s="83" t="s">
        <v>1018</v>
      </c>
      <c r="H178" s="114"/>
      <c r="I178" s="175" t="s">
        <v>350</v>
      </c>
      <c r="J178" s="176"/>
      <c r="K178" s="176"/>
      <c r="L178" s="176"/>
      <c r="M178" s="176"/>
      <c r="N178" s="176"/>
    </row>
    <row r="179" spans="1:14" ht="11.25" customHeight="1">
      <c r="A179" s="109" t="s">
        <v>351</v>
      </c>
      <c r="B179" s="109"/>
      <c r="C179" s="140"/>
      <c r="D179" s="99"/>
      <c r="E179" s="67">
        <v>3656</v>
      </c>
      <c r="F179" s="114"/>
      <c r="G179" s="83" t="s">
        <v>1018</v>
      </c>
      <c r="H179" s="114"/>
      <c r="I179" s="175" t="s">
        <v>356</v>
      </c>
      <c r="J179" s="176"/>
      <c r="K179" s="176"/>
      <c r="L179" s="176"/>
      <c r="M179" s="176"/>
      <c r="N179" s="176"/>
    </row>
    <row r="180" spans="1:14" ht="11.25" customHeight="1">
      <c r="A180" s="109" t="s">
        <v>26</v>
      </c>
      <c r="B180" s="109"/>
      <c r="C180" s="140" t="s">
        <v>1012</v>
      </c>
      <c r="D180" s="109"/>
      <c r="E180" s="67">
        <v>2007</v>
      </c>
      <c r="F180" s="114"/>
      <c r="G180" s="83" t="s">
        <v>1018</v>
      </c>
      <c r="H180" s="114"/>
      <c r="I180" s="175" t="s">
        <v>357</v>
      </c>
      <c r="J180" s="176"/>
      <c r="K180" s="176"/>
      <c r="L180" s="176"/>
      <c r="M180" s="176"/>
      <c r="N180" s="176"/>
    </row>
    <row r="181" spans="1:14" ht="11.25" customHeight="1">
      <c r="A181" s="109" t="s">
        <v>358</v>
      </c>
      <c r="B181" s="109"/>
      <c r="C181" s="140"/>
      <c r="D181" s="99"/>
      <c r="E181" s="62"/>
      <c r="F181" s="116"/>
      <c r="G181" s="72"/>
      <c r="H181" s="116"/>
      <c r="I181" s="151"/>
      <c r="J181" s="152"/>
      <c r="K181" s="152"/>
      <c r="L181" s="152"/>
      <c r="M181" s="152"/>
      <c r="N181" s="152"/>
    </row>
    <row r="182" spans="1:14" ht="11.25" customHeight="1">
      <c r="A182" s="113" t="s">
        <v>796</v>
      </c>
      <c r="B182" s="109"/>
      <c r="C182" s="140"/>
      <c r="D182" s="102"/>
      <c r="E182" s="70">
        <v>5045</v>
      </c>
      <c r="F182" s="114"/>
      <c r="G182" s="83" t="s">
        <v>1018</v>
      </c>
      <c r="H182" s="114"/>
      <c r="I182" s="177" t="s">
        <v>278</v>
      </c>
      <c r="J182" s="154"/>
      <c r="K182" s="154"/>
      <c r="L182" s="154"/>
      <c r="M182" s="154"/>
      <c r="N182" s="154"/>
    </row>
    <row r="183" spans="1:14" ht="11.25" customHeight="1">
      <c r="A183" s="113" t="s">
        <v>359</v>
      </c>
      <c r="B183" s="109"/>
      <c r="C183" s="140"/>
      <c r="D183" s="103"/>
      <c r="E183" s="67">
        <v>3</v>
      </c>
      <c r="F183" s="114"/>
      <c r="G183" s="83" t="s">
        <v>1018</v>
      </c>
      <c r="H183" s="114"/>
      <c r="I183" s="175" t="s">
        <v>360</v>
      </c>
      <c r="J183" s="176"/>
      <c r="K183" s="176"/>
      <c r="L183" s="176"/>
      <c r="M183" s="176"/>
      <c r="N183" s="176"/>
    </row>
    <row r="184" spans="1:14" ht="11.25" customHeight="1">
      <c r="A184" s="103" t="s">
        <v>361</v>
      </c>
      <c r="B184" s="103"/>
      <c r="C184" s="143"/>
      <c r="D184" s="103"/>
      <c r="E184" s="62"/>
      <c r="F184" s="116"/>
      <c r="G184" s="72"/>
      <c r="H184" s="116"/>
      <c r="I184" s="173"/>
      <c r="J184" s="174"/>
      <c r="K184" s="174"/>
      <c r="L184" s="174"/>
      <c r="M184" s="174"/>
      <c r="N184" s="174"/>
    </row>
    <row r="185" spans="1:14" ht="11.25" customHeight="1">
      <c r="A185" s="124" t="s">
        <v>362</v>
      </c>
      <c r="B185" s="102"/>
      <c r="C185" s="142"/>
      <c r="D185" s="102"/>
      <c r="E185" s="67">
        <v>438</v>
      </c>
      <c r="F185" s="114"/>
      <c r="G185" s="83" t="s">
        <v>1018</v>
      </c>
      <c r="H185" s="114"/>
      <c r="I185" s="177" t="s">
        <v>363</v>
      </c>
      <c r="J185" s="154"/>
      <c r="K185" s="154"/>
      <c r="L185" s="154"/>
      <c r="M185" s="154"/>
      <c r="N185" s="154"/>
    </row>
    <row r="186" spans="1:14" ht="11.25" customHeight="1">
      <c r="A186" s="109" t="s">
        <v>364</v>
      </c>
      <c r="B186" s="109"/>
      <c r="C186" s="125"/>
      <c r="D186" s="102"/>
      <c r="E186" s="67">
        <v>240</v>
      </c>
      <c r="F186" s="114"/>
      <c r="G186" s="83" t="s">
        <v>1018</v>
      </c>
      <c r="H186" s="114"/>
      <c r="I186" s="175" t="s">
        <v>365</v>
      </c>
      <c r="J186" s="176"/>
      <c r="K186" s="176"/>
      <c r="L186" s="176"/>
      <c r="M186" s="176"/>
      <c r="N186" s="176"/>
    </row>
    <row r="187" spans="1:14" ht="11.25" customHeight="1">
      <c r="A187" s="109" t="s">
        <v>366</v>
      </c>
      <c r="B187" s="109"/>
      <c r="C187" s="140" t="s">
        <v>1012</v>
      </c>
      <c r="D187" s="109"/>
      <c r="E187" s="67">
        <v>3373</v>
      </c>
      <c r="F187" s="114"/>
      <c r="G187" s="83" t="s">
        <v>1018</v>
      </c>
      <c r="H187" s="114"/>
      <c r="I187" s="175" t="s">
        <v>367</v>
      </c>
      <c r="J187" s="176"/>
      <c r="K187" s="176"/>
      <c r="L187" s="176"/>
      <c r="M187" s="176"/>
      <c r="N187" s="176"/>
    </row>
    <row r="188" spans="1:14" ht="11.25" customHeight="1">
      <c r="A188" s="180" t="s">
        <v>765</v>
      </c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</row>
    <row r="189" spans="1:14" ht="11.25" customHeight="1">
      <c r="A189" s="181"/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</row>
    <row r="190" spans="1:14" ht="11.25" customHeight="1">
      <c r="A190" s="182" t="s">
        <v>215</v>
      </c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</row>
    <row r="191" spans="1:14" ht="11.25" customHeight="1">
      <c r="A191" s="172" t="s">
        <v>418</v>
      </c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</row>
    <row r="192" spans="1:14" ht="11.25" customHeight="1">
      <c r="A192" s="172"/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</row>
    <row r="193" spans="1:14" ht="11.25" customHeight="1">
      <c r="A193" s="172" t="s">
        <v>1004</v>
      </c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</row>
    <row r="194" spans="1:14" ht="11.25" customHeight="1">
      <c r="A194" s="153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</row>
    <row r="195" spans="1:14" ht="11.25" customHeight="1">
      <c r="A195" s="180"/>
      <c r="B195" s="180"/>
      <c r="C195" s="180"/>
      <c r="D195" s="99"/>
      <c r="E195" s="100"/>
      <c r="F195" s="104"/>
      <c r="G195" s="179" t="s">
        <v>419</v>
      </c>
      <c r="H195" s="179"/>
      <c r="I195" s="179"/>
      <c r="J195" s="179"/>
      <c r="K195" s="179"/>
      <c r="L195" s="179"/>
      <c r="M195" s="179"/>
      <c r="N195" s="179"/>
    </row>
    <row r="196" spans="1:14" ht="11.25" customHeight="1">
      <c r="A196" s="153" t="s">
        <v>713</v>
      </c>
      <c r="B196" s="153"/>
      <c r="C196" s="153"/>
      <c r="D196" s="102"/>
      <c r="E196" s="105" t="s">
        <v>1017</v>
      </c>
      <c r="F196" s="106"/>
      <c r="G196" s="105" t="s">
        <v>131</v>
      </c>
      <c r="H196" s="106"/>
      <c r="I196" s="179" t="s">
        <v>420</v>
      </c>
      <c r="J196" s="179"/>
      <c r="K196" s="179"/>
      <c r="L196" s="179"/>
      <c r="M196" s="179"/>
      <c r="N196" s="179"/>
    </row>
    <row r="197" spans="1:14" ht="11.25" customHeight="1">
      <c r="A197" s="150" t="s">
        <v>6</v>
      </c>
      <c r="B197" s="150"/>
      <c r="C197" s="150"/>
      <c r="D197" s="103"/>
      <c r="E197" s="107"/>
      <c r="F197" s="108"/>
      <c r="G197" s="107"/>
      <c r="H197" s="108"/>
      <c r="I197" s="173"/>
      <c r="J197" s="173"/>
      <c r="K197" s="173"/>
      <c r="L197" s="173"/>
      <c r="M197" s="173"/>
      <c r="N197" s="173"/>
    </row>
    <row r="198" spans="1:14" ht="11.25" customHeight="1">
      <c r="A198" s="109" t="s">
        <v>32</v>
      </c>
      <c r="B198" s="109"/>
      <c r="C198" s="140"/>
      <c r="D198" s="99"/>
      <c r="E198" s="62"/>
      <c r="F198" s="116"/>
      <c r="G198" s="72"/>
      <c r="H198" s="116"/>
      <c r="I198" s="151"/>
      <c r="J198" s="152"/>
      <c r="K198" s="152"/>
      <c r="L198" s="152"/>
      <c r="M198" s="152"/>
      <c r="N198" s="152"/>
    </row>
    <row r="199" spans="1:14" ht="11.25" customHeight="1">
      <c r="A199" s="113" t="s">
        <v>368</v>
      </c>
      <c r="B199" s="109"/>
      <c r="C199" s="140"/>
      <c r="D199" s="102"/>
      <c r="E199" s="67">
        <v>263860</v>
      </c>
      <c r="F199" s="114"/>
      <c r="G199" s="83" t="s">
        <v>1018</v>
      </c>
      <c r="H199" s="114"/>
      <c r="I199" s="177" t="s">
        <v>369</v>
      </c>
      <c r="J199" s="154"/>
      <c r="K199" s="154"/>
      <c r="L199" s="154"/>
      <c r="M199" s="154"/>
      <c r="N199" s="154"/>
    </row>
    <row r="200" spans="1:14" ht="11.25" customHeight="1">
      <c r="A200" s="113" t="s">
        <v>370</v>
      </c>
      <c r="B200" s="109"/>
      <c r="C200" s="140"/>
      <c r="D200" s="99"/>
      <c r="E200" s="62"/>
      <c r="F200" s="116"/>
      <c r="G200" s="72"/>
      <c r="H200" s="116"/>
      <c r="I200" s="173"/>
      <c r="J200" s="174"/>
      <c r="K200" s="174"/>
      <c r="L200" s="174"/>
      <c r="M200" s="174"/>
      <c r="N200" s="174"/>
    </row>
    <row r="201" spans="1:14" ht="11.25" customHeight="1">
      <c r="A201" s="117" t="s">
        <v>371</v>
      </c>
      <c r="B201" s="109"/>
      <c r="C201" s="140" t="s">
        <v>1012</v>
      </c>
      <c r="D201" s="102"/>
      <c r="E201" s="67">
        <v>730</v>
      </c>
      <c r="F201" s="114"/>
      <c r="G201" s="83" t="s">
        <v>1018</v>
      </c>
      <c r="H201" s="114"/>
      <c r="I201" s="177" t="s">
        <v>372</v>
      </c>
      <c r="J201" s="154"/>
      <c r="K201" s="154"/>
      <c r="L201" s="154"/>
      <c r="M201" s="154"/>
      <c r="N201" s="154"/>
    </row>
    <row r="202" spans="1:14" ht="11.25" customHeight="1">
      <c r="A202" s="117" t="s">
        <v>373</v>
      </c>
      <c r="B202" s="109"/>
      <c r="C202" s="140"/>
      <c r="D202" s="99"/>
      <c r="E202" s="67">
        <v>66453</v>
      </c>
      <c r="F202" s="114"/>
      <c r="G202" s="83" t="s">
        <v>1018</v>
      </c>
      <c r="H202" s="114"/>
      <c r="I202" s="175" t="s">
        <v>374</v>
      </c>
      <c r="J202" s="176"/>
      <c r="K202" s="176"/>
      <c r="L202" s="176"/>
      <c r="M202" s="176"/>
      <c r="N202" s="176"/>
    </row>
    <row r="203" spans="1:14" ht="11.25" customHeight="1">
      <c r="A203" s="117" t="s">
        <v>375</v>
      </c>
      <c r="B203" s="109"/>
      <c r="C203" s="140"/>
      <c r="D203" s="109"/>
      <c r="E203" s="67">
        <v>178347</v>
      </c>
      <c r="F203" s="114"/>
      <c r="G203" s="83" t="s">
        <v>1018</v>
      </c>
      <c r="H203" s="114"/>
      <c r="I203" s="175" t="s">
        <v>376</v>
      </c>
      <c r="J203" s="176"/>
      <c r="K203" s="176"/>
      <c r="L203" s="176"/>
      <c r="M203" s="176"/>
      <c r="N203" s="176"/>
    </row>
    <row r="204" spans="1:14" ht="11.25" customHeight="1">
      <c r="A204" s="113" t="s">
        <v>377</v>
      </c>
      <c r="B204" s="109"/>
      <c r="C204" s="140"/>
      <c r="D204" s="109"/>
      <c r="E204" s="67">
        <v>158268</v>
      </c>
      <c r="F204" s="114"/>
      <c r="G204" s="83" t="s">
        <v>1018</v>
      </c>
      <c r="H204" s="114"/>
      <c r="I204" s="175" t="s">
        <v>378</v>
      </c>
      <c r="J204" s="176"/>
      <c r="K204" s="176"/>
      <c r="L204" s="176"/>
      <c r="M204" s="176"/>
      <c r="N204" s="176"/>
    </row>
    <row r="205" spans="1:14" ht="11.25" customHeight="1">
      <c r="A205" s="113" t="s">
        <v>379</v>
      </c>
      <c r="B205" s="109"/>
      <c r="C205" s="140"/>
      <c r="D205" s="109"/>
      <c r="E205" s="67">
        <v>165383</v>
      </c>
      <c r="F205" s="114"/>
      <c r="G205" s="83" t="s">
        <v>1018</v>
      </c>
      <c r="H205" s="114"/>
      <c r="I205" s="175" t="s">
        <v>380</v>
      </c>
      <c r="J205" s="176"/>
      <c r="K205" s="176"/>
      <c r="L205" s="176"/>
      <c r="M205" s="176"/>
      <c r="N205" s="176"/>
    </row>
    <row r="206" spans="1:14" ht="11.25" customHeight="1">
      <c r="A206" s="113" t="s">
        <v>381</v>
      </c>
      <c r="B206" s="109"/>
      <c r="C206" s="140"/>
      <c r="D206" s="109"/>
      <c r="E206" s="67">
        <v>39220</v>
      </c>
      <c r="F206" s="114"/>
      <c r="G206" s="83" t="s">
        <v>1018</v>
      </c>
      <c r="H206" s="114"/>
      <c r="I206" s="175" t="s">
        <v>382</v>
      </c>
      <c r="J206" s="176"/>
      <c r="K206" s="176"/>
      <c r="L206" s="176"/>
      <c r="M206" s="176"/>
      <c r="N206" s="176"/>
    </row>
    <row r="207" spans="1:14" ht="11.25" customHeight="1">
      <c r="A207" s="113" t="s">
        <v>383</v>
      </c>
      <c r="B207" s="109"/>
      <c r="C207" s="140" t="s">
        <v>1012</v>
      </c>
      <c r="D207" s="109"/>
      <c r="E207" s="67">
        <v>8670</v>
      </c>
      <c r="F207" s="114"/>
      <c r="G207" s="83" t="s">
        <v>1018</v>
      </c>
      <c r="H207" s="114"/>
      <c r="I207" s="175" t="s">
        <v>384</v>
      </c>
      <c r="J207" s="176"/>
      <c r="K207" s="176"/>
      <c r="L207" s="176"/>
      <c r="M207" s="176"/>
      <c r="N207" s="176"/>
    </row>
    <row r="208" spans="1:14" ht="11.25" customHeight="1">
      <c r="A208" s="113" t="s">
        <v>385</v>
      </c>
      <c r="B208" s="109"/>
      <c r="C208" s="140"/>
      <c r="D208" s="109"/>
      <c r="E208" s="67">
        <v>7958</v>
      </c>
      <c r="F208" s="114"/>
      <c r="G208" s="83" t="s">
        <v>1018</v>
      </c>
      <c r="H208" s="114"/>
      <c r="I208" s="175" t="s">
        <v>386</v>
      </c>
      <c r="J208" s="176"/>
      <c r="K208" s="176"/>
      <c r="L208" s="176"/>
      <c r="M208" s="176"/>
      <c r="N208" s="176"/>
    </row>
    <row r="209" spans="1:14" ht="11.25" customHeight="1">
      <c r="A209" s="113" t="s">
        <v>387</v>
      </c>
      <c r="B209" s="109"/>
      <c r="C209" s="140"/>
      <c r="D209" s="109"/>
      <c r="E209" s="121">
        <v>18422</v>
      </c>
      <c r="F209" s="122"/>
      <c r="G209" s="51" t="s">
        <v>1018</v>
      </c>
      <c r="H209" s="122"/>
      <c r="I209" s="175" t="s">
        <v>388</v>
      </c>
      <c r="J209" s="176"/>
      <c r="K209" s="176"/>
      <c r="L209" s="176"/>
      <c r="M209" s="176"/>
      <c r="N209" s="176"/>
    </row>
    <row r="210" spans="1:14" ht="11.25" customHeight="1">
      <c r="A210" s="113" t="s">
        <v>389</v>
      </c>
      <c r="B210" s="109"/>
      <c r="C210" s="140" t="s">
        <v>1012</v>
      </c>
      <c r="D210" s="109"/>
      <c r="E210" s="121">
        <v>9194</v>
      </c>
      <c r="F210" s="122"/>
      <c r="G210" s="51" t="s">
        <v>1018</v>
      </c>
      <c r="H210" s="122"/>
      <c r="I210" s="175" t="s">
        <v>390</v>
      </c>
      <c r="J210" s="176"/>
      <c r="K210" s="176"/>
      <c r="L210" s="176"/>
      <c r="M210" s="176"/>
      <c r="N210" s="176"/>
    </row>
    <row r="211" spans="1:14" ht="11.25" customHeight="1">
      <c r="A211" s="113" t="s">
        <v>391</v>
      </c>
      <c r="B211" s="109"/>
      <c r="C211" s="140" t="s">
        <v>754</v>
      </c>
      <c r="D211" s="109"/>
      <c r="E211" s="121">
        <v>5343</v>
      </c>
      <c r="F211" s="122"/>
      <c r="G211" s="51" t="s">
        <v>1018</v>
      </c>
      <c r="H211" s="122"/>
      <c r="I211" s="175" t="s">
        <v>392</v>
      </c>
      <c r="J211" s="176"/>
      <c r="K211" s="176"/>
      <c r="L211" s="176"/>
      <c r="M211" s="176"/>
      <c r="N211" s="176"/>
    </row>
    <row r="212" spans="1:14" ht="11.25" customHeight="1">
      <c r="A212" s="109" t="s">
        <v>393</v>
      </c>
      <c r="B212" s="109"/>
      <c r="C212" s="140" t="s">
        <v>754</v>
      </c>
      <c r="D212" s="109"/>
      <c r="E212" s="121">
        <v>899</v>
      </c>
      <c r="F212" s="122"/>
      <c r="G212" s="51" t="s">
        <v>1018</v>
      </c>
      <c r="H212" s="122"/>
      <c r="I212" s="175" t="s">
        <v>394</v>
      </c>
      <c r="J212" s="176"/>
      <c r="K212" s="176"/>
      <c r="L212" s="176"/>
      <c r="M212" s="176"/>
      <c r="N212" s="176"/>
    </row>
    <row r="213" spans="1:14" ht="11.25" customHeight="1">
      <c r="A213" s="109" t="s">
        <v>395</v>
      </c>
      <c r="B213" s="109"/>
      <c r="C213" s="140"/>
      <c r="D213" s="109"/>
      <c r="E213" s="67">
        <v>3906</v>
      </c>
      <c r="F213" s="114"/>
      <c r="G213" s="83" t="s">
        <v>1018</v>
      </c>
      <c r="H213" s="114"/>
      <c r="I213" s="175" t="s">
        <v>396</v>
      </c>
      <c r="J213" s="176"/>
      <c r="K213" s="176"/>
      <c r="L213" s="176"/>
      <c r="M213" s="176"/>
      <c r="N213" s="176"/>
    </row>
    <row r="214" spans="1:14" ht="11.25" customHeight="1">
      <c r="A214" s="109" t="s">
        <v>397</v>
      </c>
      <c r="B214" s="109"/>
      <c r="C214" s="140"/>
      <c r="D214" s="109"/>
      <c r="E214" s="67">
        <v>3145</v>
      </c>
      <c r="F214" s="114"/>
      <c r="G214" s="83" t="s">
        <v>1018</v>
      </c>
      <c r="H214" s="114"/>
      <c r="I214" s="175" t="s">
        <v>398</v>
      </c>
      <c r="J214" s="176"/>
      <c r="K214" s="176"/>
      <c r="L214" s="176"/>
      <c r="M214" s="176"/>
      <c r="N214" s="176"/>
    </row>
    <row r="215" spans="1:14" ht="11.25" customHeight="1">
      <c r="A215" s="150" t="s">
        <v>50</v>
      </c>
      <c r="B215" s="150"/>
      <c r="C215" s="150"/>
      <c r="D215" s="99"/>
      <c r="E215" s="62"/>
      <c r="F215" s="116"/>
      <c r="G215" s="72"/>
      <c r="H215" s="116"/>
      <c r="I215" s="173"/>
      <c r="J215" s="174"/>
      <c r="K215" s="174"/>
      <c r="L215" s="174"/>
      <c r="M215" s="174"/>
      <c r="N215" s="174"/>
    </row>
    <row r="216" spans="1:14" ht="11.25" customHeight="1">
      <c r="A216" s="109" t="s">
        <v>51</v>
      </c>
      <c r="B216" s="109"/>
      <c r="C216" s="140"/>
      <c r="D216" s="102"/>
      <c r="E216" s="67">
        <v>134091</v>
      </c>
      <c r="F216" s="114"/>
      <c r="G216" s="83" t="s">
        <v>1018</v>
      </c>
      <c r="H216" s="114"/>
      <c r="I216" s="177" t="s">
        <v>399</v>
      </c>
      <c r="J216" s="154"/>
      <c r="K216" s="154"/>
      <c r="L216" s="154"/>
      <c r="M216" s="154"/>
      <c r="N216" s="154"/>
    </row>
    <row r="217" spans="1:14" ht="11.25" customHeight="1">
      <c r="A217" s="55" t="s">
        <v>56</v>
      </c>
      <c r="B217" s="109"/>
      <c r="C217" s="140"/>
      <c r="D217" s="99"/>
      <c r="E217" s="62"/>
      <c r="F217" s="116"/>
      <c r="G217" s="72"/>
      <c r="H217" s="116"/>
      <c r="I217" s="173"/>
      <c r="J217" s="174"/>
      <c r="K217" s="174"/>
      <c r="L217" s="174"/>
      <c r="M217" s="174"/>
      <c r="N217" s="174"/>
    </row>
    <row r="218" spans="1:14" ht="11.25" customHeight="1">
      <c r="A218" s="56" t="s">
        <v>400</v>
      </c>
      <c r="B218" s="50"/>
      <c r="C218" s="141"/>
      <c r="D218" s="48"/>
      <c r="E218" s="67">
        <v>11103</v>
      </c>
      <c r="F218" s="114"/>
      <c r="G218" s="83" t="s">
        <v>1018</v>
      </c>
      <c r="H218" s="114"/>
      <c r="I218" s="177" t="s">
        <v>401</v>
      </c>
      <c r="J218" s="154"/>
      <c r="K218" s="154"/>
      <c r="L218" s="154"/>
      <c r="M218" s="154"/>
      <c r="N218" s="154"/>
    </row>
    <row r="219" spans="1:14" ht="11.25" customHeight="1">
      <c r="A219" s="56" t="s">
        <v>783</v>
      </c>
      <c r="B219" s="109"/>
      <c r="C219" s="140" t="s">
        <v>1012</v>
      </c>
      <c r="D219" s="102"/>
      <c r="E219" s="67">
        <v>34</v>
      </c>
      <c r="F219" s="114"/>
      <c r="G219" s="83" t="s">
        <v>1018</v>
      </c>
      <c r="H219" s="114"/>
      <c r="I219" s="177" t="s">
        <v>402</v>
      </c>
      <c r="J219" s="154"/>
      <c r="K219" s="154"/>
      <c r="L219" s="154"/>
      <c r="M219" s="154"/>
      <c r="N219" s="154"/>
    </row>
    <row r="220" spans="1:14" ht="11.25" customHeight="1">
      <c r="A220" s="113" t="s">
        <v>403</v>
      </c>
      <c r="B220" s="109"/>
      <c r="C220" s="140"/>
      <c r="D220" s="102"/>
      <c r="E220" s="67">
        <v>284861</v>
      </c>
      <c r="F220" s="114"/>
      <c r="G220" s="83" t="s">
        <v>1018</v>
      </c>
      <c r="H220" s="114"/>
      <c r="I220" s="175" t="s">
        <v>404</v>
      </c>
      <c r="J220" s="176"/>
      <c r="K220" s="176"/>
      <c r="L220" s="176"/>
      <c r="M220" s="176"/>
      <c r="N220" s="176"/>
    </row>
    <row r="221" spans="1:14" ht="11.25" customHeight="1">
      <c r="A221" s="55" t="s">
        <v>58</v>
      </c>
      <c r="B221" s="109"/>
      <c r="C221" s="140"/>
      <c r="D221" s="103"/>
      <c r="E221" s="62"/>
      <c r="F221" s="116"/>
      <c r="G221" s="72"/>
      <c r="H221" s="116"/>
      <c r="I221" s="173"/>
      <c r="J221" s="174"/>
      <c r="K221" s="174"/>
      <c r="L221" s="174"/>
      <c r="M221" s="174"/>
      <c r="N221" s="174"/>
    </row>
    <row r="222" spans="1:14" ht="11.25" customHeight="1">
      <c r="A222" s="56" t="s">
        <v>59</v>
      </c>
      <c r="B222" s="109"/>
      <c r="C222" s="140"/>
      <c r="D222" s="102"/>
      <c r="E222" s="67">
        <v>75085</v>
      </c>
      <c r="F222" s="114"/>
      <c r="G222" s="83" t="s">
        <v>1018</v>
      </c>
      <c r="H222" s="114"/>
      <c r="I222" s="177" t="s">
        <v>405</v>
      </c>
      <c r="J222" s="154"/>
      <c r="K222" s="154"/>
      <c r="L222" s="154"/>
      <c r="M222" s="154"/>
      <c r="N222" s="154"/>
    </row>
    <row r="223" spans="1:14" ht="11.25" customHeight="1">
      <c r="A223" s="56" t="s">
        <v>60</v>
      </c>
      <c r="B223" s="109"/>
      <c r="C223" s="140"/>
      <c r="D223" s="109"/>
      <c r="E223" s="67">
        <v>8227</v>
      </c>
      <c r="F223" s="114"/>
      <c r="G223" s="83" t="s">
        <v>1018</v>
      </c>
      <c r="H223" s="114"/>
      <c r="I223" s="175" t="s">
        <v>406</v>
      </c>
      <c r="J223" s="176"/>
      <c r="K223" s="176"/>
      <c r="L223" s="176"/>
      <c r="M223" s="176"/>
      <c r="N223" s="176"/>
    </row>
    <row r="224" spans="1:14" ht="11.25" customHeight="1">
      <c r="A224" s="109" t="s">
        <v>407</v>
      </c>
      <c r="B224" s="109"/>
      <c r="C224" s="140" t="s">
        <v>1012</v>
      </c>
      <c r="D224" s="102"/>
      <c r="E224" s="67">
        <v>13771</v>
      </c>
      <c r="F224" s="114"/>
      <c r="G224" s="83" t="s">
        <v>1018</v>
      </c>
      <c r="H224" s="114"/>
      <c r="I224" s="175" t="s">
        <v>288</v>
      </c>
      <c r="J224" s="176"/>
      <c r="K224" s="176"/>
      <c r="L224" s="176"/>
      <c r="M224" s="176"/>
      <c r="N224" s="176"/>
    </row>
    <row r="225" spans="1:14" ht="11.25" customHeight="1">
      <c r="A225" s="109" t="s">
        <v>408</v>
      </c>
      <c r="B225" s="109"/>
      <c r="C225" s="140" t="s">
        <v>754</v>
      </c>
      <c r="D225" s="102"/>
      <c r="E225" s="67">
        <v>1258</v>
      </c>
      <c r="F225" s="114"/>
      <c r="G225" s="83" t="s">
        <v>1018</v>
      </c>
      <c r="H225" s="114"/>
      <c r="I225" s="175" t="s">
        <v>409</v>
      </c>
      <c r="J225" s="176"/>
      <c r="K225" s="176"/>
      <c r="L225" s="176"/>
      <c r="M225" s="176"/>
      <c r="N225" s="176"/>
    </row>
    <row r="226" spans="1:14" ht="11.25" customHeight="1">
      <c r="A226" s="109" t="s">
        <v>410</v>
      </c>
      <c r="B226" s="109"/>
      <c r="C226" s="140"/>
      <c r="D226" s="99"/>
      <c r="E226" s="62"/>
      <c r="F226" s="116"/>
      <c r="G226" s="72"/>
      <c r="H226" s="116"/>
      <c r="I226" s="173"/>
      <c r="J226" s="174"/>
      <c r="K226" s="174"/>
      <c r="L226" s="174"/>
      <c r="M226" s="174"/>
      <c r="N226" s="174"/>
    </row>
    <row r="227" spans="1:14" ht="11.25" customHeight="1">
      <c r="A227" s="113" t="s">
        <v>411</v>
      </c>
      <c r="B227" s="109"/>
      <c r="C227" s="140" t="s">
        <v>1033</v>
      </c>
      <c r="D227" s="102"/>
      <c r="E227" s="67">
        <v>65930</v>
      </c>
      <c r="F227" s="114"/>
      <c r="G227" s="83" t="s">
        <v>1018</v>
      </c>
      <c r="H227" s="114"/>
      <c r="I227" s="177" t="s">
        <v>412</v>
      </c>
      <c r="J227" s="154"/>
      <c r="K227" s="154"/>
      <c r="L227" s="154"/>
      <c r="M227" s="154"/>
      <c r="N227" s="154"/>
    </row>
    <row r="228" spans="1:14" ht="11.25" customHeight="1">
      <c r="A228" s="113" t="s">
        <v>413</v>
      </c>
      <c r="B228" s="109"/>
      <c r="C228" s="140" t="s">
        <v>754</v>
      </c>
      <c r="D228" s="109"/>
      <c r="E228" s="67">
        <v>9223</v>
      </c>
      <c r="F228" s="114"/>
      <c r="G228" s="83">
        <f>ROUND(0.619*E228,3-LEN(INT(0.619*E228)))</f>
        <v>5710</v>
      </c>
      <c r="H228" s="114"/>
      <c r="I228" s="175" t="s">
        <v>414</v>
      </c>
      <c r="J228" s="176"/>
      <c r="K228" s="176"/>
      <c r="L228" s="176"/>
      <c r="M228" s="176"/>
      <c r="N228" s="176"/>
    </row>
    <row r="229" spans="1:14" ht="11.25" customHeight="1">
      <c r="A229" s="178" t="s">
        <v>415</v>
      </c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</row>
    <row r="230" spans="1:14" ht="11.25" customHeight="1">
      <c r="A230" s="147" t="s">
        <v>416</v>
      </c>
      <c r="B230" s="148"/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</row>
    <row r="231" spans="1:14" ht="11.25" customHeight="1">
      <c r="A231" s="149" t="s">
        <v>417</v>
      </c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</row>
  </sheetData>
  <mergeCells count="245">
    <mergeCell ref="I134:N134"/>
    <mergeCell ref="I72:N72"/>
    <mergeCell ref="I71:N71"/>
    <mergeCell ref="I9:N9"/>
    <mergeCell ref="I11:N11"/>
    <mergeCell ref="I12:N12"/>
    <mergeCell ref="I13:N13"/>
    <mergeCell ref="I14:N14"/>
    <mergeCell ref="I15:N15"/>
    <mergeCell ref="I16:N16"/>
    <mergeCell ref="A1:N1"/>
    <mergeCell ref="A2:N2"/>
    <mergeCell ref="A4:N4"/>
    <mergeCell ref="G6:N6"/>
    <mergeCell ref="A3:N3"/>
    <mergeCell ref="A5:N5"/>
    <mergeCell ref="A6:C6"/>
    <mergeCell ref="A7:C7"/>
    <mergeCell ref="I7:N7"/>
    <mergeCell ref="A8:C8"/>
    <mergeCell ref="I10:N10"/>
    <mergeCell ref="I8:N8"/>
    <mergeCell ref="I17:N17"/>
    <mergeCell ref="I18:N18"/>
    <mergeCell ref="I19:N19"/>
    <mergeCell ref="I20:N20"/>
    <mergeCell ref="I21:N21"/>
    <mergeCell ref="I22:N22"/>
    <mergeCell ref="I23:N23"/>
    <mergeCell ref="I24:N24"/>
    <mergeCell ref="I25:N25"/>
    <mergeCell ref="I26:N26"/>
    <mergeCell ref="I27:N27"/>
    <mergeCell ref="I28:N28"/>
    <mergeCell ref="I29:N29"/>
    <mergeCell ref="I30:N30"/>
    <mergeCell ref="I31:N31"/>
    <mergeCell ref="I32:N32"/>
    <mergeCell ref="I33:N33"/>
    <mergeCell ref="I34:N34"/>
    <mergeCell ref="I35:N35"/>
    <mergeCell ref="I36:N36"/>
    <mergeCell ref="I37:N37"/>
    <mergeCell ref="I38:N38"/>
    <mergeCell ref="I39:N39"/>
    <mergeCell ref="I40:N40"/>
    <mergeCell ref="I41:N41"/>
    <mergeCell ref="I42:N42"/>
    <mergeCell ref="I43:N43"/>
    <mergeCell ref="I44:N44"/>
    <mergeCell ref="I45:N45"/>
    <mergeCell ref="I46:N46"/>
    <mergeCell ref="I47:N47"/>
    <mergeCell ref="I48:N48"/>
    <mergeCell ref="I49:N49"/>
    <mergeCell ref="I50:N50"/>
    <mergeCell ref="I51:N51"/>
    <mergeCell ref="I52:N52"/>
    <mergeCell ref="I53:N53"/>
    <mergeCell ref="I54:N54"/>
    <mergeCell ref="I55:N55"/>
    <mergeCell ref="I56:N56"/>
    <mergeCell ref="I57:N57"/>
    <mergeCell ref="I58:N58"/>
    <mergeCell ref="A67:N67"/>
    <mergeCell ref="G69:N69"/>
    <mergeCell ref="I59:N59"/>
    <mergeCell ref="I60:N60"/>
    <mergeCell ref="I61:N61"/>
    <mergeCell ref="I62:N62"/>
    <mergeCell ref="A64:N64"/>
    <mergeCell ref="A65:N65"/>
    <mergeCell ref="A63:N63"/>
    <mergeCell ref="A66:N66"/>
    <mergeCell ref="A70:C70"/>
    <mergeCell ref="I70:N70"/>
    <mergeCell ref="A68:N68"/>
    <mergeCell ref="A69:C69"/>
    <mergeCell ref="A71:C71"/>
    <mergeCell ref="I73:N73"/>
    <mergeCell ref="I74:N74"/>
    <mergeCell ref="I75:N75"/>
    <mergeCell ref="I76:N76"/>
    <mergeCell ref="I77:N77"/>
    <mergeCell ref="I78:N78"/>
    <mergeCell ref="I79:N79"/>
    <mergeCell ref="I80:N80"/>
    <mergeCell ref="I81:N81"/>
    <mergeCell ref="I82:N82"/>
    <mergeCell ref="I83:N83"/>
    <mergeCell ref="I84:N84"/>
    <mergeCell ref="I85:N85"/>
    <mergeCell ref="I86:N86"/>
    <mergeCell ref="I87:N87"/>
    <mergeCell ref="I88:N88"/>
    <mergeCell ref="I89:N89"/>
    <mergeCell ref="I90:N90"/>
    <mergeCell ref="I91:N91"/>
    <mergeCell ref="I92:N92"/>
    <mergeCell ref="I93:N93"/>
    <mergeCell ref="I94:N94"/>
    <mergeCell ref="I95:N95"/>
    <mergeCell ref="I100:N100"/>
    <mergeCell ref="I101:N101"/>
    <mergeCell ref="I102:N102"/>
    <mergeCell ref="I96:N96"/>
    <mergeCell ref="I97:N97"/>
    <mergeCell ref="I98:N98"/>
    <mergeCell ref="I99:N99"/>
    <mergeCell ref="I103:N103"/>
    <mergeCell ref="I104:N104"/>
    <mergeCell ref="I105:N105"/>
    <mergeCell ref="I106:N106"/>
    <mergeCell ref="I111:N111"/>
    <mergeCell ref="I112:N112"/>
    <mergeCell ref="I113:N113"/>
    <mergeCell ref="I107:N107"/>
    <mergeCell ref="I108:N108"/>
    <mergeCell ref="I109:N109"/>
    <mergeCell ref="I110:N110"/>
    <mergeCell ref="I114:N114"/>
    <mergeCell ref="I115:N115"/>
    <mergeCell ref="I116:N116"/>
    <mergeCell ref="I117:N117"/>
    <mergeCell ref="I118:N118"/>
    <mergeCell ref="I119:N119"/>
    <mergeCell ref="A127:N127"/>
    <mergeCell ref="A128:N128"/>
    <mergeCell ref="I123:N123"/>
    <mergeCell ref="I124:N124"/>
    <mergeCell ref="I125:N125"/>
    <mergeCell ref="A126:N126"/>
    <mergeCell ref="A134:C134"/>
    <mergeCell ref="I120:N120"/>
    <mergeCell ref="I121:N121"/>
    <mergeCell ref="I122:N122"/>
    <mergeCell ref="A130:N130"/>
    <mergeCell ref="G132:N132"/>
    <mergeCell ref="A133:C133"/>
    <mergeCell ref="I133:N133"/>
    <mergeCell ref="A131:N131"/>
    <mergeCell ref="A132:C132"/>
    <mergeCell ref="I135:N135"/>
    <mergeCell ref="I136:N136"/>
    <mergeCell ref="I137:N137"/>
    <mergeCell ref="I138:N138"/>
    <mergeCell ref="I139:N139"/>
    <mergeCell ref="I140:N140"/>
    <mergeCell ref="I141:N141"/>
    <mergeCell ref="I142:N142"/>
    <mergeCell ref="I143:N143"/>
    <mergeCell ref="I144:N144"/>
    <mergeCell ref="I145:N145"/>
    <mergeCell ref="I146:N146"/>
    <mergeCell ref="I147:N147"/>
    <mergeCell ref="A148:C148"/>
    <mergeCell ref="I148:N148"/>
    <mergeCell ref="I149:N149"/>
    <mergeCell ref="I150:N150"/>
    <mergeCell ref="I151:N151"/>
    <mergeCell ref="I152:N152"/>
    <mergeCell ref="I153:N153"/>
    <mergeCell ref="I154:N154"/>
    <mergeCell ref="I155:N155"/>
    <mergeCell ref="I156:N156"/>
    <mergeCell ref="I157:N157"/>
    <mergeCell ref="I158:N158"/>
    <mergeCell ref="I159:N159"/>
    <mergeCell ref="I160:N160"/>
    <mergeCell ref="I161:N161"/>
    <mergeCell ref="I162:N162"/>
    <mergeCell ref="I163:N163"/>
    <mergeCell ref="I164:N164"/>
    <mergeCell ref="I165:N165"/>
    <mergeCell ref="I171:N171"/>
    <mergeCell ref="I172:N172"/>
    <mergeCell ref="I173:N173"/>
    <mergeCell ref="I166:N166"/>
    <mergeCell ref="I167:N167"/>
    <mergeCell ref="I168:N168"/>
    <mergeCell ref="I169:N169"/>
    <mergeCell ref="A191:N191"/>
    <mergeCell ref="A189:N189"/>
    <mergeCell ref="I181:N181"/>
    <mergeCell ref="I182:N182"/>
    <mergeCell ref="I183:N183"/>
    <mergeCell ref="I185:N185"/>
    <mergeCell ref="I186:N186"/>
    <mergeCell ref="I187:N187"/>
    <mergeCell ref="A188:N188"/>
    <mergeCell ref="A190:N190"/>
    <mergeCell ref="A196:C196"/>
    <mergeCell ref="I196:N196"/>
    <mergeCell ref="A192:N192"/>
    <mergeCell ref="A194:N194"/>
    <mergeCell ref="A195:C195"/>
    <mergeCell ref="A193:N193"/>
    <mergeCell ref="G195:N195"/>
    <mergeCell ref="A197:C197"/>
    <mergeCell ref="I198:N198"/>
    <mergeCell ref="I199:N199"/>
    <mergeCell ref="I200:N200"/>
    <mergeCell ref="I197:N197"/>
    <mergeCell ref="I201:N201"/>
    <mergeCell ref="I202:N202"/>
    <mergeCell ref="I203:N203"/>
    <mergeCell ref="I204:N204"/>
    <mergeCell ref="I205:N205"/>
    <mergeCell ref="I206:N206"/>
    <mergeCell ref="I207:N207"/>
    <mergeCell ref="A215:C215"/>
    <mergeCell ref="I215:N215"/>
    <mergeCell ref="I208:N208"/>
    <mergeCell ref="I209:N209"/>
    <mergeCell ref="I210:N210"/>
    <mergeCell ref="I211:N211"/>
    <mergeCell ref="I218:N218"/>
    <mergeCell ref="I219:N219"/>
    <mergeCell ref="I212:N212"/>
    <mergeCell ref="I213:N213"/>
    <mergeCell ref="I214:N214"/>
    <mergeCell ref="I216:N216"/>
    <mergeCell ref="I217:N217"/>
    <mergeCell ref="A229:N229"/>
    <mergeCell ref="A230:N230"/>
    <mergeCell ref="A231:N231"/>
    <mergeCell ref="I224:N224"/>
    <mergeCell ref="I225:N225"/>
    <mergeCell ref="I226:N226"/>
    <mergeCell ref="I227:N227"/>
    <mergeCell ref="I228:N228"/>
    <mergeCell ref="I220:N220"/>
    <mergeCell ref="I221:N221"/>
    <mergeCell ref="I222:N222"/>
    <mergeCell ref="I223:N223"/>
    <mergeCell ref="A129:N129"/>
    <mergeCell ref="I184:N184"/>
    <mergeCell ref="I178:N178"/>
    <mergeCell ref="I179:N179"/>
    <mergeCell ref="I180:N180"/>
    <mergeCell ref="I174:N174"/>
    <mergeCell ref="I175:N175"/>
    <mergeCell ref="I176:N176"/>
    <mergeCell ref="I177:N177"/>
    <mergeCell ref="I170:N170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8"/>
  <sheetViews>
    <sheetView workbookViewId="0" topLeftCell="A1">
      <selection activeCell="A1" sqref="A1:N1"/>
    </sheetView>
  </sheetViews>
  <sheetFormatPr defaultColWidth="9.140625" defaultRowHeight="11.25" customHeight="1"/>
  <cols>
    <col min="1" max="2" width="16.7109375" style="101" customWidth="1"/>
    <col min="3" max="4" width="0.85546875" style="101" customWidth="1"/>
    <col min="5" max="5" width="6.7109375" style="101" customWidth="1"/>
    <col min="6" max="6" width="1.7109375" style="101" customWidth="1"/>
    <col min="7" max="7" width="9.28125" style="101" customWidth="1"/>
    <col min="8" max="8" width="1.7109375" style="101" customWidth="1"/>
    <col min="9" max="9" width="12.28125" style="101" customWidth="1"/>
    <col min="10" max="10" width="1.7109375" style="101" customWidth="1"/>
    <col min="11" max="11" width="12.28125" style="101" customWidth="1"/>
    <col min="12" max="12" width="1.7109375" style="101" customWidth="1"/>
    <col min="13" max="13" width="12.28125" style="101" customWidth="1"/>
    <col min="14" max="14" width="1.7109375" style="101" customWidth="1"/>
    <col min="15" max="16384" width="8.00390625" style="101" customWidth="1"/>
  </cols>
  <sheetData>
    <row r="1" spans="1:14" ht="11.25" customHeight="1">
      <c r="A1" s="172" t="s">
        <v>425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1.25" customHeight="1">
      <c r="A2" s="172" t="s">
        <v>678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1.2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11.25" customHeight="1">
      <c r="A4" s="172" t="s">
        <v>1004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4" ht="11.25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1:14" ht="11.25" customHeight="1">
      <c r="A6" s="180"/>
      <c r="B6" s="180"/>
      <c r="C6" s="180"/>
      <c r="D6" s="99"/>
      <c r="E6" s="100"/>
      <c r="F6" s="104"/>
      <c r="G6" s="179" t="s">
        <v>679</v>
      </c>
      <c r="H6" s="179"/>
      <c r="I6" s="179"/>
      <c r="J6" s="179"/>
      <c r="K6" s="179"/>
      <c r="L6" s="179"/>
      <c r="M6" s="179"/>
      <c r="N6" s="179"/>
    </row>
    <row r="7" spans="1:14" ht="11.25" customHeight="1">
      <c r="A7" s="153" t="s">
        <v>713</v>
      </c>
      <c r="B7" s="153"/>
      <c r="C7" s="153"/>
      <c r="D7" s="102"/>
      <c r="E7" s="105" t="s">
        <v>1017</v>
      </c>
      <c r="F7" s="106"/>
      <c r="G7" s="105" t="s">
        <v>131</v>
      </c>
      <c r="H7" s="106"/>
      <c r="I7" s="179" t="s">
        <v>420</v>
      </c>
      <c r="J7" s="179"/>
      <c r="K7" s="179"/>
      <c r="L7" s="179"/>
      <c r="M7" s="179"/>
      <c r="N7" s="179"/>
    </row>
    <row r="8" spans="1:14" ht="11.25" customHeight="1">
      <c r="A8" s="150" t="s">
        <v>1010</v>
      </c>
      <c r="B8" s="150"/>
      <c r="C8" s="150"/>
      <c r="D8" s="103"/>
      <c r="E8" s="107"/>
      <c r="F8" s="108"/>
      <c r="G8" s="107"/>
      <c r="H8" s="108"/>
      <c r="I8" s="173"/>
      <c r="J8" s="173"/>
      <c r="K8" s="173"/>
      <c r="L8" s="173"/>
      <c r="M8" s="173"/>
      <c r="N8" s="173"/>
    </row>
    <row r="9" spans="1:14" ht="11.25" customHeight="1">
      <c r="A9" s="109" t="s">
        <v>1011</v>
      </c>
      <c r="B9" s="109"/>
      <c r="C9" s="110"/>
      <c r="D9" s="99"/>
      <c r="E9" s="62"/>
      <c r="F9" s="111"/>
      <c r="G9" s="112"/>
      <c r="H9" s="111"/>
      <c r="I9" s="151"/>
      <c r="J9" s="151"/>
      <c r="K9" s="151"/>
      <c r="L9" s="151"/>
      <c r="M9" s="151"/>
      <c r="N9" s="151"/>
    </row>
    <row r="10" spans="1:14" ht="11.25" customHeight="1">
      <c r="A10" s="113" t="s">
        <v>132</v>
      </c>
      <c r="B10" s="109"/>
      <c r="C10" s="140" t="s">
        <v>1012</v>
      </c>
      <c r="D10" s="102"/>
      <c r="E10" s="67">
        <v>2435</v>
      </c>
      <c r="F10" s="114"/>
      <c r="G10" s="83" t="s">
        <v>1018</v>
      </c>
      <c r="H10" s="115"/>
      <c r="I10" s="177" t="s">
        <v>426</v>
      </c>
      <c r="J10" s="184"/>
      <c r="K10" s="184"/>
      <c r="L10" s="184"/>
      <c r="M10" s="184"/>
      <c r="N10" s="184"/>
    </row>
    <row r="11" spans="1:14" ht="11.25" customHeight="1">
      <c r="A11" s="113" t="s">
        <v>134</v>
      </c>
      <c r="B11" s="109"/>
      <c r="C11" s="140" t="s">
        <v>754</v>
      </c>
      <c r="D11" s="109"/>
      <c r="E11" s="121">
        <v>1000</v>
      </c>
      <c r="F11" s="122"/>
      <c r="G11" s="51" t="s">
        <v>1018</v>
      </c>
      <c r="H11" s="126"/>
      <c r="I11" s="175" t="s">
        <v>427</v>
      </c>
      <c r="J11" s="185"/>
      <c r="K11" s="185"/>
      <c r="L11" s="185"/>
      <c r="M11" s="185"/>
      <c r="N11" s="185"/>
    </row>
    <row r="12" spans="1:14" ht="11.25" customHeight="1">
      <c r="A12" s="113" t="s">
        <v>136</v>
      </c>
      <c r="B12" s="109"/>
      <c r="C12" s="140"/>
      <c r="D12" s="109"/>
      <c r="E12" s="121">
        <v>231124</v>
      </c>
      <c r="F12" s="122"/>
      <c r="G12" s="51" t="s">
        <v>1018</v>
      </c>
      <c r="H12" s="126"/>
      <c r="I12" s="175" t="s">
        <v>428</v>
      </c>
      <c r="J12" s="185"/>
      <c r="K12" s="185"/>
      <c r="L12" s="185"/>
      <c r="M12" s="185"/>
      <c r="N12" s="185"/>
    </row>
    <row r="13" spans="1:14" ht="11.25" customHeight="1">
      <c r="A13" s="113" t="s">
        <v>138</v>
      </c>
      <c r="B13" s="109"/>
      <c r="C13" s="140"/>
      <c r="D13" s="109"/>
      <c r="E13" s="121">
        <v>156965</v>
      </c>
      <c r="F13" s="126"/>
      <c r="G13" s="51" t="s">
        <v>1018</v>
      </c>
      <c r="H13" s="122"/>
      <c r="I13" s="175" t="s">
        <v>429</v>
      </c>
      <c r="J13" s="185"/>
      <c r="K13" s="185"/>
      <c r="L13" s="185"/>
      <c r="M13" s="185"/>
      <c r="N13" s="185"/>
    </row>
    <row r="14" spans="1:14" ht="11.25" customHeight="1">
      <c r="A14" s="113" t="s">
        <v>140</v>
      </c>
      <c r="B14" s="109"/>
      <c r="C14" s="140"/>
      <c r="D14" s="99"/>
      <c r="E14" s="94"/>
      <c r="F14" s="111"/>
      <c r="G14" s="127"/>
      <c r="H14" s="111"/>
      <c r="I14" s="173"/>
      <c r="J14" s="173"/>
      <c r="K14" s="173"/>
      <c r="L14" s="173"/>
      <c r="M14" s="173"/>
      <c r="N14" s="173"/>
    </row>
    <row r="15" spans="1:14" ht="11.25" customHeight="1">
      <c r="A15" s="117" t="s">
        <v>141</v>
      </c>
      <c r="B15" s="109"/>
      <c r="C15" s="140" t="s">
        <v>1012</v>
      </c>
      <c r="D15" s="102"/>
      <c r="E15" s="67">
        <v>649</v>
      </c>
      <c r="F15" s="115"/>
      <c r="G15" s="83" t="s">
        <v>1018</v>
      </c>
      <c r="H15" s="115"/>
      <c r="I15" s="177" t="s">
        <v>430</v>
      </c>
      <c r="J15" s="184"/>
      <c r="K15" s="184"/>
      <c r="L15" s="184"/>
      <c r="M15" s="184"/>
      <c r="N15" s="184"/>
    </row>
    <row r="16" spans="1:14" ht="11.25" customHeight="1">
      <c r="A16" s="117" t="s">
        <v>143</v>
      </c>
      <c r="B16" s="109"/>
      <c r="C16" s="140" t="s">
        <v>754</v>
      </c>
      <c r="D16" s="109"/>
      <c r="E16" s="121">
        <v>690.05</v>
      </c>
      <c r="F16" s="126"/>
      <c r="G16" s="51" t="s">
        <v>1018</v>
      </c>
      <c r="H16" s="126"/>
      <c r="I16" s="175" t="s">
        <v>431</v>
      </c>
      <c r="J16" s="185"/>
      <c r="K16" s="185"/>
      <c r="L16" s="185"/>
      <c r="M16" s="185"/>
      <c r="N16" s="185"/>
    </row>
    <row r="17" spans="1:14" ht="11.25" customHeight="1">
      <c r="A17" s="117" t="s">
        <v>1016</v>
      </c>
      <c r="B17" s="109"/>
      <c r="C17" s="140"/>
      <c r="D17" s="109"/>
      <c r="E17" s="121">
        <v>431665</v>
      </c>
      <c r="F17" s="126"/>
      <c r="G17" s="51" t="s">
        <v>1018</v>
      </c>
      <c r="H17" s="126"/>
      <c r="I17" s="175" t="s">
        <v>432</v>
      </c>
      <c r="J17" s="185"/>
      <c r="K17" s="185"/>
      <c r="L17" s="185"/>
      <c r="M17" s="185"/>
      <c r="N17" s="185"/>
    </row>
    <row r="18" spans="1:14" ht="11.25" customHeight="1">
      <c r="A18" s="117" t="s">
        <v>146</v>
      </c>
      <c r="B18" s="109"/>
      <c r="C18" s="140"/>
      <c r="D18" s="109"/>
      <c r="E18" s="121">
        <v>438066</v>
      </c>
      <c r="F18" s="126"/>
      <c r="G18" s="51" t="s">
        <v>1018</v>
      </c>
      <c r="H18" s="126"/>
      <c r="I18" s="175" t="s">
        <v>433</v>
      </c>
      <c r="J18" s="185"/>
      <c r="K18" s="185"/>
      <c r="L18" s="185"/>
      <c r="M18" s="185"/>
      <c r="N18" s="185"/>
    </row>
    <row r="19" spans="1:14" ht="11.25" customHeight="1">
      <c r="A19" s="109" t="s">
        <v>148</v>
      </c>
      <c r="B19" s="109"/>
      <c r="C19" s="140"/>
      <c r="D19" s="103"/>
      <c r="E19" s="62"/>
      <c r="F19" s="111"/>
      <c r="G19" s="127"/>
      <c r="H19" s="108"/>
      <c r="I19" s="173"/>
      <c r="J19" s="180"/>
      <c r="K19" s="180"/>
      <c r="L19" s="180"/>
      <c r="M19" s="180"/>
      <c r="N19" s="180"/>
    </row>
    <row r="20" spans="1:14" ht="11.25" customHeight="1">
      <c r="A20" s="113" t="s">
        <v>151</v>
      </c>
      <c r="B20" s="109"/>
      <c r="C20" s="140"/>
      <c r="D20" s="102"/>
      <c r="E20" s="67">
        <v>146</v>
      </c>
      <c r="F20" s="115"/>
      <c r="G20" s="83" t="s">
        <v>1018</v>
      </c>
      <c r="H20" s="115"/>
      <c r="I20" s="177" t="s">
        <v>434</v>
      </c>
      <c r="J20" s="184"/>
      <c r="K20" s="184"/>
      <c r="L20" s="184"/>
      <c r="M20" s="184"/>
      <c r="N20" s="184"/>
    </row>
    <row r="21" spans="1:14" ht="11.25" customHeight="1">
      <c r="A21" s="113" t="s">
        <v>146</v>
      </c>
      <c r="B21" s="109"/>
      <c r="C21" s="140"/>
      <c r="D21" s="109"/>
      <c r="E21" s="121">
        <v>1</v>
      </c>
      <c r="F21" s="126"/>
      <c r="G21" s="51" t="s">
        <v>1018</v>
      </c>
      <c r="H21" s="126"/>
      <c r="I21" s="175" t="s">
        <v>226</v>
      </c>
      <c r="J21" s="185"/>
      <c r="K21" s="185"/>
      <c r="L21" s="185"/>
      <c r="M21" s="185"/>
      <c r="N21" s="185"/>
    </row>
    <row r="22" spans="1:14" ht="11.25" customHeight="1">
      <c r="A22" s="109" t="s">
        <v>153</v>
      </c>
      <c r="B22" s="109"/>
      <c r="C22" s="140"/>
      <c r="D22" s="109"/>
      <c r="E22" s="121">
        <v>2</v>
      </c>
      <c r="F22" s="122"/>
      <c r="G22" s="51" t="s">
        <v>1018</v>
      </c>
      <c r="H22" s="122"/>
      <c r="I22" s="175" t="s">
        <v>435</v>
      </c>
      <c r="J22" s="185"/>
      <c r="K22" s="185"/>
      <c r="L22" s="185"/>
      <c r="M22" s="185"/>
      <c r="N22" s="185"/>
    </row>
    <row r="23" spans="1:14" ht="11.25" customHeight="1">
      <c r="A23" s="109" t="s">
        <v>155</v>
      </c>
      <c r="B23" s="109"/>
      <c r="C23" s="140"/>
      <c r="D23" s="109"/>
      <c r="E23" s="121">
        <v>1489</v>
      </c>
      <c r="F23" s="122"/>
      <c r="G23" s="51" t="s">
        <v>1018</v>
      </c>
      <c r="H23" s="122"/>
      <c r="I23" s="175" t="s">
        <v>436</v>
      </c>
      <c r="J23" s="185"/>
      <c r="K23" s="185"/>
      <c r="L23" s="185"/>
      <c r="M23" s="185"/>
      <c r="N23" s="185"/>
    </row>
    <row r="24" spans="1:14" ht="11.25" customHeight="1">
      <c r="A24" s="109" t="s">
        <v>157</v>
      </c>
      <c r="B24" s="109"/>
      <c r="C24" s="141"/>
      <c r="D24" s="109"/>
      <c r="E24" s="121">
        <v>141483</v>
      </c>
      <c r="F24" s="122"/>
      <c r="G24" s="51" t="s">
        <v>1018</v>
      </c>
      <c r="H24" s="122"/>
      <c r="I24" s="175" t="s">
        <v>437</v>
      </c>
      <c r="J24" s="185"/>
      <c r="K24" s="185"/>
      <c r="L24" s="185"/>
      <c r="M24" s="185"/>
      <c r="N24" s="185"/>
    </row>
    <row r="25" spans="1:14" ht="11.25" customHeight="1">
      <c r="A25" s="109" t="s">
        <v>159</v>
      </c>
      <c r="B25" s="109"/>
      <c r="C25" s="140"/>
      <c r="D25" s="103"/>
      <c r="E25" s="62"/>
      <c r="F25" s="128"/>
      <c r="G25" s="127"/>
      <c r="H25" s="128"/>
      <c r="I25" s="173"/>
      <c r="J25" s="180"/>
      <c r="K25" s="180"/>
      <c r="L25" s="180"/>
      <c r="M25" s="180"/>
      <c r="N25" s="180"/>
    </row>
    <row r="26" spans="1:14" ht="11.25" customHeight="1">
      <c r="A26" s="113" t="s">
        <v>161</v>
      </c>
      <c r="B26" s="109"/>
      <c r="C26" s="140"/>
      <c r="D26" s="102"/>
      <c r="E26" s="67">
        <v>542</v>
      </c>
      <c r="F26" s="114"/>
      <c r="G26" s="83" t="s">
        <v>1018</v>
      </c>
      <c r="H26" s="114"/>
      <c r="I26" s="177" t="s">
        <v>438</v>
      </c>
      <c r="J26" s="184"/>
      <c r="K26" s="184"/>
      <c r="L26" s="184"/>
      <c r="M26" s="184"/>
      <c r="N26" s="184"/>
    </row>
    <row r="27" spans="1:14" ht="11.25" customHeight="1">
      <c r="A27" s="113" t="s">
        <v>151</v>
      </c>
      <c r="B27" s="109"/>
      <c r="C27" s="140"/>
      <c r="D27" s="109"/>
      <c r="E27" s="121">
        <v>2256</v>
      </c>
      <c r="F27" s="122"/>
      <c r="G27" s="51">
        <f>ROUND(0.106*E27,3-LEN(INT(0.106*E27)))</f>
        <v>239</v>
      </c>
      <c r="H27" s="122"/>
      <c r="I27" s="175" t="s">
        <v>439</v>
      </c>
      <c r="J27" s="185"/>
      <c r="K27" s="185"/>
      <c r="L27" s="185"/>
      <c r="M27" s="185"/>
      <c r="N27" s="185"/>
    </row>
    <row r="28" spans="1:14" ht="11.25" customHeight="1">
      <c r="A28" s="113" t="s">
        <v>146</v>
      </c>
      <c r="B28" s="109"/>
      <c r="C28" s="140"/>
      <c r="D28" s="109"/>
      <c r="E28" s="121">
        <v>230</v>
      </c>
      <c r="F28" s="122"/>
      <c r="G28" s="51">
        <f>ROUND(0.089*E28,3-LEN(INT(0.089*E28)))</f>
        <v>20.5</v>
      </c>
      <c r="H28" s="122"/>
      <c r="I28" s="175" t="s">
        <v>440</v>
      </c>
      <c r="J28" s="185"/>
      <c r="K28" s="185"/>
      <c r="L28" s="185"/>
      <c r="M28" s="185"/>
      <c r="N28" s="185"/>
    </row>
    <row r="29" spans="1:14" ht="11.25" customHeight="1">
      <c r="A29" s="109" t="s">
        <v>165</v>
      </c>
      <c r="B29" s="109"/>
      <c r="C29" s="140"/>
      <c r="D29" s="99"/>
      <c r="E29" s="62"/>
      <c r="F29" s="116"/>
      <c r="G29" s="72"/>
      <c r="H29" s="116"/>
      <c r="I29" s="151"/>
      <c r="J29" s="181"/>
      <c r="K29" s="181"/>
      <c r="L29" s="181"/>
      <c r="M29" s="181"/>
      <c r="N29" s="181"/>
    </row>
    <row r="30" spans="1:14" ht="11.25" customHeight="1">
      <c r="A30" s="113" t="s">
        <v>149</v>
      </c>
      <c r="B30" s="109"/>
      <c r="C30" s="140" t="s">
        <v>1012</v>
      </c>
      <c r="D30" s="102"/>
      <c r="E30" s="67">
        <v>1149</v>
      </c>
      <c r="F30" s="114"/>
      <c r="G30" s="83" t="s">
        <v>1018</v>
      </c>
      <c r="H30" s="114"/>
      <c r="I30" s="177" t="s">
        <v>444</v>
      </c>
      <c r="J30" s="184"/>
      <c r="K30" s="184"/>
      <c r="L30" s="184"/>
      <c r="M30" s="184"/>
      <c r="N30" s="184"/>
    </row>
    <row r="31" spans="1:14" ht="11.25" customHeight="1">
      <c r="A31" s="113" t="s">
        <v>167</v>
      </c>
      <c r="B31" s="109"/>
      <c r="C31" s="140"/>
      <c r="D31" s="109"/>
      <c r="E31" s="121">
        <v>27618</v>
      </c>
      <c r="F31" s="122"/>
      <c r="G31" s="51" t="s">
        <v>1018</v>
      </c>
      <c r="H31" s="122"/>
      <c r="I31" s="175" t="s">
        <v>445</v>
      </c>
      <c r="J31" s="185"/>
      <c r="K31" s="185"/>
      <c r="L31" s="185"/>
      <c r="M31" s="185"/>
      <c r="N31" s="185"/>
    </row>
    <row r="32" spans="1:14" ht="11.25" customHeight="1">
      <c r="A32" s="113" t="s">
        <v>169</v>
      </c>
      <c r="B32" s="109"/>
      <c r="C32" s="140"/>
      <c r="D32" s="109"/>
      <c r="E32" s="121">
        <v>47524</v>
      </c>
      <c r="F32" s="122"/>
      <c r="G32" s="51">
        <f>ROUND(0.077*E32,3-LEN(INT(0.077*E32)))</f>
        <v>3660</v>
      </c>
      <c r="H32" s="122"/>
      <c r="I32" s="175" t="s">
        <v>446</v>
      </c>
      <c r="J32" s="185"/>
      <c r="K32" s="185"/>
      <c r="L32" s="185"/>
      <c r="M32" s="185"/>
      <c r="N32" s="185"/>
    </row>
    <row r="33" spans="1:14" ht="11.25" customHeight="1">
      <c r="A33" s="113" t="s">
        <v>140</v>
      </c>
      <c r="B33" s="109"/>
      <c r="C33" s="140"/>
      <c r="D33" s="99"/>
      <c r="E33" s="62"/>
      <c r="F33" s="128"/>
      <c r="G33" s="127"/>
      <c r="H33" s="128"/>
      <c r="I33" s="173"/>
      <c r="J33" s="180"/>
      <c r="K33" s="180"/>
      <c r="L33" s="180"/>
      <c r="M33" s="180"/>
      <c r="N33" s="180"/>
    </row>
    <row r="34" spans="1:14" ht="11.25" customHeight="1">
      <c r="A34" s="117" t="s">
        <v>171</v>
      </c>
      <c r="B34" s="109"/>
      <c r="C34" s="140"/>
      <c r="D34" s="102"/>
      <c r="E34" s="67">
        <v>36671</v>
      </c>
      <c r="F34" s="114"/>
      <c r="G34" s="83" t="s">
        <v>1018</v>
      </c>
      <c r="H34" s="114"/>
      <c r="I34" s="177" t="s">
        <v>447</v>
      </c>
      <c r="J34" s="184"/>
      <c r="K34" s="184"/>
      <c r="L34" s="184"/>
      <c r="M34" s="184"/>
      <c r="N34" s="184"/>
    </row>
    <row r="35" spans="1:14" ht="11.25" customHeight="1">
      <c r="A35" s="117" t="s">
        <v>173</v>
      </c>
      <c r="B35" s="109"/>
      <c r="C35" s="140" t="s">
        <v>1012</v>
      </c>
      <c r="D35" s="109"/>
      <c r="E35" s="121">
        <v>625</v>
      </c>
      <c r="F35" s="122"/>
      <c r="G35" s="51" t="s">
        <v>1018</v>
      </c>
      <c r="H35" s="122"/>
      <c r="I35" s="175" t="s">
        <v>448</v>
      </c>
      <c r="J35" s="185"/>
      <c r="K35" s="185"/>
      <c r="L35" s="185"/>
      <c r="M35" s="185"/>
      <c r="N35" s="185"/>
    </row>
    <row r="36" spans="1:14" ht="11.25" customHeight="1">
      <c r="A36" s="117" t="s">
        <v>175</v>
      </c>
      <c r="B36" s="109"/>
      <c r="C36" s="140"/>
      <c r="D36" s="109"/>
      <c r="E36" s="121">
        <v>26657</v>
      </c>
      <c r="F36" s="122"/>
      <c r="G36" s="51" t="s">
        <v>1018</v>
      </c>
      <c r="H36" s="122"/>
      <c r="I36" s="175" t="s">
        <v>449</v>
      </c>
      <c r="J36" s="185"/>
      <c r="K36" s="185"/>
      <c r="L36" s="185"/>
      <c r="M36" s="185"/>
      <c r="N36" s="185"/>
    </row>
    <row r="37" spans="1:14" ht="11.25" customHeight="1">
      <c r="A37" s="117" t="s">
        <v>146</v>
      </c>
      <c r="B37" s="109"/>
      <c r="C37" s="140"/>
      <c r="D37" s="109"/>
      <c r="E37" s="121">
        <v>432147</v>
      </c>
      <c r="F37" s="122"/>
      <c r="G37" s="51" t="s">
        <v>1018</v>
      </c>
      <c r="H37" s="122"/>
      <c r="I37" s="175" t="s">
        <v>450</v>
      </c>
      <c r="J37" s="185"/>
      <c r="K37" s="185"/>
      <c r="L37" s="185"/>
      <c r="M37" s="185"/>
      <c r="N37" s="185"/>
    </row>
    <row r="38" spans="1:14" ht="11.25" customHeight="1">
      <c r="A38" s="109" t="s">
        <v>451</v>
      </c>
      <c r="B38" s="109"/>
      <c r="C38" s="140"/>
      <c r="D38" s="109"/>
      <c r="E38" s="121">
        <v>25</v>
      </c>
      <c r="F38" s="122"/>
      <c r="G38" s="51">
        <f>ROUND(0.147*E38,3-LEN(INT(0.147*E38)))</f>
        <v>3.68</v>
      </c>
      <c r="H38" s="122"/>
      <c r="I38" s="175" t="s">
        <v>452</v>
      </c>
      <c r="J38" s="185"/>
      <c r="K38" s="185"/>
      <c r="L38" s="185"/>
      <c r="M38" s="185"/>
      <c r="N38" s="185"/>
    </row>
    <row r="39" spans="1:14" ht="11.25" customHeight="1">
      <c r="A39" s="109" t="s">
        <v>180</v>
      </c>
      <c r="B39" s="109"/>
      <c r="C39" s="140"/>
      <c r="D39" s="109"/>
      <c r="E39" s="121">
        <v>2349</v>
      </c>
      <c r="F39" s="122"/>
      <c r="G39" s="51">
        <f>ROUND(0.133*E39,3-LEN(INT(0.133*E39)))</f>
        <v>312</v>
      </c>
      <c r="H39" s="122"/>
      <c r="I39" s="175" t="s">
        <v>453</v>
      </c>
      <c r="J39" s="185"/>
      <c r="K39" s="185"/>
      <c r="L39" s="185"/>
      <c r="M39" s="185"/>
      <c r="N39" s="185"/>
    </row>
    <row r="40" spans="1:14" ht="11.25" customHeight="1">
      <c r="A40" s="109" t="s">
        <v>182</v>
      </c>
      <c r="B40" s="109"/>
      <c r="C40" s="140"/>
      <c r="D40" s="99"/>
      <c r="E40" s="62"/>
      <c r="F40" s="128"/>
      <c r="G40" s="127"/>
      <c r="H40" s="128"/>
      <c r="I40" s="173"/>
      <c r="J40" s="180"/>
      <c r="K40" s="180"/>
      <c r="L40" s="180"/>
      <c r="M40" s="180"/>
      <c r="N40" s="180"/>
    </row>
    <row r="41" spans="1:14" ht="11.25" customHeight="1">
      <c r="A41" s="113" t="s">
        <v>151</v>
      </c>
      <c r="B41" s="109"/>
      <c r="C41" s="140" t="s">
        <v>1033</v>
      </c>
      <c r="D41" s="102"/>
      <c r="E41" s="67">
        <v>29</v>
      </c>
      <c r="F41" s="114"/>
      <c r="G41" s="83">
        <f>ROUND(0.321*E41,3-LEN(INT(0.321*E41)))</f>
        <v>9.31</v>
      </c>
      <c r="H41" s="114"/>
      <c r="I41" s="177" t="s">
        <v>454</v>
      </c>
      <c r="J41" s="184"/>
      <c r="K41" s="184"/>
      <c r="L41" s="184"/>
      <c r="M41" s="184"/>
      <c r="N41" s="184"/>
    </row>
    <row r="42" spans="1:14" ht="11.25" customHeight="1">
      <c r="A42" s="113" t="s">
        <v>184</v>
      </c>
      <c r="B42" s="109"/>
      <c r="C42" s="141"/>
      <c r="D42" s="109"/>
      <c r="E42" s="121">
        <v>1926</v>
      </c>
      <c r="F42" s="122"/>
      <c r="G42" s="51" t="s">
        <v>1018</v>
      </c>
      <c r="H42" s="122"/>
      <c r="I42" s="175" t="s">
        <v>455</v>
      </c>
      <c r="J42" s="185"/>
      <c r="K42" s="185"/>
      <c r="L42" s="185"/>
      <c r="M42" s="185"/>
      <c r="N42" s="185"/>
    </row>
    <row r="43" spans="1:14" ht="11.25" customHeight="1">
      <c r="A43" s="109" t="s">
        <v>1023</v>
      </c>
      <c r="B43" s="109"/>
      <c r="C43" s="140"/>
      <c r="D43" s="99"/>
      <c r="E43" s="62"/>
      <c r="F43" s="128"/>
      <c r="G43" s="127"/>
      <c r="H43" s="128"/>
      <c r="I43" s="173"/>
      <c r="J43" s="180"/>
      <c r="K43" s="180"/>
      <c r="L43" s="180"/>
      <c r="M43" s="180"/>
      <c r="N43" s="180"/>
    </row>
    <row r="44" spans="1:14" ht="11.25" customHeight="1">
      <c r="A44" s="113" t="s">
        <v>149</v>
      </c>
      <c r="B44" s="109"/>
      <c r="C44" s="140" t="s">
        <v>1012</v>
      </c>
      <c r="D44" s="102"/>
      <c r="E44" s="67">
        <v>39061</v>
      </c>
      <c r="F44" s="114"/>
      <c r="G44" s="83" t="s">
        <v>1018</v>
      </c>
      <c r="H44" s="114"/>
      <c r="I44" s="177" t="s">
        <v>456</v>
      </c>
      <c r="J44" s="184"/>
      <c r="K44" s="184"/>
      <c r="L44" s="184"/>
      <c r="M44" s="184"/>
      <c r="N44" s="184"/>
    </row>
    <row r="45" spans="1:14" ht="11.25" customHeight="1">
      <c r="A45" s="113" t="s">
        <v>187</v>
      </c>
      <c r="B45" s="109"/>
      <c r="C45" s="140"/>
      <c r="D45" s="109"/>
      <c r="E45" s="121">
        <v>20496</v>
      </c>
      <c r="F45" s="122"/>
      <c r="G45" s="51" t="s">
        <v>1018</v>
      </c>
      <c r="H45" s="122"/>
      <c r="I45" s="175" t="s">
        <v>457</v>
      </c>
      <c r="J45" s="185"/>
      <c r="K45" s="185"/>
      <c r="L45" s="185"/>
      <c r="M45" s="185"/>
      <c r="N45" s="185"/>
    </row>
    <row r="46" spans="1:14" ht="11.25" customHeight="1">
      <c r="A46" s="113" t="s">
        <v>189</v>
      </c>
      <c r="B46" s="109"/>
      <c r="C46" s="140"/>
      <c r="D46" s="109"/>
      <c r="E46" s="121">
        <v>185409</v>
      </c>
      <c r="F46" s="122"/>
      <c r="G46" s="51" t="s">
        <v>1018</v>
      </c>
      <c r="H46" s="122"/>
      <c r="I46" s="175" t="s">
        <v>458</v>
      </c>
      <c r="J46" s="185"/>
      <c r="K46" s="185"/>
      <c r="L46" s="185"/>
      <c r="M46" s="185"/>
      <c r="N46" s="185"/>
    </row>
    <row r="47" spans="1:14" ht="11.25" customHeight="1">
      <c r="A47" s="113" t="s">
        <v>1014</v>
      </c>
      <c r="B47" s="109"/>
      <c r="C47" s="140"/>
      <c r="D47" s="99"/>
      <c r="E47" s="62"/>
      <c r="F47" s="116"/>
      <c r="G47" s="72"/>
      <c r="H47" s="116"/>
      <c r="I47" s="151"/>
      <c r="J47" s="181"/>
      <c r="K47" s="181"/>
      <c r="L47" s="181"/>
      <c r="M47" s="181"/>
      <c r="N47" s="181"/>
    </row>
    <row r="48" spans="1:14" ht="11.25" customHeight="1">
      <c r="A48" s="117" t="s">
        <v>191</v>
      </c>
      <c r="B48" s="109"/>
      <c r="C48" s="140"/>
      <c r="D48" s="102"/>
      <c r="E48" s="67">
        <v>320422</v>
      </c>
      <c r="F48" s="114"/>
      <c r="G48" s="83" t="s">
        <v>1018</v>
      </c>
      <c r="H48" s="114"/>
      <c r="I48" s="177" t="s">
        <v>459</v>
      </c>
      <c r="J48" s="184"/>
      <c r="K48" s="184"/>
      <c r="L48" s="184"/>
      <c r="M48" s="184"/>
      <c r="N48" s="184"/>
    </row>
    <row r="49" spans="1:14" ht="11.25" customHeight="1">
      <c r="A49" s="117" t="s">
        <v>146</v>
      </c>
      <c r="B49" s="109"/>
      <c r="C49" s="140" t="s">
        <v>1012</v>
      </c>
      <c r="D49" s="109"/>
      <c r="E49" s="121">
        <v>5273</v>
      </c>
      <c r="F49" s="122"/>
      <c r="G49" s="51" t="s">
        <v>1018</v>
      </c>
      <c r="H49" s="122"/>
      <c r="I49" s="175" t="s">
        <v>460</v>
      </c>
      <c r="J49" s="185"/>
      <c r="K49" s="185"/>
      <c r="L49" s="185"/>
      <c r="M49" s="185"/>
      <c r="N49" s="185"/>
    </row>
    <row r="50" spans="1:14" ht="11.25" customHeight="1">
      <c r="A50" s="117" t="s">
        <v>194</v>
      </c>
      <c r="B50" s="109"/>
      <c r="C50" s="140"/>
      <c r="D50" s="109"/>
      <c r="E50" s="121">
        <v>156048</v>
      </c>
      <c r="F50" s="126"/>
      <c r="G50" s="51" t="s">
        <v>1018</v>
      </c>
      <c r="H50" s="126"/>
      <c r="I50" s="175" t="s">
        <v>461</v>
      </c>
      <c r="J50" s="176"/>
      <c r="K50" s="176"/>
      <c r="L50" s="176"/>
      <c r="M50" s="176"/>
      <c r="N50" s="176"/>
    </row>
    <row r="51" spans="1:14" ht="11.25" customHeight="1">
      <c r="A51" s="117" t="s">
        <v>1027</v>
      </c>
      <c r="B51" s="109"/>
      <c r="C51" s="140"/>
      <c r="D51" s="99"/>
      <c r="E51" s="62"/>
      <c r="F51" s="111"/>
      <c r="G51" s="62"/>
      <c r="H51" s="111"/>
      <c r="I51" s="173"/>
      <c r="J51" s="173"/>
      <c r="K51" s="173"/>
      <c r="L51" s="173"/>
      <c r="M51" s="173"/>
      <c r="N51" s="173"/>
    </row>
    <row r="52" spans="1:14" ht="11.25" customHeight="1">
      <c r="A52" s="118" t="s">
        <v>1029</v>
      </c>
      <c r="B52" s="109"/>
      <c r="C52" s="140"/>
      <c r="D52" s="102"/>
      <c r="E52" s="67">
        <v>454703</v>
      </c>
      <c r="F52" s="114"/>
      <c r="G52" s="83" t="s">
        <v>1018</v>
      </c>
      <c r="H52" s="114"/>
      <c r="I52" s="177" t="s">
        <v>462</v>
      </c>
      <c r="J52" s="184"/>
      <c r="K52" s="184"/>
      <c r="L52" s="184"/>
      <c r="M52" s="184"/>
      <c r="N52" s="184"/>
    </row>
    <row r="53" spans="1:14" ht="11.25" customHeight="1">
      <c r="A53" s="118" t="s">
        <v>197</v>
      </c>
      <c r="B53" s="109"/>
      <c r="C53" s="140"/>
      <c r="D53" s="109"/>
      <c r="E53" s="121">
        <v>170967</v>
      </c>
      <c r="F53" s="122"/>
      <c r="G53" s="51" t="s">
        <v>1018</v>
      </c>
      <c r="H53" s="122"/>
      <c r="I53" s="175" t="s">
        <v>463</v>
      </c>
      <c r="J53" s="185"/>
      <c r="K53" s="185"/>
      <c r="L53" s="185"/>
      <c r="M53" s="185"/>
      <c r="N53" s="185"/>
    </row>
    <row r="54" spans="1:14" ht="11.25" customHeight="1">
      <c r="A54" s="118" t="s">
        <v>199</v>
      </c>
      <c r="B54" s="109"/>
      <c r="C54" s="140"/>
      <c r="D54" s="109"/>
      <c r="E54" s="121">
        <v>15594</v>
      </c>
      <c r="F54" s="122"/>
      <c r="G54" s="51" t="s">
        <v>1018</v>
      </c>
      <c r="H54" s="122"/>
      <c r="I54" s="175" t="s">
        <v>464</v>
      </c>
      <c r="J54" s="185"/>
      <c r="K54" s="185"/>
      <c r="L54" s="185"/>
      <c r="M54" s="185"/>
      <c r="N54" s="185"/>
    </row>
    <row r="55" spans="1:14" ht="11.25" customHeight="1">
      <c r="A55" s="118" t="s">
        <v>201</v>
      </c>
      <c r="B55" s="109"/>
      <c r="C55" s="140"/>
      <c r="D55" s="109"/>
      <c r="E55" s="121">
        <v>157091</v>
      </c>
      <c r="F55" s="122"/>
      <c r="G55" s="51" t="s">
        <v>1018</v>
      </c>
      <c r="H55" s="122"/>
      <c r="I55" s="175" t="s">
        <v>465</v>
      </c>
      <c r="J55" s="185"/>
      <c r="K55" s="185"/>
      <c r="L55" s="185"/>
      <c r="M55" s="185"/>
      <c r="N55" s="185"/>
    </row>
    <row r="56" spans="1:14" ht="11.25" customHeight="1">
      <c r="A56" s="118" t="s">
        <v>203</v>
      </c>
      <c r="B56" s="109"/>
      <c r="C56" s="140"/>
      <c r="D56" s="109"/>
      <c r="E56" s="121">
        <v>1429</v>
      </c>
      <c r="F56" s="122"/>
      <c r="G56" s="51" t="s">
        <v>1018</v>
      </c>
      <c r="H56" s="122"/>
      <c r="I56" s="175" t="s">
        <v>466</v>
      </c>
      <c r="J56" s="185"/>
      <c r="K56" s="185"/>
      <c r="L56" s="185"/>
      <c r="M56" s="185"/>
      <c r="N56" s="185"/>
    </row>
    <row r="57" spans="1:14" ht="11.25" customHeight="1">
      <c r="A57" s="118" t="s">
        <v>205</v>
      </c>
      <c r="B57" s="109"/>
      <c r="C57" s="140"/>
      <c r="D57" s="109"/>
      <c r="E57" s="121">
        <v>6831</v>
      </c>
      <c r="F57" s="122"/>
      <c r="G57" s="51" t="s">
        <v>1018</v>
      </c>
      <c r="H57" s="122"/>
      <c r="I57" s="175" t="s">
        <v>467</v>
      </c>
      <c r="J57" s="185"/>
      <c r="K57" s="185"/>
      <c r="L57" s="185"/>
      <c r="M57" s="185"/>
      <c r="N57" s="185"/>
    </row>
    <row r="58" spans="1:14" ht="11.25" customHeight="1">
      <c r="A58" s="118" t="s">
        <v>207</v>
      </c>
      <c r="B58" s="109"/>
      <c r="C58" s="140"/>
      <c r="D58" s="102"/>
      <c r="E58" s="67">
        <v>172967</v>
      </c>
      <c r="F58" s="114"/>
      <c r="G58" s="83" t="s">
        <v>1018</v>
      </c>
      <c r="H58" s="114"/>
      <c r="I58" s="177" t="s">
        <v>472</v>
      </c>
      <c r="J58" s="184"/>
      <c r="K58" s="184"/>
      <c r="L58" s="184"/>
      <c r="M58" s="184"/>
      <c r="N58" s="184"/>
    </row>
    <row r="59" spans="1:14" ht="11.25" customHeight="1">
      <c r="A59" s="118" t="s">
        <v>209</v>
      </c>
      <c r="B59" s="109"/>
      <c r="C59" s="140"/>
      <c r="D59" s="102"/>
      <c r="E59" s="67">
        <v>238120</v>
      </c>
      <c r="F59" s="114"/>
      <c r="G59" s="83" t="s">
        <v>1018</v>
      </c>
      <c r="H59" s="114"/>
      <c r="I59" s="177" t="s">
        <v>474</v>
      </c>
      <c r="J59" s="184"/>
      <c r="K59" s="184"/>
      <c r="L59" s="184"/>
      <c r="M59" s="184"/>
      <c r="N59" s="184"/>
    </row>
    <row r="60" spans="1:14" ht="11.25" customHeight="1">
      <c r="A60" s="118" t="s">
        <v>211</v>
      </c>
      <c r="B60" s="109"/>
      <c r="C60" s="140"/>
      <c r="D60" s="102"/>
      <c r="E60" s="67">
        <v>600</v>
      </c>
      <c r="F60" s="114"/>
      <c r="G60" s="83" t="s">
        <v>1018</v>
      </c>
      <c r="H60" s="114"/>
      <c r="I60" s="177" t="s">
        <v>475</v>
      </c>
      <c r="J60" s="184"/>
      <c r="K60" s="184"/>
      <c r="L60" s="184"/>
      <c r="M60" s="184"/>
      <c r="N60" s="184"/>
    </row>
    <row r="61" spans="1:14" ht="11.25" customHeight="1">
      <c r="A61" s="118" t="s">
        <v>213</v>
      </c>
      <c r="B61" s="109"/>
      <c r="C61" s="140"/>
      <c r="D61" s="109"/>
      <c r="E61" s="121">
        <v>10302</v>
      </c>
      <c r="F61" s="122"/>
      <c r="G61" s="51" t="s">
        <v>1018</v>
      </c>
      <c r="H61" s="122"/>
      <c r="I61" s="175" t="s">
        <v>476</v>
      </c>
      <c r="J61" s="185"/>
      <c r="K61" s="185"/>
      <c r="L61" s="185"/>
      <c r="M61" s="185"/>
      <c r="N61" s="185"/>
    </row>
    <row r="62" spans="1:14" ht="11.25" customHeight="1">
      <c r="A62" s="180" t="s">
        <v>765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</row>
    <row r="63" spans="1:14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</row>
    <row r="64" spans="1:14" ht="11.25" customHeight="1">
      <c r="A64" s="182" t="s">
        <v>473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</row>
    <row r="65" spans="1:14" ht="11.25" customHeight="1">
      <c r="A65" s="172" t="s">
        <v>678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</row>
    <row r="66" spans="1:14" ht="11.25" customHeight="1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</row>
    <row r="67" spans="1:14" ht="11.25" customHeight="1">
      <c r="A67" s="172" t="s">
        <v>1004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</row>
    <row r="68" spans="1:14" ht="11.25" customHeight="1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</row>
    <row r="69" spans="1:14" ht="11.25" customHeight="1">
      <c r="A69" s="180"/>
      <c r="B69" s="180"/>
      <c r="C69" s="180"/>
      <c r="D69" s="99"/>
      <c r="E69" s="100"/>
      <c r="F69" s="104"/>
      <c r="G69" s="179" t="s">
        <v>679</v>
      </c>
      <c r="H69" s="179"/>
      <c r="I69" s="179"/>
      <c r="J69" s="179"/>
      <c r="K69" s="179"/>
      <c r="L69" s="179"/>
      <c r="M69" s="179"/>
      <c r="N69" s="179"/>
    </row>
    <row r="70" spans="1:14" ht="11.25" customHeight="1">
      <c r="A70" s="153" t="s">
        <v>713</v>
      </c>
      <c r="B70" s="153"/>
      <c r="C70" s="153"/>
      <c r="D70" s="102"/>
      <c r="E70" s="105" t="s">
        <v>1017</v>
      </c>
      <c r="F70" s="106"/>
      <c r="G70" s="105" t="s">
        <v>131</v>
      </c>
      <c r="H70" s="106"/>
      <c r="I70" s="179" t="s">
        <v>420</v>
      </c>
      <c r="J70" s="179"/>
      <c r="K70" s="179"/>
      <c r="L70" s="179"/>
      <c r="M70" s="179"/>
      <c r="N70" s="179"/>
    </row>
    <row r="71" spans="1:14" ht="11.25" customHeight="1">
      <c r="A71" s="150" t="s">
        <v>216</v>
      </c>
      <c r="B71" s="150"/>
      <c r="C71" s="150"/>
      <c r="D71" s="103"/>
      <c r="E71" s="107"/>
      <c r="F71" s="108"/>
      <c r="G71" s="107"/>
      <c r="H71" s="108"/>
      <c r="I71" s="173"/>
      <c r="J71" s="173"/>
      <c r="K71" s="173"/>
      <c r="L71" s="173"/>
      <c r="M71" s="173"/>
      <c r="N71" s="173"/>
    </row>
    <row r="72" spans="1:14" ht="11.25" customHeight="1">
      <c r="A72" s="102" t="s">
        <v>217</v>
      </c>
      <c r="B72" s="102"/>
      <c r="C72" s="142"/>
      <c r="D72" s="99"/>
      <c r="E72" s="62"/>
      <c r="F72" s="116"/>
      <c r="G72" s="119"/>
      <c r="H72" s="116"/>
      <c r="I72" s="151"/>
      <c r="J72" s="181"/>
      <c r="K72" s="181"/>
      <c r="L72" s="181"/>
      <c r="M72" s="181"/>
      <c r="N72" s="181"/>
    </row>
    <row r="73" spans="1:14" ht="11.25" customHeight="1">
      <c r="A73" s="118" t="s">
        <v>218</v>
      </c>
      <c r="B73" s="109"/>
      <c r="C73" s="140"/>
      <c r="D73" s="102"/>
      <c r="E73" s="67">
        <v>4843</v>
      </c>
      <c r="F73" s="114"/>
      <c r="G73" s="83" t="s">
        <v>1018</v>
      </c>
      <c r="H73" s="114"/>
      <c r="I73" s="177" t="s">
        <v>477</v>
      </c>
      <c r="J73" s="184"/>
      <c r="K73" s="184"/>
      <c r="L73" s="184"/>
      <c r="M73" s="184"/>
      <c r="N73" s="184"/>
    </row>
    <row r="74" spans="1:14" ht="11.25" customHeight="1">
      <c r="A74" s="118" t="s">
        <v>220</v>
      </c>
      <c r="B74" s="109"/>
      <c r="C74" s="140"/>
      <c r="D74" s="109"/>
      <c r="E74" s="121">
        <v>4361</v>
      </c>
      <c r="F74" s="122"/>
      <c r="G74" s="51" t="s">
        <v>1018</v>
      </c>
      <c r="H74" s="122"/>
      <c r="I74" s="175" t="s">
        <v>478</v>
      </c>
      <c r="J74" s="185"/>
      <c r="K74" s="185"/>
      <c r="L74" s="185"/>
      <c r="M74" s="185"/>
      <c r="N74" s="185"/>
    </row>
    <row r="75" spans="1:14" ht="11.25" customHeight="1">
      <c r="A75" s="130" t="s">
        <v>222</v>
      </c>
      <c r="B75" s="103"/>
      <c r="C75" s="143"/>
      <c r="D75" s="109"/>
      <c r="E75" s="121">
        <v>68205</v>
      </c>
      <c r="F75" s="122"/>
      <c r="G75" s="51" t="s">
        <v>1018</v>
      </c>
      <c r="H75" s="122"/>
      <c r="I75" s="175" t="s">
        <v>479</v>
      </c>
      <c r="J75" s="185"/>
      <c r="K75" s="185"/>
      <c r="L75" s="185"/>
      <c r="M75" s="185"/>
      <c r="N75" s="185"/>
    </row>
    <row r="76" spans="1:14" ht="11.25" customHeight="1">
      <c r="A76" s="117" t="s">
        <v>847</v>
      </c>
      <c r="B76" s="109"/>
      <c r="C76" s="140"/>
      <c r="D76" s="109"/>
      <c r="E76" s="121">
        <v>13918</v>
      </c>
      <c r="F76" s="122"/>
      <c r="G76" s="51" t="s">
        <v>1018</v>
      </c>
      <c r="H76" s="122"/>
      <c r="I76" s="175" t="s">
        <v>480</v>
      </c>
      <c r="J76" s="185"/>
      <c r="K76" s="185"/>
      <c r="L76" s="185"/>
      <c r="M76" s="185"/>
      <c r="N76" s="185"/>
    </row>
    <row r="77" spans="1:14" ht="11.25" customHeight="1">
      <c r="A77" s="109" t="s">
        <v>225</v>
      </c>
      <c r="B77" s="109"/>
      <c r="C77" s="140"/>
      <c r="D77" s="99"/>
      <c r="E77" s="62"/>
      <c r="F77" s="128"/>
      <c r="G77" s="127"/>
      <c r="H77" s="128"/>
      <c r="I77" s="173"/>
      <c r="J77" s="180"/>
      <c r="K77" s="180"/>
      <c r="L77" s="180"/>
      <c r="M77" s="180"/>
      <c r="N77" s="180"/>
    </row>
    <row r="78" spans="1:14" ht="11.25" customHeight="1">
      <c r="A78" s="113" t="s">
        <v>149</v>
      </c>
      <c r="B78" s="109"/>
      <c r="C78" s="140"/>
      <c r="D78" s="102"/>
      <c r="E78" s="67">
        <v>171533</v>
      </c>
      <c r="F78" s="114"/>
      <c r="G78" s="83" t="s">
        <v>1018</v>
      </c>
      <c r="H78" s="114"/>
      <c r="I78" s="177" t="s">
        <v>481</v>
      </c>
      <c r="J78" s="184"/>
      <c r="K78" s="184"/>
      <c r="L78" s="184"/>
      <c r="M78" s="184"/>
      <c r="N78" s="184"/>
    </row>
    <row r="79" spans="1:14" ht="11.25" customHeight="1">
      <c r="A79" s="113" t="s">
        <v>227</v>
      </c>
      <c r="B79" s="109"/>
      <c r="C79" s="140"/>
      <c r="D79" s="109"/>
      <c r="E79" s="121">
        <v>14696</v>
      </c>
      <c r="F79" s="122"/>
      <c r="G79" s="51" t="s">
        <v>1018</v>
      </c>
      <c r="H79" s="122"/>
      <c r="I79" s="175" t="s">
        <v>482</v>
      </c>
      <c r="J79" s="185"/>
      <c r="K79" s="185"/>
      <c r="L79" s="185"/>
      <c r="M79" s="185"/>
      <c r="N79" s="185"/>
    </row>
    <row r="80" spans="1:14" ht="11.25" customHeight="1">
      <c r="A80" s="113" t="s">
        <v>140</v>
      </c>
      <c r="B80" s="109"/>
      <c r="C80" s="140"/>
      <c r="D80" s="103"/>
      <c r="E80" s="62"/>
      <c r="F80" s="128"/>
      <c r="G80" s="127"/>
      <c r="H80" s="128"/>
      <c r="I80" s="173"/>
      <c r="J80" s="180"/>
      <c r="K80" s="180"/>
      <c r="L80" s="180"/>
      <c r="M80" s="180"/>
      <c r="N80" s="180"/>
    </row>
    <row r="81" spans="1:14" ht="11.25" customHeight="1">
      <c r="A81" s="117" t="s">
        <v>175</v>
      </c>
      <c r="B81" s="109"/>
      <c r="C81" s="140"/>
      <c r="D81" s="102"/>
      <c r="E81" s="67">
        <v>13332</v>
      </c>
      <c r="F81" s="114"/>
      <c r="G81" s="83" t="s">
        <v>1018</v>
      </c>
      <c r="H81" s="114"/>
      <c r="I81" s="177" t="s">
        <v>483</v>
      </c>
      <c r="J81" s="184"/>
      <c r="K81" s="184"/>
      <c r="L81" s="184"/>
      <c r="M81" s="184"/>
      <c r="N81" s="184"/>
    </row>
    <row r="82" spans="1:14" ht="11.25" customHeight="1">
      <c r="A82" s="117" t="s">
        <v>805</v>
      </c>
      <c r="B82" s="109"/>
      <c r="C82" s="140"/>
      <c r="D82" s="109"/>
      <c r="E82" s="121">
        <v>70209</v>
      </c>
      <c r="F82" s="122"/>
      <c r="G82" s="51" t="s">
        <v>1018</v>
      </c>
      <c r="H82" s="122"/>
      <c r="I82" s="175" t="s">
        <v>484</v>
      </c>
      <c r="J82" s="185"/>
      <c r="K82" s="185"/>
      <c r="L82" s="185"/>
      <c r="M82" s="185"/>
      <c r="N82" s="185"/>
    </row>
    <row r="83" spans="1:14" ht="11.25" customHeight="1">
      <c r="A83" s="117" t="s">
        <v>171</v>
      </c>
      <c r="B83" s="109"/>
      <c r="C83" s="140"/>
      <c r="D83" s="109"/>
      <c r="E83" s="121">
        <v>10296</v>
      </c>
      <c r="F83" s="122"/>
      <c r="G83" s="51" t="s">
        <v>1018</v>
      </c>
      <c r="H83" s="122"/>
      <c r="I83" s="175" t="s">
        <v>485</v>
      </c>
      <c r="J83" s="185"/>
      <c r="K83" s="185"/>
      <c r="L83" s="185"/>
      <c r="M83" s="185"/>
      <c r="N83" s="185"/>
    </row>
    <row r="84" spans="1:14" ht="11.25" customHeight="1">
      <c r="A84" s="117" t="s">
        <v>146</v>
      </c>
      <c r="B84" s="109"/>
      <c r="C84" s="140"/>
      <c r="D84" s="109"/>
      <c r="E84" s="121">
        <v>74054</v>
      </c>
      <c r="F84" s="122"/>
      <c r="G84" s="51" t="s">
        <v>1018</v>
      </c>
      <c r="H84" s="122"/>
      <c r="I84" s="175" t="s">
        <v>486</v>
      </c>
      <c r="J84" s="185"/>
      <c r="K84" s="185"/>
      <c r="L84" s="185"/>
      <c r="M84" s="185"/>
      <c r="N84" s="185"/>
    </row>
    <row r="85" spans="1:14" ht="11.25" customHeight="1">
      <c r="A85" s="109" t="s">
        <v>487</v>
      </c>
      <c r="B85" s="109"/>
      <c r="C85" s="140"/>
      <c r="D85" s="103"/>
      <c r="E85" s="62"/>
      <c r="F85" s="128"/>
      <c r="G85" s="127"/>
      <c r="H85" s="128"/>
      <c r="I85" s="173"/>
      <c r="J85" s="180"/>
      <c r="K85" s="180"/>
      <c r="L85" s="180"/>
      <c r="M85" s="180"/>
      <c r="N85" s="180"/>
    </row>
    <row r="86" spans="1:14" ht="11.25" customHeight="1">
      <c r="A86" s="113" t="s">
        <v>488</v>
      </c>
      <c r="B86" s="109"/>
      <c r="C86" s="140"/>
      <c r="D86" s="102"/>
      <c r="E86" s="67">
        <v>8097</v>
      </c>
      <c r="F86" s="114"/>
      <c r="G86" s="83">
        <f>ROUND(0.097*E86,3-LEN(INT(0.097*E86)))</f>
        <v>785</v>
      </c>
      <c r="H86" s="114"/>
      <c r="I86" s="177" t="s">
        <v>489</v>
      </c>
      <c r="J86" s="184"/>
      <c r="K86" s="184"/>
      <c r="L86" s="184"/>
      <c r="M86" s="184"/>
      <c r="N86" s="184"/>
    </row>
    <row r="87" spans="1:14" ht="11.25" customHeight="1">
      <c r="A87" s="113" t="s">
        <v>161</v>
      </c>
      <c r="B87" s="109"/>
      <c r="C87" s="140"/>
      <c r="D87" s="109"/>
      <c r="E87" s="121">
        <v>4209</v>
      </c>
      <c r="F87" s="122"/>
      <c r="G87" s="51">
        <f>ROUND(0.224*E87,3-LEN(INT(0.224*E87)))</f>
        <v>943</v>
      </c>
      <c r="H87" s="122"/>
      <c r="I87" s="175" t="s">
        <v>490</v>
      </c>
      <c r="J87" s="185"/>
      <c r="K87" s="185"/>
      <c r="L87" s="185"/>
      <c r="M87" s="185"/>
      <c r="N87" s="185"/>
    </row>
    <row r="88" spans="1:14" ht="11.25" customHeight="1">
      <c r="A88" s="109" t="s">
        <v>235</v>
      </c>
      <c r="B88" s="109"/>
      <c r="C88" s="140"/>
      <c r="D88" s="99"/>
      <c r="E88" s="62"/>
      <c r="F88" s="116"/>
      <c r="G88" s="72"/>
      <c r="H88" s="116"/>
      <c r="I88" s="151"/>
      <c r="J88" s="181"/>
      <c r="K88" s="181"/>
      <c r="L88" s="181"/>
      <c r="M88" s="181"/>
      <c r="N88" s="181"/>
    </row>
    <row r="89" spans="1:14" ht="11.25" customHeight="1">
      <c r="A89" s="113" t="s">
        <v>146</v>
      </c>
      <c r="B89" s="109"/>
      <c r="C89" s="140"/>
      <c r="D89" s="102"/>
      <c r="E89" s="67">
        <v>19996</v>
      </c>
      <c r="F89" s="114"/>
      <c r="G89" s="83" t="s">
        <v>1018</v>
      </c>
      <c r="H89" s="114"/>
      <c r="I89" s="177" t="s">
        <v>491</v>
      </c>
      <c r="J89" s="184"/>
      <c r="K89" s="184"/>
      <c r="L89" s="184"/>
      <c r="M89" s="184"/>
      <c r="N89" s="184"/>
    </row>
    <row r="90" spans="1:14" ht="11.25" customHeight="1">
      <c r="A90" s="113" t="s">
        <v>237</v>
      </c>
      <c r="B90" s="109"/>
      <c r="C90" s="140"/>
      <c r="D90" s="109"/>
      <c r="E90" s="121">
        <v>42806</v>
      </c>
      <c r="F90" s="122"/>
      <c r="G90" s="51" t="s">
        <v>1018</v>
      </c>
      <c r="H90" s="122"/>
      <c r="I90" s="175" t="s">
        <v>492</v>
      </c>
      <c r="J90" s="185"/>
      <c r="K90" s="185"/>
      <c r="L90" s="185"/>
      <c r="M90" s="185"/>
      <c r="N90" s="185"/>
    </row>
    <row r="91" spans="1:14" ht="11.25" customHeight="1">
      <c r="A91" s="109" t="s">
        <v>239</v>
      </c>
      <c r="B91" s="109"/>
      <c r="C91" s="140"/>
      <c r="D91" s="109"/>
      <c r="E91" s="121">
        <v>7645</v>
      </c>
      <c r="F91" s="122"/>
      <c r="G91" s="51" t="s">
        <v>1018</v>
      </c>
      <c r="H91" s="122"/>
      <c r="I91" s="175" t="s">
        <v>493</v>
      </c>
      <c r="J91" s="185"/>
      <c r="K91" s="185"/>
      <c r="L91" s="185"/>
      <c r="M91" s="185"/>
      <c r="N91" s="185"/>
    </row>
    <row r="92" spans="1:14" ht="11.25" customHeight="1">
      <c r="A92" s="109" t="s">
        <v>241</v>
      </c>
      <c r="B92" s="109"/>
      <c r="C92" s="140"/>
      <c r="D92" s="109"/>
      <c r="E92" s="121">
        <v>36</v>
      </c>
      <c r="F92" s="122"/>
      <c r="G92" s="51">
        <f>ROUND(0.099*E92,3-LEN(INT(0.099*E92)))</f>
        <v>3.56</v>
      </c>
      <c r="H92" s="122"/>
      <c r="I92" s="175" t="s">
        <v>494</v>
      </c>
      <c r="J92" s="185"/>
      <c r="K92" s="185"/>
      <c r="L92" s="185"/>
      <c r="M92" s="185"/>
      <c r="N92" s="185"/>
    </row>
    <row r="93" spans="1:14" ht="11.25" customHeight="1">
      <c r="A93" s="102" t="s">
        <v>243</v>
      </c>
      <c r="B93" s="102"/>
      <c r="C93" s="142"/>
      <c r="D93" s="109"/>
      <c r="E93" s="121">
        <v>11537</v>
      </c>
      <c r="F93" s="122"/>
      <c r="G93" s="51">
        <f>ROUND(0.227*E93,3-LEN(INT(0.227*E93)))</f>
        <v>2620</v>
      </c>
      <c r="H93" s="122"/>
      <c r="I93" s="175" t="s">
        <v>495</v>
      </c>
      <c r="J93" s="185"/>
      <c r="K93" s="185"/>
      <c r="L93" s="185"/>
      <c r="M93" s="185"/>
      <c r="N93" s="185"/>
    </row>
    <row r="94" spans="1:14" ht="11.25" customHeight="1">
      <c r="A94" s="102" t="s">
        <v>245</v>
      </c>
      <c r="B94" s="102"/>
      <c r="C94" s="142"/>
      <c r="D94" s="103"/>
      <c r="E94" s="62"/>
      <c r="F94" s="128"/>
      <c r="G94" s="127"/>
      <c r="H94" s="128"/>
      <c r="I94" s="173"/>
      <c r="J94" s="180"/>
      <c r="K94" s="180"/>
      <c r="L94" s="180"/>
      <c r="M94" s="180"/>
      <c r="N94" s="180"/>
    </row>
    <row r="95" spans="1:14" ht="11.25" customHeight="1">
      <c r="A95" s="113" t="s">
        <v>246</v>
      </c>
      <c r="B95" s="102"/>
      <c r="C95" s="142"/>
      <c r="D95" s="102"/>
      <c r="E95" s="67">
        <v>6902</v>
      </c>
      <c r="F95" s="114"/>
      <c r="G95" s="83" t="s">
        <v>1018</v>
      </c>
      <c r="H95" s="114"/>
      <c r="I95" s="177" t="s">
        <v>496</v>
      </c>
      <c r="J95" s="184"/>
      <c r="K95" s="184"/>
      <c r="L95" s="184"/>
      <c r="M95" s="184"/>
      <c r="N95" s="184"/>
    </row>
    <row r="96" spans="1:14" ht="11.25" customHeight="1">
      <c r="A96" s="113" t="s">
        <v>161</v>
      </c>
      <c r="B96" s="102"/>
      <c r="C96" s="142"/>
      <c r="D96" s="109"/>
      <c r="E96" s="121">
        <v>502</v>
      </c>
      <c r="F96" s="122"/>
      <c r="G96" s="51" t="s">
        <v>1018</v>
      </c>
      <c r="H96" s="122"/>
      <c r="I96" s="175" t="s">
        <v>497</v>
      </c>
      <c r="J96" s="185"/>
      <c r="K96" s="185"/>
      <c r="L96" s="185"/>
      <c r="M96" s="185"/>
      <c r="N96" s="185"/>
    </row>
    <row r="97" spans="1:14" ht="11.25" customHeight="1">
      <c r="A97" s="113" t="s">
        <v>249</v>
      </c>
      <c r="B97" s="102"/>
      <c r="C97" s="142"/>
      <c r="D97" s="109"/>
      <c r="E97" s="121">
        <v>8206</v>
      </c>
      <c r="F97" s="122"/>
      <c r="G97" s="51">
        <f>ROUND(0.111*E97,3-LEN(INT(0.111*E97)))</f>
        <v>911</v>
      </c>
      <c r="H97" s="122"/>
      <c r="I97" s="175" t="s">
        <v>498</v>
      </c>
      <c r="J97" s="185"/>
      <c r="K97" s="185"/>
      <c r="L97" s="185"/>
      <c r="M97" s="185"/>
      <c r="N97" s="185"/>
    </row>
    <row r="98" spans="1:14" ht="11.25" customHeight="1">
      <c r="A98" s="113" t="s">
        <v>140</v>
      </c>
      <c r="B98" s="109"/>
      <c r="C98" s="140"/>
      <c r="D98" s="99"/>
      <c r="E98" s="62"/>
      <c r="F98" s="116"/>
      <c r="G98" s="72"/>
      <c r="H98" s="116"/>
      <c r="I98" s="151"/>
      <c r="J98" s="181"/>
      <c r="K98" s="181"/>
      <c r="L98" s="181"/>
      <c r="M98" s="181"/>
      <c r="N98" s="181"/>
    </row>
    <row r="99" spans="1:14" ht="11.25" customHeight="1">
      <c r="A99" s="117" t="s">
        <v>175</v>
      </c>
      <c r="B99" s="109"/>
      <c r="C99" s="140"/>
      <c r="D99" s="102"/>
      <c r="E99" s="67">
        <v>2182</v>
      </c>
      <c r="F99" s="114"/>
      <c r="G99" s="83">
        <f>ROUND(0.061*E99,3-LEN(INT(0.061*E99)))</f>
        <v>133</v>
      </c>
      <c r="H99" s="114"/>
      <c r="I99" s="177" t="s">
        <v>499</v>
      </c>
      <c r="J99" s="184"/>
      <c r="K99" s="184"/>
      <c r="L99" s="184"/>
      <c r="M99" s="184"/>
      <c r="N99" s="184"/>
    </row>
    <row r="100" spans="1:14" ht="11.25" customHeight="1">
      <c r="A100" s="117" t="s">
        <v>252</v>
      </c>
      <c r="B100" s="109"/>
      <c r="C100" s="140"/>
      <c r="D100" s="109"/>
      <c r="E100" s="121">
        <v>87939</v>
      </c>
      <c r="F100" s="122"/>
      <c r="G100" s="51" t="s">
        <v>1018</v>
      </c>
      <c r="H100" s="122"/>
      <c r="I100" s="175" t="s">
        <v>500</v>
      </c>
      <c r="J100" s="185"/>
      <c r="K100" s="185"/>
      <c r="L100" s="185"/>
      <c r="M100" s="185"/>
      <c r="N100" s="185"/>
    </row>
    <row r="101" spans="1:14" ht="11.25" customHeight="1">
      <c r="A101" s="117" t="s">
        <v>146</v>
      </c>
      <c r="B101" s="109"/>
      <c r="C101" s="140"/>
      <c r="D101" s="109"/>
      <c r="E101" s="121">
        <v>11672</v>
      </c>
      <c r="F101" s="122"/>
      <c r="G101" s="51">
        <f>ROUND(0.083*E101,3-LEN(INT(0.083*E101)))</f>
        <v>969</v>
      </c>
      <c r="H101" s="122"/>
      <c r="I101" s="175" t="s">
        <v>501</v>
      </c>
      <c r="J101" s="185"/>
      <c r="K101" s="185"/>
      <c r="L101" s="185"/>
      <c r="M101" s="185"/>
      <c r="N101" s="185"/>
    </row>
    <row r="102" spans="1:14" ht="11.25" customHeight="1">
      <c r="A102" s="103" t="s">
        <v>960</v>
      </c>
      <c r="B102" s="103"/>
      <c r="C102" s="143"/>
      <c r="D102" s="103"/>
      <c r="E102" s="62"/>
      <c r="F102" s="128"/>
      <c r="G102" s="127"/>
      <c r="H102" s="128"/>
      <c r="I102" s="173"/>
      <c r="J102" s="180"/>
      <c r="K102" s="180"/>
      <c r="L102" s="180"/>
      <c r="M102" s="180"/>
      <c r="N102" s="180"/>
    </row>
    <row r="103" spans="1:14" ht="11.25" customHeight="1">
      <c r="A103" s="129" t="s">
        <v>441</v>
      </c>
      <c r="B103" s="103"/>
      <c r="C103" s="143"/>
      <c r="D103" s="102"/>
      <c r="E103" s="67">
        <v>79274</v>
      </c>
      <c r="F103" s="114"/>
      <c r="G103" s="83" t="s">
        <v>1018</v>
      </c>
      <c r="H103" s="114"/>
      <c r="I103" s="177" t="s">
        <v>288</v>
      </c>
      <c r="J103" s="184"/>
      <c r="K103" s="184"/>
      <c r="L103" s="184"/>
      <c r="M103" s="184"/>
      <c r="N103" s="184"/>
    </row>
    <row r="104" spans="1:14" ht="11.25" customHeight="1">
      <c r="A104" s="129" t="s">
        <v>442</v>
      </c>
      <c r="B104" s="103"/>
      <c r="C104" s="143"/>
      <c r="D104" s="109"/>
      <c r="E104" s="121">
        <v>401</v>
      </c>
      <c r="F104" s="122"/>
      <c r="G104" s="51" t="s">
        <v>1018</v>
      </c>
      <c r="H104" s="122"/>
      <c r="I104" s="175" t="s">
        <v>443</v>
      </c>
      <c r="J104" s="185"/>
      <c r="K104" s="185"/>
      <c r="L104" s="185"/>
      <c r="M104" s="185"/>
      <c r="N104" s="185"/>
    </row>
    <row r="105" spans="1:14" ht="11.25" customHeight="1">
      <c r="A105" s="103" t="s">
        <v>255</v>
      </c>
      <c r="B105" s="103"/>
      <c r="C105" s="143"/>
      <c r="D105" s="103"/>
      <c r="E105" s="62"/>
      <c r="F105" s="128"/>
      <c r="G105" s="127"/>
      <c r="H105" s="128"/>
      <c r="I105" s="173"/>
      <c r="J105" s="180"/>
      <c r="K105" s="180"/>
      <c r="L105" s="180"/>
      <c r="M105" s="180"/>
      <c r="N105" s="180"/>
    </row>
    <row r="106" spans="1:14" ht="11.25" customHeight="1">
      <c r="A106" s="129" t="s">
        <v>184</v>
      </c>
      <c r="B106" s="103"/>
      <c r="C106" s="143"/>
      <c r="D106" s="102"/>
      <c r="E106" s="67">
        <v>6575</v>
      </c>
      <c r="F106" s="114"/>
      <c r="G106" s="83">
        <f>ROUND(0.121*E106,3-LEN(INT(0.121*E106)))</f>
        <v>796</v>
      </c>
      <c r="H106" s="114"/>
      <c r="I106" s="177" t="s">
        <v>502</v>
      </c>
      <c r="J106" s="184"/>
      <c r="K106" s="184"/>
      <c r="L106" s="184"/>
      <c r="M106" s="184"/>
      <c r="N106" s="184"/>
    </row>
    <row r="107" spans="1:14" ht="11.25" customHeight="1">
      <c r="A107" s="129" t="s">
        <v>257</v>
      </c>
      <c r="B107" s="103"/>
      <c r="C107" s="143"/>
      <c r="D107" s="103"/>
      <c r="E107" s="94"/>
      <c r="F107" s="128"/>
      <c r="G107" s="127"/>
      <c r="H107" s="128"/>
      <c r="I107" s="173"/>
      <c r="J107" s="173"/>
      <c r="K107" s="173"/>
      <c r="L107" s="173"/>
      <c r="M107" s="173"/>
      <c r="N107" s="173"/>
    </row>
    <row r="108" spans="1:14" ht="11.25" customHeight="1">
      <c r="A108" s="117" t="s">
        <v>258</v>
      </c>
      <c r="B108" s="109"/>
      <c r="C108" s="140" t="s">
        <v>1033</v>
      </c>
      <c r="D108" s="102"/>
      <c r="E108" s="67">
        <v>46420</v>
      </c>
      <c r="F108" s="114"/>
      <c r="G108" s="83">
        <f>ROUND(0.124*E108,3-LEN(INT(0.124*E108)))</f>
        <v>5760</v>
      </c>
      <c r="H108" s="114"/>
      <c r="I108" s="177" t="s">
        <v>503</v>
      </c>
      <c r="J108" s="184"/>
      <c r="K108" s="184"/>
      <c r="L108" s="184"/>
      <c r="M108" s="184"/>
      <c r="N108" s="184"/>
    </row>
    <row r="109" spans="1:14" ht="11.25" customHeight="1">
      <c r="A109" s="117" t="s">
        <v>260</v>
      </c>
      <c r="B109" s="109"/>
      <c r="C109" s="140" t="s">
        <v>754</v>
      </c>
      <c r="D109" s="109"/>
      <c r="E109" s="121">
        <v>45278</v>
      </c>
      <c r="F109" s="122"/>
      <c r="G109" s="51">
        <f>ROUND(0.069*E109,3-LEN(INT(0.069*E109)))</f>
        <v>3120</v>
      </c>
      <c r="H109" s="122"/>
      <c r="I109" s="175" t="s">
        <v>504</v>
      </c>
      <c r="J109" s="185"/>
      <c r="K109" s="185"/>
      <c r="L109" s="185"/>
      <c r="M109" s="185"/>
      <c r="N109" s="185"/>
    </row>
    <row r="110" spans="1:14" ht="11.25" customHeight="1">
      <c r="A110" s="117" t="s">
        <v>262</v>
      </c>
      <c r="B110" s="109"/>
      <c r="C110" s="140" t="s">
        <v>754</v>
      </c>
      <c r="D110" s="102"/>
      <c r="E110" s="67">
        <v>5829</v>
      </c>
      <c r="F110" s="114"/>
      <c r="G110" s="51">
        <f>ROUND(0.149*E110,3-LEN(INT(0.149*E110)))</f>
        <v>869</v>
      </c>
      <c r="H110" s="114"/>
      <c r="I110" s="177" t="s">
        <v>505</v>
      </c>
      <c r="J110" s="184"/>
      <c r="K110" s="184"/>
      <c r="L110" s="184"/>
      <c r="M110" s="184"/>
      <c r="N110" s="184"/>
    </row>
    <row r="111" spans="1:14" ht="11.25" customHeight="1">
      <c r="A111" s="117" t="s">
        <v>506</v>
      </c>
      <c r="B111" s="109"/>
      <c r="C111" s="140" t="s">
        <v>754</v>
      </c>
      <c r="D111" s="109"/>
      <c r="E111" s="121">
        <v>4217</v>
      </c>
      <c r="F111" s="122"/>
      <c r="G111" s="51">
        <f>ROUND(0.091*E111,3-LEN(INT(0.091*E111)))</f>
        <v>384</v>
      </c>
      <c r="H111" s="122"/>
      <c r="I111" s="175" t="s">
        <v>511</v>
      </c>
      <c r="J111" s="185"/>
      <c r="K111" s="185"/>
      <c r="L111" s="185"/>
      <c r="M111" s="185"/>
      <c r="N111" s="185"/>
    </row>
    <row r="112" spans="1:14" ht="11.25" customHeight="1">
      <c r="A112" s="109" t="s">
        <v>266</v>
      </c>
      <c r="B112" s="109"/>
      <c r="C112" s="140"/>
      <c r="D112" s="99"/>
      <c r="E112" s="62"/>
      <c r="F112" s="128"/>
      <c r="G112" s="127"/>
      <c r="H112" s="128"/>
      <c r="I112" s="173"/>
      <c r="J112" s="180"/>
      <c r="K112" s="180"/>
      <c r="L112" s="180"/>
      <c r="M112" s="180"/>
      <c r="N112" s="180"/>
    </row>
    <row r="113" spans="1:14" ht="11.25" customHeight="1">
      <c r="A113" s="113" t="s">
        <v>267</v>
      </c>
      <c r="B113" s="109"/>
      <c r="C113" s="140"/>
      <c r="D113" s="102"/>
      <c r="E113" s="67">
        <v>402</v>
      </c>
      <c r="F113" s="114"/>
      <c r="G113" s="83" t="s">
        <v>1018</v>
      </c>
      <c r="H113" s="114"/>
      <c r="I113" s="177" t="s">
        <v>512</v>
      </c>
      <c r="J113" s="184"/>
      <c r="K113" s="184"/>
      <c r="L113" s="184"/>
      <c r="M113" s="184"/>
      <c r="N113" s="184"/>
    </row>
    <row r="114" spans="1:14" ht="11.25" customHeight="1">
      <c r="A114" s="113" t="s">
        <v>269</v>
      </c>
      <c r="B114" s="109"/>
      <c r="C114" s="140"/>
      <c r="D114" s="109"/>
      <c r="E114" s="121">
        <v>1082</v>
      </c>
      <c r="F114" s="122"/>
      <c r="G114" s="51" t="s">
        <v>1018</v>
      </c>
      <c r="H114" s="122"/>
      <c r="I114" s="175" t="s">
        <v>513</v>
      </c>
      <c r="J114" s="185"/>
      <c r="K114" s="185"/>
      <c r="L114" s="185"/>
      <c r="M114" s="185"/>
      <c r="N114" s="185"/>
    </row>
    <row r="115" spans="1:14" ht="11.25" customHeight="1">
      <c r="A115" s="109" t="s">
        <v>271</v>
      </c>
      <c r="B115" s="109"/>
      <c r="C115" s="140"/>
      <c r="D115" s="109"/>
      <c r="E115" s="121">
        <v>225</v>
      </c>
      <c r="F115" s="122"/>
      <c r="G115" s="51" t="s">
        <v>1018</v>
      </c>
      <c r="H115" s="122"/>
      <c r="I115" s="175" t="s">
        <v>514</v>
      </c>
      <c r="J115" s="185"/>
      <c r="K115" s="185"/>
      <c r="L115" s="185"/>
      <c r="M115" s="185"/>
      <c r="N115" s="185"/>
    </row>
    <row r="116" spans="1:14" ht="11.25" customHeight="1">
      <c r="A116" s="109" t="s">
        <v>846</v>
      </c>
      <c r="B116" s="109"/>
      <c r="C116" s="140"/>
      <c r="D116" s="109"/>
      <c r="E116" s="121">
        <v>156690</v>
      </c>
      <c r="F116" s="122"/>
      <c r="G116" s="51" t="s">
        <v>1018</v>
      </c>
      <c r="H116" s="122"/>
      <c r="I116" s="175" t="s">
        <v>515</v>
      </c>
      <c r="J116" s="185"/>
      <c r="K116" s="185"/>
      <c r="L116" s="185"/>
      <c r="M116" s="185"/>
      <c r="N116" s="185"/>
    </row>
    <row r="117" spans="1:14" ht="11.25" customHeight="1">
      <c r="A117" s="109" t="s">
        <v>277</v>
      </c>
      <c r="B117" s="109"/>
      <c r="C117" s="140"/>
      <c r="D117" s="103"/>
      <c r="E117" s="62"/>
      <c r="F117" s="128"/>
      <c r="G117" s="127"/>
      <c r="H117" s="128"/>
      <c r="I117" s="173"/>
      <c r="J117" s="180"/>
      <c r="K117" s="180"/>
      <c r="L117" s="180"/>
      <c r="M117" s="180"/>
      <c r="N117" s="180"/>
    </row>
    <row r="118" spans="1:14" ht="11.25" customHeight="1">
      <c r="A118" s="113" t="s">
        <v>149</v>
      </c>
      <c r="B118" s="109"/>
      <c r="C118" s="140"/>
      <c r="D118" s="102"/>
      <c r="E118" s="67">
        <v>2</v>
      </c>
      <c r="F118" s="114"/>
      <c r="G118" s="83" t="s">
        <v>1018</v>
      </c>
      <c r="H118" s="114"/>
      <c r="I118" s="177" t="s">
        <v>516</v>
      </c>
      <c r="J118" s="184"/>
      <c r="K118" s="184"/>
      <c r="L118" s="184"/>
      <c r="M118" s="184"/>
      <c r="N118" s="184"/>
    </row>
    <row r="119" spans="1:14" ht="11.25" customHeight="1">
      <c r="A119" s="113" t="s">
        <v>279</v>
      </c>
      <c r="B119" s="109"/>
      <c r="C119" s="140"/>
      <c r="D119" s="109"/>
      <c r="E119" s="121">
        <v>1011</v>
      </c>
      <c r="F119" s="122"/>
      <c r="G119" s="51" t="s">
        <v>1018</v>
      </c>
      <c r="H119" s="122"/>
      <c r="I119" s="175" t="s">
        <v>517</v>
      </c>
      <c r="J119" s="185"/>
      <c r="K119" s="185"/>
      <c r="L119" s="185"/>
      <c r="M119" s="185"/>
      <c r="N119" s="185"/>
    </row>
    <row r="120" spans="1:14" ht="11.25" customHeight="1">
      <c r="A120" s="113" t="s">
        <v>281</v>
      </c>
      <c r="B120" s="109"/>
      <c r="C120" s="140"/>
      <c r="D120" s="109"/>
      <c r="E120" s="121">
        <v>20992</v>
      </c>
      <c r="F120" s="122"/>
      <c r="G120" s="51" t="s">
        <v>1018</v>
      </c>
      <c r="H120" s="122"/>
      <c r="I120" s="175" t="s">
        <v>518</v>
      </c>
      <c r="J120" s="185"/>
      <c r="K120" s="185"/>
      <c r="L120" s="185"/>
      <c r="M120" s="185"/>
      <c r="N120" s="185"/>
    </row>
    <row r="121" spans="1:14" ht="11.25" customHeight="1">
      <c r="A121" s="113" t="s">
        <v>146</v>
      </c>
      <c r="B121" s="109"/>
      <c r="C121" s="140"/>
      <c r="D121" s="109"/>
      <c r="E121" s="121">
        <v>506</v>
      </c>
      <c r="F121" s="122"/>
      <c r="G121" s="51" t="s">
        <v>1018</v>
      </c>
      <c r="H121" s="122"/>
      <c r="I121" s="175" t="s">
        <v>519</v>
      </c>
      <c r="J121" s="185"/>
      <c r="K121" s="185"/>
      <c r="L121" s="185"/>
      <c r="M121" s="185"/>
      <c r="N121" s="185"/>
    </row>
    <row r="122" spans="1:14" ht="11.25" customHeight="1">
      <c r="A122" s="109" t="s">
        <v>284</v>
      </c>
      <c r="B122" s="109"/>
      <c r="C122" s="140"/>
      <c r="D122" s="109"/>
      <c r="E122" s="121">
        <v>558278</v>
      </c>
      <c r="F122" s="122"/>
      <c r="G122" s="51" t="s">
        <v>1018</v>
      </c>
      <c r="H122" s="122"/>
      <c r="I122" s="175" t="s">
        <v>520</v>
      </c>
      <c r="J122" s="185"/>
      <c r="K122" s="185"/>
      <c r="L122" s="185"/>
      <c r="M122" s="185"/>
      <c r="N122" s="185"/>
    </row>
    <row r="123" spans="1:14" ht="11.25" customHeight="1">
      <c r="A123" s="109" t="s">
        <v>286</v>
      </c>
      <c r="B123" s="109"/>
      <c r="C123" s="140"/>
      <c r="D123" s="99"/>
      <c r="E123" s="62"/>
      <c r="F123" s="116"/>
      <c r="G123" s="72"/>
      <c r="H123" s="116"/>
      <c r="I123" s="151"/>
      <c r="J123" s="181"/>
      <c r="K123" s="181"/>
      <c r="L123" s="181"/>
      <c r="M123" s="181"/>
      <c r="N123" s="181"/>
    </row>
    <row r="124" spans="1:14" ht="11.25" customHeight="1">
      <c r="A124" s="113" t="s">
        <v>149</v>
      </c>
      <c r="B124" s="109"/>
      <c r="C124" s="140"/>
      <c r="D124" s="102"/>
      <c r="E124" s="67">
        <v>493</v>
      </c>
      <c r="F124" s="114"/>
      <c r="G124" s="83" t="s">
        <v>1018</v>
      </c>
      <c r="H124" s="114"/>
      <c r="I124" s="177" t="s">
        <v>521</v>
      </c>
      <c r="J124" s="184"/>
      <c r="K124" s="184"/>
      <c r="L124" s="184"/>
      <c r="M124" s="184"/>
      <c r="N124" s="184"/>
    </row>
    <row r="125" spans="1:14" ht="11.25" customHeight="1">
      <c r="A125" s="180" t="s">
        <v>765</v>
      </c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</row>
    <row r="126" spans="1:14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</row>
    <row r="127" spans="1:14" ht="11.25" customHeight="1">
      <c r="A127" s="182" t="s">
        <v>473</v>
      </c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</row>
    <row r="128" spans="1:14" ht="11.25" customHeight="1">
      <c r="A128" s="172" t="s">
        <v>678</v>
      </c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</row>
    <row r="129" spans="1:14" ht="11.25" customHeight="1">
      <c r="A129" s="172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</row>
    <row r="130" spans="1:14" ht="11.25" customHeight="1">
      <c r="A130" s="172" t="s">
        <v>1004</v>
      </c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</row>
    <row r="131" spans="1:14" ht="11.25" customHeight="1">
      <c r="A131" s="153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</row>
    <row r="132" spans="1:14" ht="11.25" customHeight="1">
      <c r="A132" s="180"/>
      <c r="B132" s="180"/>
      <c r="C132" s="180"/>
      <c r="D132" s="99"/>
      <c r="E132" s="100"/>
      <c r="F132" s="104"/>
      <c r="G132" s="179" t="s">
        <v>679</v>
      </c>
      <c r="H132" s="179"/>
      <c r="I132" s="179"/>
      <c r="J132" s="179"/>
      <c r="K132" s="179"/>
      <c r="L132" s="179"/>
      <c r="M132" s="179"/>
      <c r="N132" s="179"/>
    </row>
    <row r="133" spans="1:14" ht="11.25" customHeight="1">
      <c r="A133" s="153" t="s">
        <v>713</v>
      </c>
      <c r="B133" s="153"/>
      <c r="C133" s="153"/>
      <c r="D133" s="102"/>
      <c r="E133" s="105" t="s">
        <v>1017</v>
      </c>
      <c r="F133" s="106"/>
      <c r="G133" s="105" t="s">
        <v>131</v>
      </c>
      <c r="H133" s="106"/>
      <c r="I133" s="179" t="s">
        <v>420</v>
      </c>
      <c r="J133" s="179"/>
      <c r="K133" s="179"/>
      <c r="L133" s="179"/>
      <c r="M133" s="179"/>
      <c r="N133" s="179"/>
    </row>
    <row r="134" spans="1:14" ht="11.25" customHeight="1">
      <c r="A134" s="150" t="s">
        <v>216</v>
      </c>
      <c r="B134" s="150"/>
      <c r="C134" s="150"/>
      <c r="D134" s="103"/>
      <c r="E134" s="107"/>
      <c r="F134" s="108"/>
      <c r="G134" s="107"/>
      <c r="H134" s="108"/>
      <c r="I134" s="173"/>
      <c r="J134" s="173"/>
      <c r="K134" s="173"/>
      <c r="L134" s="173"/>
      <c r="M134" s="173"/>
      <c r="N134" s="173"/>
    </row>
    <row r="135" spans="1:14" ht="11.25" customHeight="1">
      <c r="A135" s="102" t="s">
        <v>522</v>
      </c>
      <c r="B135" s="102"/>
      <c r="C135" s="142"/>
      <c r="D135" s="99"/>
      <c r="E135" s="62"/>
      <c r="F135" s="116"/>
      <c r="G135" s="119"/>
      <c r="H135" s="116"/>
      <c r="I135" s="151"/>
      <c r="J135" s="181"/>
      <c r="K135" s="181"/>
      <c r="L135" s="181"/>
      <c r="M135" s="181"/>
      <c r="N135" s="181"/>
    </row>
    <row r="136" spans="1:14" ht="11.25" customHeight="1">
      <c r="A136" s="113" t="s">
        <v>140</v>
      </c>
      <c r="B136" s="109"/>
      <c r="C136" s="140"/>
      <c r="D136" s="99"/>
      <c r="E136" s="62"/>
      <c r="F136" s="116"/>
      <c r="G136" s="72"/>
      <c r="H136" s="116"/>
      <c r="I136" s="151"/>
      <c r="J136" s="181"/>
      <c r="K136" s="181"/>
      <c r="L136" s="181"/>
      <c r="M136" s="181"/>
      <c r="N136" s="181"/>
    </row>
    <row r="137" spans="1:14" ht="11.25" customHeight="1">
      <c r="A137" s="117" t="s">
        <v>267</v>
      </c>
      <c r="B137" s="109"/>
      <c r="C137" s="140"/>
      <c r="D137" s="102"/>
      <c r="E137" s="67">
        <v>2066</v>
      </c>
      <c r="F137" s="114"/>
      <c r="G137" s="83">
        <f>ROUND(0.095*E137,3-LEN(INT(0.095*E137)))</f>
        <v>196</v>
      </c>
      <c r="H137" s="114"/>
      <c r="I137" s="177" t="s">
        <v>523</v>
      </c>
      <c r="J137" s="184"/>
      <c r="K137" s="184"/>
      <c r="L137" s="184"/>
      <c r="M137" s="184"/>
      <c r="N137" s="184"/>
    </row>
    <row r="138" spans="1:14" ht="11.25" customHeight="1">
      <c r="A138" s="117" t="s">
        <v>146</v>
      </c>
      <c r="B138" s="109"/>
      <c r="C138" s="140"/>
      <c r="D138" s="109"/>
      <c r="E138" s="121">
        <v>3329</v>
      </c>
      <c r="F138" s="122"/>
      <c r="G138" s="51">
        <f>ROUND(0.184*E138,3-LEN(INT(0.184*E138)))</f>
        <v>613</v>
      </c>
      <c r="H138" s="122"/>
      <c r="I138" s="175" t="s">
        <v>524</v>
      </c>
      <c r="J138" s="185"/>
      <c r="K138" s="185"/>
      <c r="L138" s="185"/>
      <c r="M138" s="185"/>
      <c r="N138" s="185"/>
    </row>
    <row r="139" spans="1:14" ht="11.25" customHeight="1">
      <c r="A139" s="117" t="s">
        <v>290</v>
      </c>
      <c r="B139" s="109"/>
      <c r="C139" s="140"/>
      <c r="D139" s="102"/>
      <c r="E139" s="67">
        <v>857</v>
      </c>
      <c r="F139" s="114"/>
      <c r="G139" s="51">
        <f>ROUND(0.523*E139,3-LEN(INT(0.523*E139)))</f>
        <v>448</v>
      </c>
      <c r="H139" s="114"/>
      <c r="I139" s="177" t="s">
        <v>525</v>
      </c>
      <c r="J139" s="184"/>
      <c r="K139" s="184"/>
      <c r="L139" s="184"/>
      <c r="M139" s="184"/>
      <c r="N139" s="184"/>
    </row>
    <row r="140" spans="1:14" ht="11.25" customHeight="1">
      <c r="A140" s="109" t="s">
        <v>291</v>
      </c>
      <c r="B140" s="109"/>
      <c r="C140" s="140"/>
      <c r="D140" s="109"/>
      <c r="E140" s="121">
        <v>741</v>
      </c>
      <c r="F140" s="122"/>
      <c r="G140" s="51" t="s">
        <v>1018</v>
      </c>
      <c r="H140" s="122"/>
      <c r="I140" s="175" t="s">
        <v>526</v>
      </c>
      <c r="J140" s="185"/>
      <c r="K140" s="185"/>
      <c r="L140" s="185"/>
      <c r="M140" s="185"/>
      <c r="N140" s="185"/>
    </row>
    <row r="141" spans="1:14" ht="11.25" customHeight="1">
      <c r="A141" s="109" t="s">
        <v>292</v>
      </c>
      <c r="B141" s="109"/>
      <c r="C141" s="140"/>
      <c r="D141" s="99"/>
      <c r="E141" s="62"/>
      <c r="F141" s="116"/>
      <c r="G141" s="72"/>
      <c r="H141" s="116"/>
      <c r="I141" s="151"/>
      <c r="J141" s="181"/>
      <c r="K141" s="181"/>
      <c r="L141" s="181"/>
      <c r="M141" s="181"/>
      <c r="N141" s="181"/>
    </row>
    <row r="142" spans="1:14" ht="11.25" customHeight="1">
      <c r="A142" s="113" t="s">
        <v>149</v>
      </c>
      <c r="B142" s="109"/>
      <c r="C142" s="140"/>
      <c r="D142" s="102"/>
      <c r="E142" s="67">
        <v>401829</v>
      </c>
      <c r="F142" s="114"/>
      <c r="G142" s="83">
        <f>ROUND(0.136*E142,3-LEN(INT(0.136*E142)))</f>
        <v>54600</v>
      </c>
      <c r="H142" s="114"/>
      <c r="I142" s="177" t="s">
        <v>527</v>
      </c>
      <c r="J142" s="184"/>
      <c r="K142" s="184"/>
      <c r="L142" s="184"/>
      <c r="M142" s="184"/>
      <c r="N142" s="184"/>
    </row>
    <row r="143" spans="1:14" ht="11.25" customHeight="1">
      <c r="A143" s="113" t="s">
        <v>294</v>
      </c>
      <c r="B143" s="109"/>
      <c r="C143" s="140"/>
      <c r="D143" s="109"/>
      <c r="E143" s="121">
        <v>17703</v>
      </c>
      <c r="F143" s="122"/>
      <c r="G143" s="51" t="s">
        <v>1018</v>
      </c>
      <c r="H143" s="122"/>
      <c r="I143" s="175" t="s">
        <v>528</v>
      </c>
      <c r="J143" s="185"/>
      <c r="K143" s="185"/>
      <c r="L143" s="185"/>
      <c r="M143" s="185"/>
      <c r="N143" s="185"/>
    </row>
    <row r="144" spans="1:14" ht="11.25" customHeight="1">
      <c r="A144" s="113" t="s">
        <v>296</v>
      </c>
      <c r="B144" s="109"/>
      <c r="C144" s="140"/>
      <c r="D144" s="109"/>
      <c r="E144" s="121">
        <v>6126</v>
      </c>
      <c r="F144" s="122"/>
      <c r="G144" s="51">
        <f>ROUND(0.057*E144,3-LEN(INT(0.057*E144)))</f>
        <v>349</v>
      </c>
      <c r="H144" s="122"/>
      <c r="I144" s="175" t="s">
        <v>529</v>
      </c>
      <c r="J144" s="185"/>
      <c r="K144" s="185"/>
      <c r="L144" s="185"/>
      <c r="M144" s="185"/>
      <c r="N144" s="185"/>
    </row>
    <row r="145" spans="1:14" ht="11.25" customHeight="1">
      <c r="A145" s="113" t="s">
        <v>298</v>
      </c>
      <c r="B145" s="109"/>
      <c r="C145" s="140"/>
      <c r="D145" s="109"/>
      <c r="E145" s="121">
        <v>22066</v>
      </c>
      <c r="F145" s="122"/>
      <c r="G145" s="51">
        <f>ROUND(0.082*E145,3-LEN(INT(0.082*E145)))</f>
        <v>1810</v>
      </c>
      <c r="H145" s="122"/>
      <c r="I145" s="175" t="s">
        <v>530</v>
      </c>
      <c r="J145" s="185"/>
      <c r="K145" s="185"/>
      <c r="L145" s="185"/>
      <c r="M145" s="185"/>
      <c r="N145" s="185"/>
    </row>
    <row r="146" spans="1:14" ht="11.25" customHeight="1">
      <c r="A146" s="113" t="s">
        <v>140</v>
      </c>
      <c r="B146" s="109"/>
      <c r="C146" s="140"/>
      <c r="D146" s="99"/>
      <c r="E146" s="62"/>
      <c r="F146" s="128"/>
      <c r="G146" s="127"/>
      <c r="H146" s="128"/>
      <c r="I146" s="173"/>
      <c r="J146" s="180"/>
      <c r="K146" s="180"/>
      <c r="L146" s="180"/>
      <c r="M146" s="180"/>
      <c r="N146" s="180"/>
    </row>
    <row r="147" spans="1:14" ht="11.25" customHeight="1">
      <c r="A147" s="131" t="s">
        <v>175</v>
      </c>
      <c r="B147" s="47"/>
      <c r="C147" s="144"/>
      <c r="D147" s="48"/>
      <c r="E147" s="67">
        <v>76981</v>
      </c>
      <c r="F147" s="114"/>
      <c r="G147" s="83" t="s">
        <v>1018</v>
      </c>
      <c r="H147" s="114"/>
      <c r="I147" s="177" t="s">
        <v>531</v>
      </c>
      <c r="J147" s="184"/>
      <c r="K147" s="184"/>
      <c r="L147" s="184"/>
      <c r="M147" s="184"/>
      <c r="N147" s="184"/>
    </row>
    <row r="148" spans="1:14" ht="11.25" customHeight="1">
      <c r="A148" s="117" t="s">
        <v>252</v>
      </c>
      <c r="B148" s="109"/>
      <c r="C148" s="140"/>
      <c r="D148" s="109"/>
      <c r="E148" s="121">
        <v>245794</v>
      </c>
      <c r="F148" s="122"/>
      <c r="G148" s="51" t="s">
        <v>1018</v>
      </c>
      <c r="H148" s="122"/>
      <c r="I148" s="175" t="s">
        <v>532</v>
      </c>
      <c r="J148" s="185"/>
      <c r="K148" s="185"/>
      <c r="L148" s="185"/>
      <c r="M148" s="185"/>
      <c r="N148" s="185"/>
    </row>
    <row r="149" spans="1:14" ht="11.25" customHeight="1">
      <c r="A149" s="117" t="s">
        <v>146</v>
      </c>
      <c r="B149" s="109"/>
      <c r="C149" s="140"/>
      <c r="D149" s="109"/>
      <c r="E149" s="121">
        <v>22480</v>
      </c>
      <c r="F149" s="122"/>
      <c r="G149" s="51" t="s">
        <v>1018</v>
      </c>
      <c r="H149" s="122"/>
      <c r="I149" s="175" t="s">
        <v>533</v>
      </c>
      <c r="J149" s="185"/>
      <c r="K149" s="185"/>
      <c r="L149" s="185"/>
      <c r="M149" s="185"/>
      <c r="N149" s="185"/>
    </row>
    <row r="150" spans="1:14" ht="11.25" customHeight="1">
      <c r="A150" s="109" t="s">
        <v>607</v>
      </c>
      <c r="B150" s="109"/>
      <c r="C150" s="140"/>
      <c r="D150" s="109"/>
      <c r="E150" s="121">
        <v>145</v>
      </c>
      <c r="F150" s="122"/>
      <c r="G150" s="51" t="s">
        <v>1018</v>
      </c>
      <c r="H150" s="122"/>
      <c r="I150" s="175" t="s">
        <v>608</v>
      </c>
      <c r="J150" s="185"/>
      <c r="K150" s="185"/>
      <c r="L150" s="185"/>
      <c r="M150" s="185"/>
      <c r="N150" s="185"/>
    </row>
    <row r="151" spans="1:14" ht="11.25" customHeight="1">
      <c r="A151" s="150" t="s">
        <v>1037</v>
      </c>
      <c r="B151" s="150"/>
      <c r="C151" s="150"/>
      <c r="D151" s="103"/>
      <c r="E151" s="62"/>
      <c r="F151" s="128"/>
      <c r="G151" s="127"/>
      <c r="H151" s="128"/>
      <c r="I151" s="173"/>
      <c r="J151" s="180"/>
      <c r="K151" s="180"/>
      <c r="L151" s="180"/>
      <c r="M151" s="180"/>
      <c r="N151" s="180"/>
    </row>
    <row r="152" spans="1:14" ht="11.25" customHeight="1">
      <c r="A152" s="109" t="s">
        <v>306</v>
      </c>
      <c r="B152" s="109"/>
      <c r="C152" s="140"/>
      <c r="D152" s="99"/>
      <c r="E152" s="62"/>
      <c r="F152" s="116"/>
      <c r="G152" s="72"/>
      <c r="H152" s="116"/>
      <c r="I152" s="151"/>
      <c r="J152" s="181"/>
      <c r="K152" s="181"/>
      <c r="L152" s="181"/>
      <c r="M152" s="181"/>
      <c r="N152" s="181"/>
    </row>
    <row r="153" spans="1:14" ht="11.25" customHeight="1">
      <c r="A153" s="113" t="s">
        <v>307</v>
      </c>
      <c r="B153" s="113"/>
      <c r="C153" s="140"/>
      <c r="D153" s="102"/>
      <c r="E153" s="67">
        <v>11062</v>
      </c>
      <c r="F153" s="114"/>
      <c r="G153" s="83" t="s">
        <v>1018</v>
      </c>
      <c r="H153" s="114"/>
      <c r="I153" s="177" t="s">
        <v>609</v>
      </c>
      <c r="J153" s="184"/>
      <c r="K153" s="184"/>
      <c r="L153" s="184"/>
      <c r="M153" s="184"/>
      <c r="N153" s="184"/>
    </row>
    <row r="154" spans="1:14" ht="11.25" customHeight="1">
      <c r="A154" s="113" t="s">
        <v>309</v>
      </c>
      <c r="B154" s="113"/>
      <c r="C154" s="140"/>
      <c r="D154" s="109"/>
      <c r="E154" s="121">
        <v>166223</v>
      </c>
      <c r="F154" s="122"/>
      <c r="G154" s="51" t="s">
        <v>1018</v>
      </c>
      <c r="H154" s="122"/>
      <c r="I154" s="175" t="s">
        <v>610</v>
      </c>
      <c r="J154" s="185"/>
      <c r="K154" s="185"/>
      <c r="L154" s="185"/>
      <c r="M154" s="185"/>
      <c r="N154" s="185"/>
    </row>
    <row r="155" spans="1:14" ht="11.25" customHeight="1">
      <c r="A155" s="109" t="s">
        <v>311</v>
      </c>
      <c r="B155" s="109"/>
      <c r="C155" s="140"/>
      <c r="D155" s="109"/>
      <c r="E155" s="121">
        <v>98</v>
      </c>
      <c r="F155" s="122"/>
      <c r="G155" s="51" t="s">
        <v>1018</v>
      </c>
      <c r="H155" s="122"/>
      <c r="I155" s="175" t="s">
        <v>611</v>
      </c>
      <c r="J155" s="185"/>
      <c r="K155" s="185"/>
      <c r="L155" s="185"/>
      <c r="M155" s="185"/>
      <c r="N155" s="185"/>
    </row>
    <row r="156" spans="1:14" ht="11.25" customHeight="1">
      <c r="A156" s="109" t="s">
        <v>313</v>
      </c>
      <c r="B156" s="109"/>
      <c r="C156" s="140"/>
      <c r="D156" s="109"/>
      <c r="E156" s="121">
        <v>231471</v>
      </c>
      <c r="F156" s="122"/>
      <c r="G156" s="51" t="s">
        <v>1018</v>
      </c>
      <c r="H156" s="122"/>
      <c r="I156" s="175" t="s">
        <v>612</v>
      </c>
      <c r="J156" s="185"/>
      <c r="K156" s="185"/>
      <c r="L156" s="185"/>
      <c r="M156" s="185"/>
      <c r="N156" s="185"/>
    </row>
    <row r="157" spans="1:14" ht="11.25" customHeight="1">
      <c r="A157" s="109" t="s">
        <v>314</v>
      </c>
      <c r="B157" s="109"/>
      <c r="C157" s="140"/>
      <c r="D157" s="102"/>
      <c r="E157" s="67">
        <v>9102</v>
      </c>
      <c r="F157" s="122"/>
      <c r="G157" s="51" t="s">
        <v>1018</v>
      </c>
      <c r="H157" s="122"/>
      <c r="I157" s="175" t="s">
        <v>613</v>
      </c>
      <c r="J157" s="185"/>
      <c r="K157" s="185"/>
      <c r="L157" s="185"/>
      <c r="M157" s="185"/>
      <c r="N157" s="185"/>
    </row>
    <row r="158" spans="1:14" ht="11.25" customHeight="1">
      <c r="A158" s="102" t="s">
        <v>747</v>
      </c>
      <c r="B158" s="109"/>
      <c r="C158" s="140" t="s">
        <v>1012</v>
      </c>
      <c r="D158" s="109"/>
      <c r="E158" s="121">
        <v>1605</v>
      </c>
      <c r="F158" s="122"/>
      <c r="G158" s="51" t="s">
        <v>1018</v>
      </c>
      <c r="H158" s="122"/>
      <c r="I158" s="175" t="s">
        <v>614</v>
      </c>
      <c r="J158" s="185"/>
      <c r="K158" s="185"/>
      <c r="L158" s="185"/>
      <c r="M158" s="185"/>
      <c r="N158" s="185"/>
    </row>
    <row r="159" spans="1:14" ht="11.25" customHeight="1">
      <c r="A159" s="109" t="s">
        <v>317</v>
      </c>
      <c r="B159" s="109"/>
      <c r="C159" s="140"/>
      <c r="D159" s="109"/>
      <c r="E159" s="121">
        <v>251539</v>
      </c>
      <c r="F159" s="122"/>
      <c r="G159" s="51" t="s">
        <v>1018</v>
      </c>
      <c r="H159" s="122"/>
      <c r="I159" s="175" t="s">
        <v>615</v>
      </c>
      <c r="J159" s="185"/>
      <c r="K159" s="185"/>
      <c r="L159" s="185"/>
      <c r="M159" s="185"/>
      <c r="N159" s="185"/>
    </row>
    <row r="160" spans="1:14" ht="11.25" customHeight="1">
      <c r="A160" s="109" t="s">
        <v>319</v>
      </c>
      <c r="B160" s="109"/>
      <c r="C160" s="140"/>
      <c r="D160" s="99"/>
      <c r="E160" s="62"/>
      <c r="F160" s="128"/>
      <c r="G160" s="127"/>
      <c r="H160" s="128"/>
      <c r="I160" s="173"/>
      <c r="J160" s="180"/>
      <c r="K160" s="180"/>
      <c r="L160" s="180"/>
      <c r="M160" s="180"/>
      <c r="N160" s="180"/>
    </row>
    <row r="161" spans="1:14" ht="11.25" customHeight="1">
      <c r="A161" s="113" t="s">
        <v>742</v>
      </c>
      <c r="B161" s="109"/>
      <c r="C161" s="140"/>
      <c r="D161" s="102"/>
      <c r="E161" s="67">
        <v>253226</v>
      </c>
      <c r="F161" s="114"/>
      <c r="G161" s="83" t="s">
        <v>1018</v>
      </c>
      <c r="H161" s="114"/>
      <c r="I161" s="177" t="s">
        <v>616</v>
      </c>
      <c r="J161" s="184"/>
      <c r="K161" s="184"/>
      <c r="L161" s="184"/>
      <c r="M161" s="184"/>
      <c r="N161" s="184"/>
    </row>
    <row r="162" spans="1:14" ht="11.25" customHeight="1">
      <c r="A162" s="113" t="s">
        <v>767</v>
      </c>
      <c r="B162" s="109"/>
      <c r="C162" s="140" t="s">
        <v>1012</v>
      </c>
      <c r="D162" s="109"/>
      <c r="E162" s="67">
        <v>803</v>
      </c>
      <c r="F162" s="122"/>
      <c r="G162" s="51">
        <f>ROUND(0.241*E162,3-LEN(INT(0.241*E162)))</f>
        <v>194</v>
      </c>
      <c r="H162" s="122"/>
      <c r="I162" s="175" t="s">
        <v>617</v>
      </c>
      <c r="J162" s="185"/>
      <c r="K162" s="185"/>
      <c r="L162" s="185"/>
      <c r="M162" s="185"/>
      <c r="N162" s="185"/>
    </row>
    <row r="163" spans="1:14" ht="11.25" customHeight="1">
      <c r="A163" s="113" t="s">
        <v>15</v>
      </c>
      <c r="B163" s="109"/>
      <c r="C163" s="140"/>
      <c r="D163" s="102"/>
      <c r="E163" s="67">
        <v>157146</v>
      </c>
      <c r="F163" s="122"/>
      <c r="G163" s="51">
        <f>ROUND(0.16*E163,3-LEN(INT(0.16*E163)))</f>
        <v>25100</v>
      </c>
      <c r="H163" s="122"/>
      <c r="I163" s="175" t="s">
        <v>618</v>
      </c>
      <c r="J163" s="185"/>
      <c r="K163" s="185"/>
      <c r="L163" s="185"/>
      <c r="M163" s="185"/>
      <c r="N163" s="185"/>
    </row>
    <row r="164" spans="1:14" ht="11.25" customHeight="1">
      <c r="A164" s="109" t="s">
        <v>323</v>
      </c>
      <c r="B164" s="109"/>
      <c r="C164" s="140"/>
      <c r="D164" s="99"/>
      <c r="E164" s="62"/>
      <c r="F164" s="128"/>
      <c r="G164" s="127"/>
      <c r="H164" s="128"/>
      <c r="I164" s="173"/>
      <c r="J164" s="180"/>
      <c r="K164" s="180"/>
      <c r="L164" s="180"/>
      <c r="M164" s="180"/>
      <c r="N164" s="180"/>
    </row>
    <row r="165" spans="1:14" ht="11.25" customHeight="1">
      <c r="A165" s="113" t="s">
        <v>324</v>
      </c>
      <c r="B165" s="109"/>
      <c r="C165" s="140" t="s">
        <v>325</v>
      </c>
      <c r="D165" s="102"/>
      <c r="E165" s="67">
        <v>432555</v>
      </c>
      <c r="F165" s="114"/>
      <c r="G165" s="83" t="s">
        <v>1018</v>
      </c>
      <c r="H165" s="114"/>
      <c r="I165" s="177" t="s">
        <v>620</v>
      </c>
      <c r="J165" s="184"/>
      <c r="K165" s="184"/>
      <c r="L165" s="184"/>
      <c r="M165" s="184"/>
      <c r="N165" s="184"/>
    </row>
    <row r="166" spans="1:14" ht="11.25" customHeight="1">
      <c r="A166" s="113" t="s">
        <v>327</v>
      </c>
      <c r="B166" s="109"/>
      <c r="C166" s="140" t="s">
        <v>621</v>
      </c>
      <c r="D166" s="109"/>
      <c r="E166" s="67">
        <v>1076</v>
      </c>
      <c r="F166" s="122"/>
      <c r="G166" s="51" t="s">
        <v>1018</v>
      </c>
      <c r="H166" s="122"/>
      <c r="I166" s="175" t="s">
        <v>622</v>
      </c>
      <c r="J166" s="185"/>
      <c r="K166" s="185"/>
      <c r="L166" s="185"/>
      <c r="M166" s="185"/>
      <c r="N166" s="185"/>
    </row>
    <row r="167" spans="1:14" ht="11.25" customHeight="1">
      <c r="A167" s="124" t="s">
        <v>329</v>
      </c>
      <c r="B167" s="102"/>
      <c r="C167" s="142" t="s">
        <v>1033</v>
      </c>
      <c r="D167" s="102"/>
      <c r="E167" s="67">
        <v>9567</v>
      </c>
      <c r="F167" s="122"/>
      <c r="G167" s="51">
        <f>ROUND(0.158*E167,3-LEN(INT(0.158*E167)))</f>
        <v>1510</v>
      </c>
      <c r="H167" s="122"/>
      <c r="I167" s="175" t="s">
        <v>623</v>
      </c>
      <c r="J167" s="185"/>
      <c r="K167" s="185"/>
      <c r="L167" s="185"/>
      <c r="M167" s="185"/>
      <c r="N167" s="185"/>
    </row>
    <row r="168" spans="1:14" ht="11.25" customHeight="1">
      <c r="A168" s="102" t="s">
        <v>331</v>
      </c>
      <c r="B168" s="102"/>
      <c r="C168" s="142"/>
      <c r="D168" s="102"/>
      <c r="E168" s="67">
        <v>87236</v>
      </c>
      <c r="F168" s="122"/>
      <c r="G168" s="51">
        <f>ROUND(0.129*E168,3-LEN(INT(0.129*E168)))</f>
        <v>11300</v>
      </c>
      <c r="H168" s="122"/>
      <c r="I168" s="175" t="s">
        <v>624</v>
      </c>
      <c r="J168" s="185"/>
      <c r="K168" s="185"/>
      <c r="L168" s="185"/>
      <c r="M168" s="185"/>
      <c r="N168" s="185"/>
    </row>
    <row r="169" spans="1:14" ht="11.25" customHeight="1">
      <c r="A169" s="109" t="s">
        <v>16</v>
      </c>
      <c r="B169" s="109"/>
      <c r="C169" s="140"/>
      <c r="D169" s="109"/>
      <c r="E169" s="67">
        <v>101931</v>
      </c>
      <c r="F169" s="122"/>
      <c r="G169" s="51" t="s">
        <v>1018</v>
      </c>
      <c r="H169" s="122"/>
      <c r="I169" s="175" t="s">
        <v>625</v>
      </c>
      <c r="J169" s="185"/>
      <c r="K169" s="185"/>
      <c r="L169" s="185"/>
      <c r="M169" s="185"/>
      <c r="N169" s="185"/>
    </row>
    <row r="170" spans="1:14" ht="11.25" customHeight="1">
      <c r="A170" s="109" t="s">
        <v>17</v>
      </c>
      <c r="B170" s="109"/>
      <c r="C170" s="140"/>
      <c r="D170" s="99"/>
      <c r="E170" s="62"/>
      <c r="F170" s="128"/>
      <c r="G170" s="127"/>
      <c r="H170" s="128"/>
      <c r="I170" s="173"/>
      <c r="J170" s="180"/>
      <c r="K170" s="180"/>
      <c r="L170" s="180"/>
      <c r="M170" s="180"/>
      <c r="N170" s="180"/>
    </row>
    <row r="171" spans="1:14" ht="11.25" customHeight="1">
      <c r="A171" s="113" t="s">
        <v>18</v>
      </c>
      <c r="B171" s="109"/>
      <c r="C171" s="140"/>
      <c r="D171" s="102"/>
      <c r="E171" s="67">
        <v>245089</v>
      </c>
      <c r="F171" s="114"/>
      <c r="G171" s="83" t="s">
        <v>1018</v>
      </c>
      <c r="H171" s="114"/>
      <c r="I171" s="177" t="s">
        <v>626</v>
      </c>
      <c r="J171" s="184"/>
      <c r="K171" s="184"/>
      <c r="L171" s="184"/>
      <c r="M171" s="184"/>
      <c r="N171" s="184"/>
    </row>
    <row r="172" spans="1:14" ht="11.25" customHeight="1">
      <c r="A172" s="113" t="s">
        <v>19</v>
      </c>
      <c r="B172" s="109"/>
      <c r="C172" s="140"/>
      <c r="D172" s="102"/>
      <c r="E172" s="67">
        <v>19806</v>
      </c>
      <c r="F172" s="122"/>
      <c r="G172" s="51" t="s">
        <v>1018</v>
      </c>
      <c r="H172" s="122"/>
      <c r="I172" s="175" t="s">
        <v>627</v>
      </c>
      <c r="J172" s="185"/>
      <c r="K172" s="185"/>
      <c r="L172" s="185"/>
      <c r="M172" s="185"/>
      <c r="N172" s="185"/>
    </row>
    <row r="173" spans="1:14" ht="11.25" customHeight="1">
      <c r="A173" s="109" t="s">
        <v>20</v>
      </c>
      <c r="B173" s="109"/>
      <c r="C173" s="140"/>
      <c r="D173" s="109"/>
      <c r="E173" s="67">
        <v>55843</v>
      </c>
      <c r="F173" s="122"/>
      <c r="G173" s="51" t="s">
        <v>1018</v>
      </c>
      <c r="H173" s="122"/>
      <c r="I173" s="175" t="s">
        <v>628</v>
      </c>
      <c r="J173" s="185"/>
      <c r="K173" s="185"/>
      <c r="L173" s="185"/>
      <c r="M173" s="185"/>
      <c r="N173" s="185"/>
    </row>
    <row r="174" spans="1:14" ht="11.25" customHeight="1">
      <c r="A174" s="109" t="s">
        <v>337</v>
      </c>
      <c r="B174" s="109"/>
      <c r="C174" s="140"/>
      <c r="D174" s="109"/>
      <c r="E174" s="67">
        <v>140238</v>
      </c>
      <c r="F174" s="122"/>
      <c r="G174" s="51" t="s">
        <v>1018</v>
      </c>
      <c r="H174" s="122"/>
      <c r="I174" s="175" t="s">
        <v>629</v>
      </c>
      <c r="J174" s="185"/>
      <c r="K174" s="185"/>
      <c r="L174" s="185"/>
      <c r="M174" s="185"/>
      <c r="N174" s="185"/>
    </row>
    <row r="175" spans="1:14" ht="11.25" customHeight="1">
      <c r="A175" s="102" t="s">
        <v>339</v>
      </c>
      <c r="B175" s="102"/>
      <c r="C175" s="142"/>
      <c r="D175" s="99"/>
      <c r="E175" s="62"/>
      <c r="F175" s="128"/>
      <c r="G175" s="127"/>
      <c r="H175" s="128"/>
      <c r="I175" s="173"/>
      <c r="J175" s="180"/>
      <c r="K175" s="180"/>
      <c r="L175" s="180"/>
      <c r="M175" s="180"/>
      <c r="N175" s="180"/>
    </row>
    <row r="176" spans="1:14" ht="11.25" customHeight="1">
      <c r="A176" s="113" t="s">
        <v>340</v>
      </c>
      <c r="B176" s="109"/>
      <c r="C176" s="140"/>
      <c r="D176" s="102"/>
      <c r="E176" s="67">
        <v>52574</v>
      </c>
      <c r="F176" s="114"/>
      <c r="G176" s="83" t="s">
        <v>1018</v>
      </c>
      <c r="H176" s="114"/>
      <c r="I176" s="177" t="s">
        <v>630</v>
      </c>
      <c r="J176" s="184"/>
      <c r="K176" s="184"/>
      <c r="L176" s="184"/>
      <c r="M176" s="184"/>
      <c r="N176" s="184"/>
    </row>
    <row r="177" spans="1:14" ht="11.25" customHeight="1">
      <c r="A177" s="113" t="s">
        <v>342</v>
      </c>
      <c r="B177" s="109"/>
      <c r="C177" s="140"/>
      <c r="D177" s="109"/>
      <c r="E177" s="67">
        <v>5473</v>
      </c>
      <c r="F177" s="122"/>
      <c r="G177" s="51">
        <f>ROUND(0.121*E177,3-LEN(INT(0.121*E177)))</f>
        <v>662</v>
      </c>
      <c r="H177" s="122"/>
      <c r="I177" s="175" t="s">
        <v>631</v>
      </c>
      <c r="J177" s="185"/>
      <c r="K177" s="185"/>
      <c r="L177" s="185"/>
      <c r="M177" s="185"/>
      <c r="N177" s="185"/>
    </row>
    <row r="178" spans="1:14" ht="11.25" customHeight="1">
      <c r="A178" s="109" t="s">
        <v>344</v>
      </c>
      <c r="B178" s="109"/>
      <c r="C178" s="140" t="s">
        <v>1012</v>
      </c>
      <c r="D178" s="109"/>
      <c r="E178" s="67">
        <v>297.633</v>
      </c>
      <c r="F178" s="122"/>
      <c r="G178" s="51" t="s">
        <v>1018</v>
      </c>
      <c r="H178" s="122"/>
      <c r="I178" s="175" t="s">
        <v>632</v>
      </c>
      <c r="J178" s="185"/>
      <c r="K178" s="185"/>
      <c r="L178" s="185"/>
      <c r="M178" s="185"/>
      <c r="N178" s="185"/>
    </row>
    <row r="179" spans="1:14" ht="11.25" customHeight="1">
      <c r="A179" s="109" t="s">
        <v>346</v>
      </c>
      <c r="B179" s="109"/>
      <c r="C179" s="140"/>
      <c r="D179" s="103"/>
      <c r="E179" s="62"/>
      <c r="F179" s="128"/>
      <c r="G179" s="127"/>
      <c r="H179" s="128"/>
      <c r="I179" s="173"/>
      <c r="J179" s="180"/>
      <c r="K179" s="180"/>
      <c r="L179" s="180"/>
      <c r="M179" s="180"/>
      <c r="N179" s="180"/>
    </row>
    <row r="180" spans="1:14" ht="11.25" customHeight="1">
      <c r="A180" s="113" t="s">
        <v>347</v>
      </c>
      <c r="B180" s="109"/>
      <c r="C180" s="140"/>
      <c r="D180" s="102"/>
      <c r="E180" s="67">
        <v>521442</v>
      </c>
      <c r="F180" s="114"/>
      <c r="G180" s="83" t="s">
        <v>1018</v>
      </c>
      <c r="H180" s="114"/>
      <c r="I180" s="177" t="s">
        <v>633</v>
      </c>
      <c r="J180" s="184"/>
      <c r="K180" s="184"/>
      <c r="L180" s="184"/>
      <c r="M180" s="184"/>
      <c r="N180" s="184"/>
    </row>
    <row r="181" spans="1:14" ht="11.25" customHeight="1">
      <c r="A181" s="113" t="s">
        <v>349</v>
      </c>
      <c r="B181" s="109"/>
      <c r="C181" s="140"/>
      <c r="D181" s="109"/>
      <c r="E181" s="67">
        <v>299</v>
      </c>
      <c r="F181" s="122"/>
      <c r="G181" s="51" t="s">
        <v>1018</v>
      </c>
      <c r="H181" s="122"/>
      <c r="I181" s="175" t="s">
        <v>634</v>
      </c>
      <c r="J181" s="185"/>
      <c r="K181" s="185"/>
      <c r="L181" s="185"/>
      <c r="M181" s="185"/>
      <c r="N181" s="185"/>
    </row>
    <row r="182" spans="1:14" ht="11.25" customHeight="1">
      <c r="A182" s="109" t="s">
        <v>351</v>
      </c>
      <c r="B182" s="109"/>
      <c r="C182" s="140"/>
      <c r="D182" s="99"/>
      <c r="E182" s="67">
        <v>32009</v>
      </c>
      <c r="F182" s="122"/>
      <c r="G182" s="51" t="s">
        <v>1018</v>
      </c>
      <c r="H182" s="122"/>
      <c r="I182" s="175" t="s">
        <v>635</v>
      </c>
      <c r="J182" s="185"/>
      <c r="K182" s="185"/>
      <c r="L182" s="185"/>
      <c r="M182" s="185"/>
      <c r="N182" s="185"/>
    </row>
    <row r="183" spans="1:14" ht="11.25" customHeight="1">
      <c r="A183" s="109" t="s">
        <v>26</v>
      </c>
      <c r="B183" s="109"/>
      <c r="C183" s="140"/>
      <c r="D183" s="109"/>
      <c r="E183" s="67">
        <v>285308</v>
      </c>
      <c r="F183" s="122"/>
      <c r="G183" s="51" t="s">
        <v>1018</v>
      </c>
      <c r="H183" s="122"/>
      <c r="I183" s="175" t="s">
        <v>636</v>
      </c>
      <c r="J183" s="185"/>
      <c r="K183" s="185"/>
      <c r="L183" s="185"/>
      <c r="M183" s="185"/>
      <c r="N183" s="185"/>
    </row>
    <row r="184" spans="1:14" ht="11.25" customHeight="1">
      <c r="A184" s="109" t="s">
        <v>358</v>
      </c>
      <c r="B184" s="109"/>
      <c r="C184" s="140"/>
      <c r="D184" s="103"/>
      <c r="E184" s="62"/>
      <c r="F184" s="128"/>
      <c r="G184" s="127"/>
      <c r="H184" s="128"/>
      <c r="I184" s="173"/>
      <c r="J184" s="180"/>
      <c r="K184" s="180"/>
      <c r="L184" s="180"/>
      <c r="M184" s="180"/>
      <c r="N184" s="180"/>
    </row>
    <row r="185" spans="1:14" ht="11.25" customHeight="1">
      <c r="A185" s="113" t="s">
        <v>796</v>
      </c>
      <c r="B185" s="109"/>
      <c r="C185" s="140"/>
      <c r="D185" s="102"/>
      <c r="E185" s="67">
        <v>86903</v>
      </c>
      <c r="F185" s="114"/>
      <c r="G185" s="83" t="s">
        <v>1018</v>
      </c>
      <c r="H185" s="114"/>
      <c r="I185" s="177" t="s">
        <v>637</v>
      </c>
      <c r="J185" s="184"/>
      <c r="K185" s="184"/>
      <c r="L185" s="184"/>
      <c r="M185" s="184"/>
      <c r="N185" s="184"/>
    </row>
    <row r="186" spans="1:14" ht="11.25" customHeight="1">
      <c r="A186" s="129" t="s">
        <v>359</v>
      </c>
      <c r="B186" s="103"/>
      <c r="C186" s="143"/>
      <c r="D186" s="103"/>
      <c r="E186" s="67">
        <v>17432</v>
      </c>
      <c r="F186" s="122"/>
      <c r="G186" s="51" t="s">
        <v>1018</v>
      </c>
      <c r="H186" s="122"/>
      <c r="I186" s="175" t="s">
        <v>638</v>
      </c>
      <c r="J186" s="185"/>
      <c r="K186" s="185"/>
      <c r="L186" s="185"/>
      <c r="M186" s="185"/>
      <c r="N186" s="185"/>
    </row>
    <row r="187" spans="1:14" ht="11.25" customHeight="1">
      <c r="A187" s="180" t="s">
        <v>765</v>
      </c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</row>
    <row r="188" spans="1:14" ht="11.25" customHeight="1">
      <c r="A188" s="181"/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</row>
    <row r="189" spans="1:14" ht="11.25" customHeight="1">
      <c r="A189" s="181"/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</row>
    <row r="190" spans="1:14" ht="11.25" customHeight="1">
      <c r="A190" s="182" t="s">
        <v>473</v>
      </c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</row>
    <row r="191" spans="1:14" ht="11.25" customHeight="1">
      <c r="A191" s="172" t="s">
        <v>678</v>
      </c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</row>
    <row r="192" spans="1:14" ht="11.25" customHeight="1">
      <c r="A192" s="172"/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</row>
    <row r="193" spans="1:14" ht="11.25" customHeight="1">
      <c r="A193" s="172" t="s">
        <v>1004</v>
      </c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</row>
    <row r="194" spans="1:14" ht="11.25" customHeight="1">
      <c r="A194" s="153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</row>
    <row r="195" spans="1:14" ht="11.25" customHeight="1">
      <c r="A195" s="180"/>
      <c r="B195" s="180"/>
      <c r="C195" s="180"/>
      <c r="D195" s="99"/>
      <c r="E195" s="100"/>
      <c r="F195" s="104"/>
      <c r="G195" s="179" t="s">
        <v>679</v>
      </c>
      <c r="H195" s="179"/>
      <c r="I195" s="179"/>
      <c r="J195" s="179"/>
      <c r="K195" s="179"/>
      <c r="L195" s="179"/>
      <c r="M195" s="179"/>
      <c r="N195" s="179"/>
    </row>
    <row r="196" spans="1:14" ht="11.25" customHeight="1">
      <c r="A196" s="153" t="s">
        <v>713</v>
      </c>
      <c r="B196" s="153"/>
      <c r="C196" s="153"/>
      <c r="D196" s="102"/>
      <c r="E196" s="105" t="s">
        <v>1017</v>
      </c>
      <c r="F196" s="106"/>
      <c r="G196" s="105" t="s">
        <v>131</v>
      </c>
      <c r="H196" s="106"/>
      <c r="I196" s="179" t="s">
        <v>420</v>
      </c>
      <c r="J196" s="179"/>
      <c r="K196" s="179"/>
      <c r="L196" s="179"/>
      <c r="M196" s="179"/>
      <c r="N196" s="179"/>
    </row>
    <row r="197" spans="1:14" ht="11.25" customHeight="1">
      <c r="A197" s="150" t="s">
        <v>6</v>
      </c>
      <c r="B197" s="150"/>
      <c r="C197" s="150"/>
      <c r="D197" s="103"/>
      <c r="E197" s="107"/>
      <c r="F197" s="108"/>
      <c r="G197" s="107"/>
      <c r="H197" s="108"/>
      <c r="I197" s="173"/>
      <c r="J197" s="173"/>
      <c r="K197" s="173"/>
      <c r="L197" s="173"/>
      <c r="M197" s="173"/>
      <c r="N197" s="173"/>
    </row>
    <row r="198" spans="1:14" ht="11.25" customHeight="1">
      <c r="A198" s="103" t="s">
        <v>639</v>
      </c>
      <c r="B198" s="103"/>
      <c r="C198" s="143"/>
      <c r="D198" s="103"/>
      <c r="E198" s="62"/>
      <c r="F198" s="116"/>
      <c r="G198" s="72"/>
      <c r="H198" s="116"/>
      <c r="I198" s="151"/>
      <c r="J198" s="181"/>
      <c r="K198" s="181"/>
      <c r="L198" s="181"/>
      <c r="M198" s="181"/>
      <c r="N198" s="181"/>
    </row>
    <row r="199" spans="1:14" ht="11.25" customHeight="1">
      <c r="A199" s="124" t="s">
        <v>362</v>
      </c>
      <c r="B199" s="102"/>
      <c r="C199" s="142"/>
      <c r="D199" s="99"/>
      <c r="E199" s="62"/>
      <c r="F199" s="116"/>
      <c r="G199" s="72"/>
      <c r="H199" s="116"/>
      <c r="I199" s="151"/>
      <c r="J199" s="181"/>
      <c r="K199" s="181"/>
      <c r="L199" s="181"/>
      <c r="M199" s="181"/>
      <c r="N199" s="181"/>
    </row>
    <row r="200" spans="1:14" ht="11.25" customHeight="1">
      <c r="A200" s="113" t="s">
        <v>324</v>
      </c>
      <c r="B200" s="102"/>
      <c r="C200" s="142"/>
      <c r="D200" s="102"/>
      <c r="E200" s="67">
        <v>1406</v>
      </c>
      <c r="F200" s="114"/>
      <c r="G200" s="83" t="s">
        <v>1018</v>
      </c>
      <c r="H200" s="114"/>
      <c r="I200" s="177" t="s">
        <v>640</v>
      </c>
      <c r="J200" s="184"/>
      <c r="K200" s="184"/>
      <c r="L200" s="184"/>
      <c r="M200" s="184"/>
      <c r="N200" s="184"/>
    </row>
    <row r="201" spans="1:14" ht="11.25" customHeight="1">
      <c r="A201" s="113" t="s">
        <v>327</v>
      </c>
      <c r="B201" s="102"/>
      <c r="C201" s="142" t="s">
        <v>641</v>
      </c>
      <c r="D201" s="102"/>
      <c r="E201" s="67">
        <v>3500</v>
      </c>
      <c r="F201" s="122"/>
      <c r="G201" s="51">
        <f>ROUND(0.257*E201,3-LEN(INT(0.257*E201)))</f>
        <v>900</v>
      </c>
      <c r="H201" s="122"/>
      <c r="I201" s="175" t="s">
        <v>642</v>
      </c>
      <c r="J201" s="185"/>
      <c r="K201" s="185"/>
      <c r="L201" s="185"/>
      <c r="M201" s="185"/>
      <c r="N201" s="185"/>
    </row>
    <row r="202" spans="1:14" ht="11.25" customHeight="1">
      <c r="A202" s="109" t="s">
        <v>364</v>
      </c>
      <c r="B202" s="102"/>
      <c r="C202" s="132"/>
      <c r="D202" s="102"/>
      <c r="E202" s="67">
        <v>62686</v>
      </c>
      <c r="F202" s="114"/>
      <c r="G202" s="83" t="s">
        <v>1018</v>
      </c>
      <c r="H202" s="114"/>
      <c r="I202" s="177" t="s">
        <v>643</v>
      </c>
      <c r="J202" s="184"/>
      <c r="K202" s="184"/>
      <c r="L202" s="184"/>
      <c r="M202" s="184"/>
      <c r="N202" s="184"/>
    </row>
    <row r="203" spans="1:14" ht="11.25" customHeight="1">
      <c r="A203" s="109" t="s">
        <v>366</v>
      </c>
      <c r="B203" s="109"/>
      <c r="C203" s="140" t="s">
        <v>1012</v>
      </c>
      <c r="D203" s="109"/>
      <c r="E203" s="67">
        <v>2559</v>
      </c>
      <c r="F203" s="122"/>
      <c r="G203" s="51" t="s">
        <v>1018</v>
      </c>
      <c r="H203" s="122"/>
      <c r="I203" s="175" t="s">
        <v>644</v>
      </c>
      <c r="J203" s="185"/>
      <c r="K203" s="185"/>
      <c r="L203" s="185"/>
      <c r="M203" s="185"/>
      <c r="N203" s="185"/>
    </row>
    <row r="204" spans="1:14" ht="11.25" customHeight="1">
      <c r="A204" s="109" t="s">
        <v>32</v>
      </c>
      <c r="B204" s="102"/>
      <c r="C204" s="142"/>
      <c r="D204" s="99"/>
      <c r="E204" s="62"/>
      <c r="F204" s="128"/>
      <c r="G204" s="127"/>
      <c r="H204" s="128"/>
      <c r="I204" s="173"/>
      <c r="J204" s="180"/>
      <c r="K204" s="180"/>
      <c r="L204" s="180"/>
      <c r="M204" s="180"/>
      <c r="N204" s="180"/>
    </row>
    <row r="205" spans="1:14" ht="11.25" customHeight="1">
      <c r="A205" s="124" t="s">
        <v>368</v>
      </c>
      <c r="B205" s="102"/>
      <c r="C205" s="142"/>
      <c r="D205" s="102"/>
      <c r="E205" s="67">
        <v>68572</v>
      </c>
      <c r="F205" s="114"/>
      <c r="G205" s="83" t="s">
        <v>1018</v>
      </c>
      <c r="H205" s="114"/>
      <c r="I205" s="177" t="s">
        <v>645</v>
      </c>
      <c r="J205" s="184"/>
      <c r="K205" s="184"/>
      <c r="L205" s="184"/>
      <c r="M205" s="184"/>
      <c r="N205" s="184"/>
    </row>
    <row r="206" spans="1:14" ht="11.25" customHeight="1">
      <c r="A206" s="113" t="s">
        <v>370</v>
      </c>
      <c r="B206" s="102"/>
      <c r="C206" s="142"/>
      <c r="D206" s="99"/>
      <c r="E206" s="62"/>
      <c r="F206" s="128"/>
      <c r="G206" s="127"/>
      <c r="H206" s="128"/>
      <c r="I206" s="173"/>
      <c r="J206" s="180"/>
      <c r="K206" s="180"/>
      <c r="L206" s="180"/>
      <c r="M206" s="180"/>
      <c r="N206" s="180"/>
    </row>
    <row r="207" spans="1:14" ht="11.25" customHeight="1">
      <c r="A207" s="117" t="s">
        <v>371</v>
      </c>
      <c r="B207" s="109"/>
      <c r="C207" s="140"/>
      <c r="D207" s="102"/>
      <c r="E207" s="67">
        <v>614711</v>
      </c>
      <c r="F207" s="114"/>
      <c r="G207" s="83" t="s">
        <v>1018</v>
      </c>
      <c r="H207" s="114"/>
      <c r="I207" s="177" t="s">
        <v>646</v>
      </c>
      <c r="J207" s="184"/>
      <c r="K207" s="184"/>
      <c r="L207" s="184"/>
      <c r="M207" s="184"/>
      <c r="N207" s="184"/>
    </row>
    <row r="208" spans="1:14" ht="11.25" customHeight="1">
      <c r="A208" s="133" t="s">
        <v>373</v>
      </c>
      <c r="B208" s="102"/>
      <c r="C208" s="142"/>
      <c r="D208" s="99"/>
      <c r="E208" s="67">
        <v>136889</v>
      </c>
      <c r="F208" s="122"/>
      <c r="G208" s="51" t="s">
        <v>1018</v>
      </c>
      <c r="H208" s="122"/>
      <c r="I208" s="175" t="s">
        <v>647</v>
      </c>
      <c r="J208" s="185"/>
      <c r="K208" s="185"/>
      <c r="L208" s="185"/>
      <c r="M208" s="185"/>
      <c r="N208" s="185"/>
    </row>
    <row r="209" spans="1:14" ht="11.25" customHeight="1">
      <c r="A209" s="117" t="s">
        <v>375</v>
      </c>
      <c r="B209" s="102"/>
      <c r="C209" s="140" t="s">
        <v>1012</v>
      </c>
      <c r="D209" s="109"/>
      <c r="E209" s="67">
        <v>3101</v>
      </c>
      <c r="F209" s="122"/>
      <c r="G209" s="51" t="s">
        <v>1018</v>
      </c>
      <c r="H209" s="122"/>
      <c r="I209" s="175" t="s">
        <v>648</v>
      </c>
      <c r="J209" s="185"/>
      <c r="K209" s="185"/>
      <c r="L209" s="185"/>
      <c r="M209" s="185"/>
      <c r="N209" s="185"/>
    </row>
    <row r="210" spans="1:14" ht="11.25" customHeight="1">
      <c r="A210" s="124" t="s">
        <v>377</v>
      </c>
      <c r="B210" s="102"/>
      <c r="C210" s="142"/>
      <c r="D210" s="109"/>
      <c r="E210" s="67">
        <v>22562</v>
      </c>
      <c r="F210" s="122"/>
      <c r="G210" s="51" t="s">
        <v>1018</v>
      </c>
      <c r="H210" s="122"/>
      <c r="I210" s="175" t="s">
        <v>516</v>
      </c>
      <c r="J210" s="185"/>
      <c r="K210" s="185"/>
      <c r="L210" s="185"/>
      <c r="M210" s="185"/>
      <c r="N210" s="185"/>
    </row>
    <row r="211" spans="1:14" ht="11.25" customHeight="1">
      <c r="A211" s="113" t="s">
        <v>379</v>
      </c>
      <c r="B211" s="102"/>
      <c r="C211" s="140" t="s">
        <v>1012</v>
      </c>
      <c r="D211" s="109"/>
      <c r="E211" s="67">
        <v>1876</v>
      </c>
      <c r="F211" s="122"/>
      <c r="G211" s="51" t="s">
        <v>1018</v>
      </c>
      <c r="H211" s="122"/>
      <c r="I211" s="175" t="s">
        <v>649</v>
      </c>
      <c r="J211" s="185"/>
      <c r="K211" s="185"/>
      <c r="L211" s="185"/>
      <c r="M211" s="185"/>
      <c r="N211" s="185"/>
    </row>
    <row r="212" spans="1:14" ht="11.25" customHeight="1">
      <c r="A212" s="124" t="s">
        <v>381</v>
      </c>
      <c r="B212" s="109"/>
      <c r="C212" s="140"/>
      <c r="D212" s="109"/>
      <c r="E212" s="67">
        <v>78977</v>
      </c>
      <c r="F212" s="122"/>
      <c r="G212" s="51" t="s">
        <v>1018</v>
      </c>
      <c r="H212" s="122"/>
      <c r="I212" s="175" t="s">
        <v>650</v>
      </c>
      <c r="J212" s="185"/>
      <c r="K212" s="185"/>
      <c r="L212" s="185"/>
      <c r="M212" s="185"/>
      <c r="N212" s="185"/>
    </row>
    <row r="213" spans="1:14" ht="11.25" customHeight="1">
      <c r="A213" s="124" t="s">
        <v>383</v>
      </c>
      <c r="B213" s="109"/>
      <c r="C213" s="140" t="s">
        <v>1012</v>
      </c>
      <c r="D213" s="109"/>
      <c r="E213" s="67">
        <v>1590</v>
      </c>
      <c r="F213" s="122"/>
      <c r="G213" s="51" t="s">
        <v>1018</v>
      </c>
      <c r="H213" s="122"/>
      <c r="I213" s="175" t="s">
        <v>651</v>
      </c>
      <c r="J213" s="185"/>
      <c r="K213" s="185"/>
      <c r="L213" s="185"/>
      <c r="M213" s="185"/>
      <c r="N213" s="185"/>
    </row>
    <row r="214" spans="1:14" ht="11.25" customHeight="1">
      <c r="A214" s="124" t="s">
        <v>385</v>
      </c>
      <c r="B214" s="102"/>
      <c r="C214" s="142"/>
      <c r="D214" s="109"/>
      <c r="E214" s="67">
        <v>21670</v>
      </c>
      <c r="F214" s="122"/>
      <c r="G214" s="51" t="s">
        <v>1018</v>
      </c>
      <c r="H214" s="122"/>
      <c r="I214" s="175" t="s">
        <v>652</v>
      </c>
      <c r="J214" s="185"/>
      <c r="K214" s="185"/>
      <c r="L214" s="185"/>
      <c r="M214" s="185"/>
      <c r="N214" s="185"/>
    </row>
    <row r="215" spans="1:14" ht="11.25" customHeight="1">
      <c r="A215" s="124" t="s">
        <v>387</v>
      </c>
      <c r="B215" s="102"/>
      <c r="C215" s="142"/>
      <c r="D215" s="109"/>
      <c r="E215" s="67">
        <v>29224</v>
      </c>
      <c r="F215" s="122"/>
      <c r="G215" s="51" t="s">
        <v>1018</v>
      </c>
      <c r="H215" s="122"/>
      <c r="I215" s="175" t="s">
        <v>653</v>
      </c>
      <c r="J215" s="185"/>
      <c r="K215" s="185"/>
      <c r="L215" s="185"/>
      <c r="M215" s="185"/>
      <c r="N215" s="185"/>
    </row>
    <row r="216" spans="1:14" ht="11.25" customHeight="1">
      <c r="A216" s="124" t="s">
        <v>654</v>
      </c>
      <c r="B216" s="102"/>
      <c r="C216" s="140" t="s">
        <v>1012</v>
      </c>
      <c r="D216" s="109"/>
      <c r="E216" s="67">
        <v>1183</v>
      </c>
      <c r="F216" s="122"/>
      <c r="G216" s="51" t="s">
        <v>1018</v>
      </c>
      <c r="H216" s="122"/>
      <c r="I216" s="175" t="s">
        <v>655</v>
      </c>
      <c r="J216" s="185"/>
      <c r="K216" s="185"/>
      <c r="L216" s="185"/>
      <c r="M216" s="185"/>
      <c r="N216" s="185"/>
    </row>
    <row r="217" spans="1:14" ht="11.25" customHeight="1">
      <c r="A217" s="124" t="s">
        <v>391</v>
      </c>
      <c r="B217" s="102"/>
      <c r="C217" s="142" t="s">
        <v>754</v>
      </c>
      <c r="D217" s="109"/>
      <c r="E217" s="67">
        <v>6259</v>
      </c>
      <c r="F217" s="122"/>
      <c r="G217" s="51" t="s">
        <v>1018</v>
      </c>
      <c r="H217" s="122"/>
      <c r="I217" s="175" t="s">
        <v>656</v>
      </c>
      <c r="J217" s="185"/>
      <c r="K217" s="185"/>
      <c r="L217" s="185"/>
      <c r="M217" s="185"/>
      <c r="N217" s="185"/>
    </row>
    <row r="218" spans="1:14" ht="11.25" customHeight="1">
      <c r="A218" s="109" t="s">
        <v>393</v>
      </c>
      <c r="B218" s="102"/>
      <c r="C218" s="142"/>
      <c r="D218" s="109"/>
      <c r="E218" s="67">
        <v>46127</v>
      </c>
      <c r="F218" s="122"/>
      <c r="G218" s="51" t="s">
        <v>1018</v>
      </c>
      <c r="H218" s="122"/>
      <c r="I218" s="175" t="s">
        <v>657</v>
      </c>
      <c r="J218" s="185"/>
      <c r="K218" s="185"/>
      <c r="L218" s="185"/>
      <c r="M218" s="185"/>
      <c r="N218" s="185"/>
    </row>
    <row r="219" spans="1:14" ht="11.25" customHeight="1">
      <c r="A219" s="109" t="s">
        <v>395</v>
      </c>
      <c r="B219" s="109"/>
      <c r="C219" s="140"/>
      <c r="D219" s="109"/>
      <c r="E219" s="67">
        <v>376618</v>
      </c>
      <c r="F219" s="122"/>
      <c r="G219" s="51" t="s">
        <v>1018</v>
      </c>
      <c r="H219" s="122"/>
      <c r="I219" s="175" t="s">
        <v>658</v>
      </c>
      <c r="J219" s="185"/>
      <c r="K219" s="185"/>
      <c r="L219" s="185"/>
      <c r="M219" s="185"/>
      <c r="N219" s="185"/>
    </row>
    <row r="220" spans="1:14" ht="11.25" customHeight="1">
      <c r="A220" s="109" t="s">
        <v>397</v>
      </c>
      <c r="B220" s="109"/>
      <c r="C220" s="140"/>
      <c r="D220" s="109"/>
      <c r="E220" s="67">
        <v>97031</v>
      </c>
      <c r="F220" s="122"/>
      <c r="G220" s="51" t="s">
        <v>1018</v>
      </c>
      <c r="H220" s="122"/>
      <c r="I220" s="175" t="s">
        <v>659</v>
      </c>
      <c r="J220" s="185"/>
      <c r="K220" s="185"/>
      <c r="L220" s="185"/>
      <c r="M220" s="185"/>
      <c r="N220" s="185"/>
    </row>
    <row r="221" spans="1:14" ht="11.25" customHeight="1">
      <c r="A221" s="150" t="s">
        <v>50</v>
      </c>
      <c r="B221" s="150"/>
      <c r="C221" s="150"/>
      <c r="D221" s="99"/>
      <c r="E221" s="62"/>
      <c r="F221" s="128"/>
      <c r="G221" s="127"/>
      <c r="H221" s="128"/>
      <c r="I221" s="173"/>
      <c r="J221" s="180"/>
      <c r="K221" s="180"/>
      <c r="L221" s="180"/>
      <c r="M221" s="180"/>
      <c r="N221" s="180"/>
    </row>
    <row r="222" spans="1:14" ht="11.25" customHeight="1">
      <c r="A222" s="102" t="s">
        <v>51</v>
      </c>
      <c r="B222" s="102"/>
      <c r="C222" s="142"/>
      <c r="D222" s="102"/>
      <c r="E222" s="67">
        <v>34095</v>
      </c>
      <c r="F222" s="114"/>
      <c r="G222" s="83">
        <f>ROUND(0.184*E222,3-LEN(INT(0.184*E222)))</f>
        <v>6270</v>
      </c>
      <c r="H222" s="114"/>
      <c r="I222" s="177" t="s">
        <v>660</v>
      </c>
      <c r="J222" s="184"/>
      <c r="K222" s="184"/>
      <c r="L222" s="184"/>
      <c r="M222" s="184"/>
      <c r="N222" s="184"/>
    </row>
    <row r="223" spans="1:14" ht="11.25" customHeight="1">
      <c r="A223" s="102" t="s">
        <v>56</v>
      </c>
      <c r="B223" s="102"/>
      <c r="C223" s="142"/>
      <c r="D223" s="99"/>
      <c r="E223" s="62"/>
      <c r="F223" s="128"/>
      <c r="G223" s="127"/>
      <c r="H223" s="128"/>
      <c r="I223" s="173"/>
      <c r="J223" s="180"/>
      <c r="K223" s="180"/>
      <c r="L223" s="180"/>
      <c r="M223" s="180"/>
      <c r="N223" s="180"/>
    </row>
    <row r="224" spans="1:14" ht="11.25" customHeight="1">
      <c r="A224" s="56" t="s">
        <v>661</v>
      </c>
      <c r="B224" s="50"/>
      <c r="C224" s="141"/>
      <c r="D224" s="81"/>
      <c r="E224" s="62"/>
      <c r="F224" s="116"/>
      <c r="G224" s="72"/>
      <c r="H224" s="116"/>
      <c r="I224" s="151"/>
      <c r="J224" s="181"/>
      <c r="K224" s="181"/>
      <c r="L224" s="181"/>
      <c r="M224" s="181"/>
      <c r="N224" s="181"/>
    </row>
    <row r="225" spans="1:14" ht="11.25" customHeight="1">
      <c r="A225" s="133" t="s">
        <v>662</v>
      </c>
      <c r="B225" s="102"/>
      <c r="C225" s="142" t="s">
        <v>1012</v>
      </c>
      <c r="D225" s="102"/>
      <c r="E225" s="67">
        <v>992</v>
      </c>
      <c r="F225" s="114"/>
      <c r="G225" s="83">
        <f>ROUND(0.05*E225,3-LEN(INT(0.05*E225)))</f>
        <v>49.6</v>
      </c>
      <c r="H225" s="114"/>
      <c r="I225" s="177" t="s">
        <v>663</v>
      </c>
      <c r="J225" s="184"/>
      <c r="K225" s="184"/>
      <c r="L225" s="184"/>
      <c r="M225" s="184"/>
      <c r="N225" s="184"/>
    </row>
    <row r="226" spans="1:14" ht="11.25" customHeight="1">
      <c r="A226" s="133" t="s">
        <v>664</v>
      </c>
      <c r="B226" s="109"/>
      <c r="C226" s="140" t="s">
        <v>754</v>
      </c>
      <c r="D226" s="109"/>
      <c r="E226" s="67">
        <v>4926</v>
      </c>
      <c r="F226" s="122"/>
      <c r="G226" s="51" t="s">
        <v>1018</v>
      </c>
      <c r="H226" s="122"/>
      <c r="I226" s="175" t="s">
        <v>665</v>
      </c>
      <c r="J226" s="185"/>
      <c r="K226" s="185"/>
      <c r="L226" s="185"/>
      <c r="M226" s="185"/>
      <c r="N226" s="185"/>
    </row>
    <row r="227" spans="1:14" ht="11.25" customHeight="1">
      <c r="A227" s="117" t="s">
        <v>666</v>
      </c>
      <c r="B227" s="102"/>
      <c r="C227" s="140" t="s">
        <v>754</v>
      </c>
      <c r="D227" s="102"/>
      <c r="E227" s="67">
        <v>5284</v>
      </c>
      <c r="F227" s="122"/>
      <c r="G227" s="51">
        <f>ROUND(0.216*E227,3-LEN(INT(0.216*E227)))</f>
        <v>1140</v>
      </c>
      <c r="H227" s="122"/>
      <c r="I227" s="175" t="s">
        <v>667</v>
      </c>
      <c r="J227" s="185"/>
      <c r="K227" s="185"/>
      <c r="L227" s="185"/>
      <c r="M227" s="185"/>
      <c r="N227" s="185"/>
    </row>
    <row r="228" spans="1:14" ht="11.25" customHeight="1">
      <c r="A228" s="133" t="s">
        <v>668</v>
      </c>
      <c r="B228" s="109"/>
      <c r="C228" s="140" t="s">
        <v>754</v>
      </c>
      <c r="D228" s="109"/>
      <c r="E228" s="67">
        <v>24178</v>
      </c>
      <c r="F228" s="122"/>
      <c r="G228" s="51" t="s">
        <v>1018</v>
      </c>
      <c r="H228" s="122"/>
      <c r="I228" s="175" t="s">
        <v>669</v>
      </c>
      <c r="J228" s="185"/>
      <c r="K228" s="185"/>
      <c r="L228" s="185"/>
      <c r="M228" s="185"/>
      <c r="N228" s="185"/>
    </row>
    <row r="229" spans="1:14" ht="11.25" customHeight="1">
      <c r="A229" s="113" t="s">
        <v>783</v>
      </c>
      <c r="B229" s="109"/>
      <c r="C229" s="140" t="s">
        <v>754</v>
      </c>
      <c r="D229" s="109"/>
      <c r="E229" s="145">
        <v>112</v>
      </c>
      <c r="F229" s="122"/>
      <c r="G229" s="51" t="s">
        <v>1018</v>
      </c>
      <c r="H229" s="122"/>
      <c r="I229" s="175" t="s">
        <v>670</v>
      </c>
      <c r="J229" s="185"/>
      <c r="K229" s="185"/>
      <c r="L229" s="185"/>
      <c r="M229" s="185"/>
      <c r="N229" s="185"/>
    </row>
    <row r="230" spans="1:14" ht="11.25" customHeight="1">
      <c r="A230" s="124" t="s">
        <v>671</v>
      </c>
      <c r="B230" s="102"/>
      <c r="C230" s="142"/>
      <c r="D230" s="102"/>
      <c r="E230" s="67">
        <v>60</v>
      </c>
      <c r="F230" s="114"/>
      <c r="G230" s="83" t="s">
        <v>1018</v>
      </c>
      <c r="H230" s="114"/>
      <c r="I230" s="177" t="s">
        <v>672</v>
      </c>
      <c r="J230" s="184"/>
      <c r="K230" s="184"/>
      <c r="L230" s="184"/>
      <c r="M230" s="184"/>
      <c r="N230" s="184"/>
    </row>
    <row r="231" spans="1:14" ht="11.25" customHeight="1">
      <c r="A231" s="109" t="s">
        <v>407</v>
      </c>
      <c r="B231" s="102"/>
      <c r="C231" s="142" t="s">
        <v>754</v>
      </c>
      <c r="D231" s="102"/>
      <c r="E231" s="67">
        <v>76144</v>
      </c>
      <c r="F231" s="122"/>
      <c r="G231" s="51" t="s">
        <v>1018</v>
      </c>
      <c r="H231" s="122"/>
      <c r="I231" s="175" t="s">
        <v>288</v>
      </c>
      <c r="J231" s="185"/>
      <c r="K231" s="185"/>
      <c r="L231" s="185"/>
      <c r="M231" s="185"/>
      <c r="N231" s="185"/>
    </row>
    <row r="232" spans="1:14" ht="11.25" customHeight="1">
      <c r="A232" s="109" t="s">
        <v>408</v>
      </c>
      <c r="B232" s="109"/>
      <c r="C232" s="140" t="s">
        <v>754</v>
      </c>
      <c r="D232" s="102"/>
      <c r="E232" s="67">
        <v>113068</v>
      </c>
      <c r="F232" s="122"/>
      <c r="G232" s="51" t="s">
        <v>1018</v>
      </c>
      <c r="H232" s="122"/>
      <c r="I232" s="175" t="s">
        <v>673</v>
      </c>
      <c r="J232" s="185"/>
      <c r="K232" s="185"/>
      <c r="L232" s="185"/>
      <c r="M232" s="185"/>
      <c r="N232" s="185"/>
    </row>
    <row r="233" spans="1:14" ht="11.25" customHeight="1">
      <c r="A233" s="109" t="s">
        <v>410</v>
      </c>
      <c r="B233" s="109"/>
      <c r="C233" s="140"/>
      <c r="D233" s="99"/>
      <c r="E233" s="62"/>
      <c r="F233" s="128"/>
      <c r="G233" s="127"/>
      <c r="H233" s="128"/>
      <c r="I233" s="173"/>
      <c r="J233" s="180"/>
      <c r="K233" s="180"/>
      <c r="L233" s="180"/>
      <c r="M233" s="180"/>
      <c r="N233" s="180"/>
    </row>
    <row r="234" spans="1:14" ht="11.25" customHeight="1">
      <c r="A234" s="113" t="s">
        <v>411</v>
      </c>
      <c r="B234" s="109"/>
      <c r="C234" s="140"/>
      <c r="D234" s="102"/>
      <c r="E234" s="67">
        <v>1942</v>
      </c>
      <c r="F234" s="114"/>
      <c r="G234" s="83" t="s">
        <v>1018</v>
      </c>
      <c r="H234" s="114"/>
      <c r="I234" s="177" t="s">
        <v>674</v>
      </c>
      <c r="J234" s="184"/>
      <c r="K234" s="184"/>
      <c r="L234" s="184"/>
      <c r="M234" s="184"/>
      <c r="N234" s="184"/>
    </row>
    <row r="235" spans="1:14" ht="11.25" customHeight="1">
      <c r="A235" s="113" t="s">
        <v>413</v>
      </c>
      <c r="B235" s="109"/>
      <c r="C235" s="140" t="s">
        <v>1033</v>
      </c>
      <c r="D235" s="109"/>
      <c r="E235" s="67">
        <v>14989</v>
      </c>
      <c r="F235" s="122"/>
      <c r="G235" s="51" t="s">
        <v>1018</v>
      </c>
      <c r="H235" s="122"/>
      <c r="I235" s="175" t="s">
        <v>675</v>
      </c>
      <c r="J235" s="185"/>
      <c r="K235" s="185"/>
      <c r="L235" s="185"/>
      <c r="M235" s="185"/>
      <c r="N235" s="185"/>
    </row>
    <row r="236" spans="1:14" ht="11.25" customHeight="1">
      <c r="A236" s="178" t="s">
        <v>415</v>
      </c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</row>
    <row r="237" spans="1:14" ht="11.25" customHeight="1">
      <c r="A237" s="147" t="s">
        <v>676</v>
      </c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</row>
    <row r="238" spans="1:14" ht="11.25" customHeight="1">
      <c r="A238" s="149" t="s">
        <v>677</v>
      </c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</row>
  </sheetData>
  <mergeCells count="252">
    <mergeCell ref="I71:N71"/>
    <mergeCell ref="A63:N63"/>
    <mergeCell ref="I51:N51"/>
    <mergeCell ref="I14:N14"/>
    <mergeCell ref="I58:N58"/>
    <mergeCell ref="I59:N59"/>
    <mergeCell ref="I60:N60"/>
    <mergeCell ref="I61:N61"/>
    <mergeCell ref="A64:N64"/>
    <mergeCell ref="A65:N65"/>
    <mergeCell ref="I184:N184"/>
    <mergeCell ref="A66:N66"/>
    <mergeCell ref="A68:N68"/>
    <mergeCell ref="A129:N129"/>
    <mergeCell ref="A131:N131"/>
    <mergeCell ref="I180:N180"/>
    <mergeCell ref="I181:N181"/>
    <mergeCell ref="I182:N182"/>
    <mergeCell ref="I183:N183"/>
    <mergeCell ref="I176:N176"/>
    <mergeCell ref="I235:N235"/>
    <mergeCell ref="A236:N236"/>
    <mergeCell ref="A237:N237"/>
    <mergeCell ref="A238:N238"/>
    <mergeCell ref="I231:N231"/>
    <mergeCell ref="I232:N232"/>
    <mergeCell ref="I233:N233"/>
    <mergeCell ref="I234:N234"/>
    <mergeCell ref="I226:N226"/>
    <mergeCell ref="I227:N227"/>
    <mergeCell ref="I228:N228"/>
    <mergeCell ref="I229:N229"/>
    <mergeCell ref="I222:N222"/>
    <mergeCell ref="I223:N223"/>
    <mergeCell ref="I224:N224"/>
    <mergeCell ref="I225:N225"/>
    <mergeCell ref="I219:N219"/>
    <mergeCell ref="I220:N220"/>
    <mergeCell ref="A221:C221"/>
    <mergeCell ref="I221:N221"/>
    <mergeCell ref="I215:N215"/>
    <mergeCell ref="I216:N216"/>
    <mergeCell ref="I217:N217"/>
    <mergeCell ref="I218:N218"/>
    <mergeCell ref="I211:N211"/>
    <mergeCell ref="I212:N212"/>
    <mergeCell ref="I213:N213"/>
    <mergeCell ref="I214:N214"/>
    <mergeCell ref="I207:N207"/>
    <mergeCell ref="I208:N208"/>
    <mergeCell ref="I209:N209"/>
    <mergeCell ref="I210:N210"/>
    <mergeCell ref="I203:N203"/>
    <mergeCell ref="I204:N204"/>
    <mergeCell ref="I205:N205"/>
    <mergeCell ref="I206:N206"/>
    <mergeCell ref="A196:C196"/>
    <mergeCell ref="I196:N196"/>
    <mergeCell ref="A197:C197"/>
    <mergeCell ref="I202:N202"/>
    <mergeCell ref="I198:N198"/>
    <mergeCell ref="I199:N199"/>
    <mergeCell ref="I200:N200"/>
    <mergeCell ref="I201:N201"/>
    <mergeCell ref="I197:N197"/>
    <mergeCell ref="A191:N191"/>
    <mergeCell ref="A193:N193"/>
    <mergeCell ref="G195:N195"/>
    <mergeCell ref="A192:N192"/>
    <mergeCell ref="A194:N194"/>
    <mergeCell ref="A195:C195"/>
    <mergeCell ref="I185:N185"/>
    <mergeCell ref="I186:N186"/>
    <mergeCell ref="A187:N187"/>
    <mergeCell ref="A190:N190"/>
    <mergeCell ref="A188:N188"/>
    <mergeCell ref="I177:N177"/>
    <mergeCell ref="I178:N178"/>
    <mergeCell ref="I179:N179"/>
    <mergeCell ref="I172:N172"/>
    <mergeCell ref="I173:N173"/>
    <mergeCell ref="I174:N174"/>
    <mergeCell ref="I175:N175"/>
    <mergeCell ref="I168:N168"/>
    <mergeCell ref="I169:N169"/>
    <mergeCell ref="I170:N170"/>
    <mergeCell ref="I171:N171"/>
    <mergeCell ref="I164:N164"/>
    <mergeCell ref="I165:N165"/>
    <mergeCell ref="I166:N166"/>
    <mergeCell ref="I167:N167"/>
    <mergeCell ref="I160:N160"/>
    <mergeCell ref="I161:N161"/>
    <mergeCell ref="I162:N162"/>
    <mergeCell ref="I163:N163"/>
    <mergeCell ref="I156:N156"/>
    <mergeCell ref="I157:N157"/>
    <mergeCell ref="I158:N158"/>
    <mergeCell ref="I159:N159"/>
    <mergeCell ref="I152:N152"/>
    <mergeCell ref="I153:N153"/>
    <mergeCell ref="I154:N154"/>
    <mergeCell ref="I155:N155"/>
    <mergeCell ref="I149:N149"/>
    <mergeCell ref="I150:N150"/>
    <mergeCell ref="A151:C151"/>
    <mergeCell ref="I151:N151"/>
    <mergeCell ref="I145:N145"/>
    <mergeCell ref="I146:N146"/>
    <mergeCell ref="I147:N147"/>
    <mergeCell ref="I148:N148"/>
    <mergeCell ref="I141:N141"/>
    <mergeCell ref="I142:N142"/>
    <mergeCell ref="I143:N143"/>
    <mergeCell ref="I144:N144"/>
    <mergeCell ref="A134:C134"/>
    <mergeCell ref="I135:N135"/>
    <mergeCell ref="I139:N139"/>
    <mergeCell ref="I140:N140"/>
    <mergeCell ref="I138:N138"/>
    <mergeCell ref="I136:N136"/>
    <mergeCell ref="I137:N137"/>
    <mergeCell ref="I134:N134"/>
    <mergeCell ref="A128:N128"/>
    <mergeCell ref="A130:N130"/>
    <mergeCell ref="G132:N132"/>
    <mergeCell ref="A133:C133"/>
    <mergeCell ref="I133:N133"/>
    <mergeCell ref="A132:C132"/>
    <mergeCell ref="A127:N127"/>
    <mergeCell ref="A126:N126"/>
    <mergeCell ref="I121:N121"/>
    <mergeCell ref="I122:N122"/>
    <mergeCell ref="I123:N123"/>
    <mergeCell ref="I124:N124"/>
    <mergeCell ref="A125:N125"/>
    <mergeCell ref="I117:N117"/>
    <mergeCell ref="I118:N118"/>
    <mergeCell ref="I119:N119"/>
    <mergeCell ref="I120:N120"/>
    <mergeCell ref="I113:N113"/>
    <mergeCell ref="I114:N114"/>
    <mergeCell ref="I115:N115"/>
    <mergeCell ref="I116:N116"/>
    <mergeCell ref="I107:N107"/>
    <mergeCell ref="I108:N108"/>
    <mergeCell ref="I109:N109"/>
    <mergeCell ref="I112:N112"/>
    <mergeCell ref="I110:N110"/>
    <mergeCell ref="I111:N111"/>
    <mergeCell ref="I98:N98"/>
    <mergeCell ref="I105:N105"/>
    <mergeCell ref="I106:N106"/>
    <mergeCell ref="I99:N99"/>
    <mergeCell ref="I100:N100"/>
    <mergeCell ref="I101:N101"/>
    <mergeCell ref="I94:N94"/>
    <mergeCell ref="I95:N95"/>
    <mergeCell ref="I96:N96"/>
    <mergeCell ref="I97:N97"/>
    <mergeCell ref="I90:N90"/>
    <mergeCell ref="I91:N91"/>
    <mergeCell ref="I92:N92"/>
    <mergeCell ref="I93:N93"/>
    <mergeCell ref="I86:N86"/>
    <mergeCell ref="I87:N87"/>
    <mergeCell ref="I88:N88"/>
    <mergeCell ref="I89:N89"/>
    <mergeCell ref="I82:N82"/>
    <mergeCell ref="I83:N83"/>
    <mergeCell ref="I84:N84"/>
    <mergeCell ref="I85:N85"/>
    <mergeCell ref="I78:N78"/>
    <mergeCell ref="I79:N79"/>
    <mergeCell ref="I80:N80"/>
    <mergeCell ref="I81:N81"/>
    <mergeCell ref="I75:N75"/>
    <mergeCell ref="I76:N76"/>
    <mergeCell ref="I77:N77"/>
    <mergeCell ref="I72:N72"/>
    <mergeCell ref="I73:N73"/>
    <mergeCell ref="I74:N74"/>
    <mergeCell ref="A62:N62"/>
    <mergeCell ref="A189:N189"/>
    <mergeCell ref="A67:N67"/>
    <mergeCell ref="G69:N69"/>
    <mergeCell ref="A70:C70"/>
    <mergeCell ref="I70:N70"/>
    <mergeCell ref="A69:C69"/>
    <mergeCell ref="A71:C71"/>
    <mergeCell ref="I104:N104"/>
    <mergeCell ref="I103:N103"/>
    <mergeCell ref="I50:N50"/>
    <mergeCell ref="I56:N56"/>
    <mergeCell ref="I57:N57"/>
    <mergeCell ref="I52:N52"/>
    <mergeCell ref="I53:N53"/>
    <mergeCell ref="I54:N54"/>
    <mergeCell ref="I55:N55"/>
    <mergeCell ref="I46:N46"/>
    <mergeCell ref="I47:N47"/>
    <mergeCell ref="I48:N48"/>
    <mergeCell ref="I49:N49"/>
    <mergeCell ref="I31:N31"/>
    <mergeCell ref="I32:N32"/>
    <mergeCell ref="I33:N33"/>
    <mergeCell ref="I34:N34"/>
    <mergeCell ref="I35:N35"/>
    <mergeCell ref="I36:N36"/>
    <mergeCell ref="I37:N37"/>
    <mergeCell ref="I38:N38"/>
    <mergeCell ref="I39:N39"/>
    <mergeCell ref="I29:N29"/>
    <mergeCell ref="I30:N30"/>
    <mergeCell ref="I102:N102"/>
    <mergeCell ref="I40:N40"/>
    <mergeCell ref="I41:N41"/>
    <mergeCell ref="I42:N42"/>
    <mergeCell ref="I43:N43"/>
    <mergeCell ref="I44:N44"/>
    <mergeCell ref="I45:N45"/>
    <mergeCell ref="I26:N26"/>
    <mergeCell ref="I27:N27"/>
    <mergeCell ref="I28:N28"/>
    <mergeCell ref="I22:N22"/>
    <mergeCell ref="I23:N23"/>
    <mergeCell ref="I24:N24"/>
    <mergeCell ref="I25:N25"/>
    <mergeCell ref="I18:N18"/>
    <mergeCell ref="I19:N19"/>
    <mergeCell ref="I20:N20"/>
    <mergeCell ref="I21:N21"/>
    <mergeCell ref="I13:N13"/>
    <mergeCell ref="I15:N15"/>
    <mergeCell ref="I16:N16"/>
    <mergeCell ref="I17:N17"/>
    <mergeCell ref="A8:C8"/>
    <mergeCell ref="I10:N10"/>
    <mergeCell ref="I11:N11"/>
    <mergeCell ref="I12:N12"/>
    <mergeCell ref="I9:N9"/>
    <mergeCell ref="I8:N8"/>
    <mergeCell ref="I230:N230"/>
    <mergeCell ref="A1:N1"/>
    <mergeCell ref="A2:N2"/>
    <mergeCell ref="A4:N4"/>
    <mergeCell ref="G6:N6"/>
    <mergeCell ref="A3:N3"/>
    <mergeCell ref="A5:N5"/>
    <mergeCell ref="A6:C6"/>
    <mergeCell ref="A7:C7"/>
    <mergeCell ref="I7:N7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Anderson</dc:creator>
  <cp:keywords/>
  <dc:description/>
  <cp:lastModifiedBy>USGS Minerals Information Team</cp:lastModifiedBy>
  <cp:lastPrinted>2008-09-12T14:23:13Z</cp:lastPrinted>
  <dcterms:created xsi:type="dcterms:W3CDTF">2006-09-25T14:07:00Z</dcterms:created>
  <dcterms:modified xsi:type="dcterms:W3CDTF">2008-09-22T21:18:56Z</dcterms:modified>
  <cp:category/>
  <cp:version/>
  <cp:contentType/>
  <cp:contentStatus/>
</cp:coreProperties>
</file>