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MPPI" sheetId="1" r:id="rId1"/>
    <sheet name="BPI" sheetId="2" r:id="rId2"/>
    <sheet name="Sheet3" sheetId="3" r:id="rId3"/>
  </sheets>
  <definedNames>
    <definedName name="_xlnm.Print_Titles" localSheetId="0">'MPPI'!$1:$3</definedName>
  </definedNames>
  <calcPr fullCalcOnLoad="1"/>
</workbook>
</file>

<file path=xl/sharedStrings.xml><?xml version="1.0" encoding="utf-8"?>
<sst xmlns="http://schemas.openxmlformats.org/spreadsheetml/2006/main" count="93" uniqueCount="8">
  <si>
    <t>Week Ending</t>
  </si>
  <si>
    <t>Monthly Performance Price Index (MPPI)</t>
  </si>
  <si>
    <t>BPI =</t>
  </si>
  <si>
    <t>Base Price Index (BPI)</t>
  </si>
  <si>
    <t>Average Selling Prices Asphalt Cement US$/ST</t>
  </si>
  <si>
    <r>
      <t xml:space="preserve">Monthly MPPI/BPI Ratio </t>
    </r>
    <r>
      <rPr>
        <b/>
        <sz val="8"/>
        <rFont val="Arial"/>
        <family val="2"/>
      </rPr>
      <t>(Min = 0.4, Max = 1.6)</t>
    </r>
  </si>
  <si>
    <t>CA PRA LAVO 10(2), LASSEN PARK ROAD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</si>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</sst>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mmmm\ d\,\ yyyy"/>
    <numFmt numFmtId="166" formatCode="0.000%"/>
    <numFmt numFmtId="167" formatCode="0.0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165" fontId="0" fillId="0" borderId="3" xfId="0" applyNumberFormat="1" applyBorder="1" applyAlignment="1">
      <alignment/>
    </xf>
    <xf numFmtId="0" fontId="0" fillId="2" borderId="3" xfId="0" applyFill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1" fillId="0" borderId="6" xfId="0" applyFont="1" applyBorder="1" applyAlignment="1">
      <alignment horizontal="right" wrapText="1"/>
    </xf>
    <xf numFmtId="2" fontId="1" fillId="0" borderId="3" xfId="0" applyNumberFormat="1" applyFont="1" applyBorder="1" applyAlignment="1">
      <alignment/>
    </xf>
    <xf numFmtId="0" fontId="1" fillId="2" borderId="3" xfId="0" applyFont="1" applyFill="1" applyBorder="1" applyAlignment="1">
      <alignment/>
    </xf>
    <xf numFmtId="2" fontId="1" fillId="0" borderId="4" xfId="0" applyNumberFormat="1" applyFont="1" applyBorder="1" applyAlignment="1">
      <alignment/>
    </xf>
    <xf numFmtId="0" fontId="1" fillId="2" borderId="4" xfId="0" applyFont="1" applyFill="1" applyBorder="1" applyAlignment="1">
      <alignment/>
    </xf>
    <xf numFmtId="2" fontId="0" fillId="0" borderId="3" xfId="0" applyNumberFormat="1" applyFont="1" applyBorder="1" applyAlignment="1">
      <alignment/>
    </xf>
    <xf numFmtId="167" fontId="1" fillId="0" borderId="7" xfId="0" applyNumberFormat="1" applyFont="1" applyBorder="1" applyAlignment="1">
      <alignment horizontal="left" wrapText="1"/>
    </xf>
    <xf numFmtId="2" fontId="0" fillId="0" borderId="4" xfId="0" applyNumberFormat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2" fontId="0" fillId="0" borderId="5" xfId="0" applyNumberFormat="1" applyFont="1" applyBorder="1" applyAlignment="1">
      <alignment/>
    </xf>
    <xf numFmtId="2" fontId="0" fillId="0" borderId="8" xfId="0" applyNumberFormat="1" applyFont="1" applyFill="1" applyBorder="1" applyAlignment="1">
      <alignment/>
    </xf>
    <xf numFmtId="2" fontId="0" fillId="0" borderId="4" xfId="0" applyNumberFormat="1" applyFon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2" borderId="11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12" xfId="0" applyFill="1" applyBorder="1" applyAlignment="1">
      <alignment/>
    </xf>
    <xf numFmtId="0" fontId="0" fillId="0" borderId="11" xfId="0" applyBorder="1" applyAlignment="1">
      <alignment/>
    </xf>
    <xf numFmtId="167" fontId="0" fillId="0" borderId="15" xfId="0" applyNumberFormat="1" applyBorder="1" applyAlignment="1">
      <alignment/>
    </xf>
    <xf numFmtId="167" fontId="0" fillId="0" borderId="16" xfId="0" applyNumberForma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37"/>
  <sheetViews>
    <sheetView tabSelected="1" workbookViewId="0" topLeftCell="A94">
      <selection activeCell="I117" sqref="I117"/>
    </sheetView>
  </sheetViews>
  <sheetFormatPr defaultColWidth="9.140625" defaultRowHeight="12.75"/>
  <cols>
    <col min="2" max="2" width="18.00390625" style="0" bestFit="1" customWidth="1"/>
    <col min="3" max="3" width="22.00390625" style="0" customWidth="1"/>
    <col min="4" max="4" width="18.28125" style="0" customWidth="1"/>
    <col min="5" max="5" width="14.00390625" style="0" customWidth="1"/>
    <col min="6" max="6" width="8.140625" style="0" customWidth="1"/>
  </cols>
  <sheetData>
    <row r="1" spans="2:5" ht="13.5" thickBot="1">
      <c r="B1" s="8" t="s">
        <v>6</v>
      </c>
      <c r="C1" s="9"/>
      <c r="D1" s="9"/>
      <c r="E1" s="9"/>
    </row>
    <row r="2" spans="2:6" ht="26.25" customHeight="1">
      <c r="B2" s="48" t="s">
        <v>0</v>
      </c>
      <c r="C2" s="46" t="s">
        <v>4</v>
      </c>
      <c r="D2" s="46" t="s">
        <v>1</v>
      </c>
      <c r="E2" s="50" t="s">
        <v>5</v>
      </c>
      <c r="F2" s="51"/>
    </row>
    <row r="3" spans="2:16" ht="15.75" customHeight="1" thickBot="1">
      <c r="B3" s="49"/>
      <c r="C3" s="47"/>
      <c r="D3" s="47"/>
      <c r="E3" s="10" t="s">
        <v>2</v>
      </c>
      <c r="F3" s="16">
        <f>BPI!D10</f>
        <v>329.1666666666667</v>
      </c>
      <c r="G3" s="1"/>
      <c r="H3" s="1"/>
      <c r="I3" s="1"/>
      <c r="J3" s="1"/>
      <c r="K3" s="1"/>
      <c r="L3" s="1"/>
      <c r="M3" s="1"/>
      <c r="N3" s="1"/>
      <c r="O3" s="1"/>
      <c r="P3" s="1"/>
    </row>
    <row r="4" spans="2:6" ht="12.75">
      <c r="B4" s="4">
        <v>39060</v>
      </c>
      <c r="C4" s="15">
        <f>(330+400+315+320+285+320)/6</f>
        <v>328.3333333333333</v>
      </c>
      <c r="D4" s="5"/>
      <c r="E4" s="43"/>
      <c r="F4" s="45"/>
    </row>
    <row r="5" spans="2:6" ht="12.75">
      <c r="B5" s="4">
        <f aca="true" t="shared" si="0" ref="B5:B33">B4+7</f>
        <v>39067</v>
      </c>
      <c r="C5" s="15">
        <f>(330+400+315+320+285+320)/6</f>
        <v>328.3333333333333</v>
      </c>
      <c r="D5" s="5"/>
      <c r="E5" s="39"/>
      <c r="F5" s="40"/>
    </row>
    <row r="6" spans="2:6" ht="12.75">
      <c r="B6" s="6">
        <f t="shared" si="0"/>
        <v>39074</v>
      </c>
      <c r="C6" s="22">
        <f>(330+400+315+320+285+320)/6</f>
        <v>328.3333333333333</v>
      </c>
      <c r="D6" s="17">
        <f>SUM(C3:C6)/COUNTA(C3:C6)</f>
        <v>328.3333333333333</v>
      </c>
      <c r="E6" s="41">
        <f>D6/F$3</f>
        <v>0.9974683544303796</v>
      </c>
      <c r="F6" s="42"/>
    </row>
    <row r="7" spans="2:6" ht="12.75">
      <c r="B7" s="4">
        <f t="shared" si="0"/>
        <v>39081</v>
      </c>
      <c r="C7" s="15">
        <f>(330+400+315+320+285+320)/6</f>
        <v>328.3333333333333</v>
      </c>
      <c r="D7" s="5"/>
      <c r="E7" s="39"/>
      <c r="F7" s="40"/>
    </row>
    <row r="8" spans="2:6" ht="12.75">
      <c r="B8" s="4">
        <f t="shared" si="0"/>
        <v>39088</v>
      </c>
      <c r="C8" s="15">
        <f>(325+400+315+320+280+310)/6</f>
        <v>325</v>
      </c>
      <c r="D8" s="5"/>
      <c r="E8" s="39"/>
      <c r="F8" s="40"/>
    </row>
    <row r="9" spans="2:6" ht="12.75">
      <c r="B9" s="4">
        <f t="shared" si="0"/>
        <v>39095</v>
      </c>
      <c r="C9" s="15">
        <f>(325+400+315+320+280+310)/6</f>
        <v>325</v>
      </c>
      <c r="D9" s="5"/>
      <c r="E9" s="39"/>
      <c r="F9" s="40"/>
    </row>
    <row r="10" spans="2:6" ht="12.75">
      <c r="B10" s="4">
        <f t="shared" si="0"/>
        <v>39102</v>
      </c>
      <c r="C10" s="15">
        <f>(325+400+315+320+280+300)/6</f>
        <v>323.3333333333333</v>
      </c>
      <c r="D10" s="5"/>
      <c r="E10" s="39"/>
      <c r="F10" s="40"/>
    </row>
    <row r="11" spans="2:6" ht="12.75">
      <c r="B11" s="6">
        <f t="shared" si="0"/>
        <v>39109</v>
      </c>
      <c r="C11" s="22">
        <f>(325+400+315+320+280+300)/6</f>
        <v>323.3333333333333</v>
      </c>
      <c r="D11" s="17">
        <f>SUM(C8:C11)/COUNTA(C8:C11)</f>
        <v>324.16666666666663</v>
      </c>
      <c r="E11" s="41">
        <f>D11/F$3</f>
        <v>0.9848101265822783</v>
      </c>
      <c r="F11" s="42"/>
    </row>
    <row r="12" spans="2:6" ht="12.75">
      <c r="B12" s="4">
        <f t="shared" si="0"/>
        <v>39116</v>
      </c>
      <c r="C12" s="15">
        <f>(325+400+300+315+270+290)/6</f>
        <v>316.6666666666667</v>
      </c>
      <c r="D12" s="5"/>
      <c r="E12" s="39"/>
      <c r="F12" s="40"/>
    </row>
    <row r="13" spans="2:6" ht="12.75">
      <c r="B13" s="4">
        <f t="shared" si="0"/>
        <v>39123</v>
      </c>
      <c r="C13" s="15">
        <f>(325+400+300+305+270+290)/6</f>
        <v>315</v>
      </c>
      <c r="D13" s="5"/>
      <c r="E13" s="39"/>
      <c r="F13" s="40"/>
    </row>
    <row r="14" spans="2:6" ht="12.75">
      <c r="B14" s="4">
        <f t="shared" si="0"/>
        <v>39130</v>
      </c>
      <c r="C14" s="15">
        <f>(325+390+300+305+270+290)/6</f>
        <v>313.3333333333333</v>
      </c>
      <c r="D14" s="5"/>
      <c r="E14" s="39"/>
      <c r="F14" s="40"/>
    </row>
    <row r="15" spans="2:6" ht="12.75">
      <c r="B15" s="6">
        <f t="shared" si="0"/>
        <v>39137</v>
      </c>
      <c r="C15" s="22">
        <f>(325+390+300+305+270+290)/6</f>
        <v>313.3333333333333</v>
      </c>
      <c r="D15" s="17">
        <f>SUM(C12:C15)/COUNTA(C12:C15)</f>
        <v>314.5833333333333</v>
      </c>
      <c r="E15" s="41">
        <f>D15/F$3</f>
        <v>0.9556962025316454</v>
      </c>
      <c r="F15" s="42"/>
    </row>
    <row r="16" spans="2:6" ht="12.75">
      <c r="B16" s="4">
        <f t="shared" si="0"/>
        <v>39144</v>
      </c>
      <c r="C16" s="15">
        <f>(325+390+300+320+270+305)/6</f>
        <v>318.3333333333333</v>
      </c>
      <c r="D16" s="5"/>
      <c r="E16" s="39"/>
      <c r="F16" s="40"/>
    </row>
    <row r="17" spans="2:6" ht="12.75">
      <c r="B17" s="4">
        <f t="shared" si="0"/>
        <v>39151</v>
      </c>
      <c r="C17" s="15">
        <f>(325+390+315+320+280+305)/6</f>
        <v>322.5</v>
      </c>
      <c r="D17" s="5"/>
      <c r="E17" s="39"/>
      <c r="F17" s="40"/>
    </row>
    <row r="18" spans="2:6" ht="12.75">
      <c r="B18" s="4">
        <f t="shared" si="0"/>
        <v>39158</v>
      </c>
      <c r="C18" s="15">
        <f>(320+380+315+320+280+305)/6</f>
        <v>320</v>
      </c>
      <c r="D18" s="5"/>
      <c r="E18" s="39"/>
      <c r="F18" s="40"/>
    </row>
    <row r="19" spans="2:6" ht="12.75">
      <c r="B19" s="6">
        <f t="shared" si="0"/>
        <v>39165</v>
      </c>
      <c r="C19" s="22">
        <f>(315+380+315+320+280+305)/6</f>
        <v>319.1666666666667</v>
      </c>
      <c r="D19" s="17">
        <f>SUM(C16:C19)/COUNTA(C16:C19)</f>
        <v>320</v>
      </c>
      <c r="E19" s="41">
        <f>D19/F$3</f>
        <v>0.9721518987341772</v>
      </c>
      <c r="F19" s="42"/>
    </row>
    <row r="20" spans="2:6" ht="12.75">
      <c r="B20" s="4">
        <f t="shared" si="0"/>
        <v>39172</v>
      </c>
      <c r="C20" s="15">
        <f>(315+380+315+320+280+305)/6</f>
        <v>319.1666666666667</v>
      </c>
      <c r="D20" s="5"/>
      <c r="E20" s="39"/>
      <c r="F20" s="40"/>
    </row>
    <row r="21" spans="2:6" ht="12.75">
      <c r="B21" s="4">
        <f t="shared" si="0"/>
        <v>39179</v>
      </c>
      <c r="C21" s="15">
        <f>(315+380+315+320+280+305)/6</f>
        <v>319.1666666666667</v>
      </c>
      <c r="D21" s="5"/>
      <c r="E21" s="39"/>
      <c r="F21" s="40"/>
    </row>
    <row r="22" spans="2:6" ht="12.75">
      <c r="B22" s="4">
        <f t="shared" si="0"/>
        <v>39186</v>
      </c>
      <c r="C22" s="15">
        <f>(315+380+315+320+280+305)/6</f>
        <v>319.1666666666667</v>
      </c>
      <c r="D22" s="5"/>
      <c r="E22" s="39"/>
      <c r="F22" s="40"/>
    </row>
    <row r="23" spans="2:6" ht="12.75">
      <c r="B23" s="6">
        <f t="shared" si="0"/>
        <v>39193</v>
      </c>
      <c r="C23" s="22">
        <f>(320+380+315+320+280+300)/6</f>
        <v>319.1666666666667</v>
      </c>
      <c r="D23" s="17">
        <f>SUM(C20:C23)/COUNTA(C20:C23)</f>
        <v>319.1666666666667</v>
      </c>
      <c r="E23" s="41">
        <f>D23/F$3</f>
        <v>0.9696202531645569</v>
      </c>
      <c r="F23" s="42"/>
    </row>
    <row r="24" spans="2:6" ht="12.75">
      <c r="B24" s="4">
        <f t="shared" si="0"/>
        <v>39200</v>
      </c>
      <c r="C24" s="15">
        <f>(320+365+315+320+280+300)/6</f>
        <v>316.6666666666667</v>
      </c>
      <c r="D24" s="5"/>
      <c r="E24" s="39"/>
      <c r="F24" s="40"/>
    </row>
    <row r="25" spans="2:6" ht="12.75">
      <c r="B25" s="4">
        <f t="shared" si="0"/>
        <v>39207</v>
      </c>
      <c r="C25" s="15">
        <f>(320+365+315+335+280+300)/6</f>
        <v>319.1666666666667</v>
      </c>
      <c r="D25" s="5"/>
      <c r="E25" s="39"/>
      <c r="F25" s="40"/>
    </row>
    <row r="26" spans="2:6" ht="12.75">
      <c r="B26" s="4">
        <f t="shared" si="0"/>
        <v>39214</v>
      </c>
      <c r="C26" s="15">
        <f>(320+365+325+335+280+300)/6</f>
        <v>320.8333333333333</v>
      </c>
      <c r="D26" s="5"/>
      <c r="E26" s="39"/>
      <c r="F26" s="40"/>
    </row>
    <row r="27" spans="2:6" ht="12.75">
      <c r="B27" s="4">
        <f t="shared" si="0"/>
        <v>39221</v>
      </c>
      <c r="C27" s="15">
        <f>(325+365+325+335+285+305)/6</f>
        <v>323.3333333333333</v>
      </c>
      <c r="D27" s="5"/>
      <c r="E27" s="39"/>
      <c r="F27" s="40"/>
    </row>
    <row r="28" spans="2:6" ht="12.75">
      <c r="B28" s="6">
        <f t="shared" si="0"/>
        <v>39228</v>
      </c>
      <c r="C28" s="22">
        <f>(325+365+325+335+285+305)/6</f>
        <v>323.3333333333333</v>
      </c>
      <c r="D28" s="17">
        <f>SUM(C25:C28)/COUNTA(C25:C28)</f>
        <v>321.66666666666663</v>
      </c>
      <c r="E28" s="41">
        <f>D28/F$3</f>
        <v>0.9772151898734176</v>
      </c>
      <c r="F28" s="42"/>
    </row>
    <row r="29" spans="2:6" ht="12.75">
      <c r="B29" s="4">
        <f t="shared" si="0"/>
        <v>39235</v>
      </c>
      <c r="C29" s="15">
        <f>(325+365+325+335+285+305)/6</f>
        <v>323.3333333333333</v>
      </c>
      <c r="D29" s="5"/>
      <c r="E29" s="39"/>
      <c r="F29" s="40"/>
    </row>
    <row r="30" spans="2:6" ht="12.75">
      <c r="B30" s="4">
        <f t="shared" si="0"/>
        <v>39242</v>
      </c>
      <c r="C30" s="15">
        <f>(325+365+325+335+290+305)/6</f>
        <v>324.1666666666667</v>
      </c>
      <c r="D30" s="5"/>
      <c r="E30" s="39"/>
      <c r="F30" s="40"/>
    </row>
    <row r="31" spans="2:6" ht="12.75">
      <c r="B31" s="4">
        <f t="shared" si="0"/>
        <v>39249</v>
      </c>
      <c r="C31" s="15">
        <f>(325+360+325+335+290+305)/6</f>
        <v>323.3333333333333</v>
      </c>
      <c r="D31" s="5"/>
      <c r="E31" s="39"/>
      <c r="F31" s="40"/>
    </row>
    <row r="32" spans="2:6" ht="12.75">
      <c r="B32" s="6">
        <f t="shared" si="0"/>
        <v>39256</v>
      </c>
      <c r="C32" s="22">
        <f>(325+360+325+335+290+305)/6</f>
        <v>323.3333333333333</v>
      </c>
      <c r="D32" s="17">
        <f>SUM(C29:C32)/COUNTA(C29:C32)</f>
        <v>323.54166666666663</v>
      </c>
      <c r="E32" s="41">
        <f>D32/F$3</f>
        <v>0.9829113924050631</v>
      </c>
      <c r="F32" s="42"/>
    </row>
    <row r="33" spans="2:6" ht="12.75">
      <c r="B33" s="4">
        <f t="shared" si="0"/>
        <v>39263</v>
      </c>
      <c r="C33" s="15">
        <f>(325+360+325+335+290+305)/6</f>
        <v>323.3333333333333</v>
      </c>
      <c r="D33" s="5"/>
      <c r="E33" s="39"/>
      <c r="F33" s="40"/>
    </row>
    <row r="34" spans="2:6" ht="12.75">
      <c r="B34" s="4">
        <f>B33+7</f>
        <v>39270</v>
      </c>
      <c r="C34" s="15">
        <f>(330+360+325+335+290+305)/6</f>
        <v>324.1666666666667</v>
      </c>
      <c r="D34" s="5"/>
      <c r="E34" s="39"/>
      <c r="F34" s="40"/>
    </row>
    <row r="35" spans="2:6" ht="12.75">
      <c r="B35" s="4">
        <f>B34+7</f>
        <v>39277</v>
      </c>
      <c r="C35" s="15">
        <f>(330+360+325+335+290+315)/6</f>
        <v>325.8333333333333</v>
      </c>
      <c r="D35" s="5"/>
      <c r="E35" s="39"/>
      <c r="F35" s="40"/>
    </row>
    <row r="36" spans="2:6" ht="12.75">
      <c r="B36" s="6">
        <f>B35+7</f>
        <v>39284</v>
      </c>
      <c r="C36" s="22">
        <f>(330+360+325+350+290+315)/6</f>
        <v>328.3333333333333</v>
      </c>
      <c r="D36" s="17">
        <f>SUM(C33:C36)/COUNTA(C33:C36)</f>
        <v>325.41666666666663</v>
      </c>
      <c r="E36" s="41">
        <f>D36/F$3</f>
        <v>0.9886075949367087</v>
      </c>
      <c r="F36" s="42"/>
    </row>
    <row r="37" spans="2:6" ht="12.75">
      <c r="B37" s="4">
        <f>B36+7</f>
        <v>39291</v>
      </c>
      <c r="C37" s="15">
        <f>(330+360+340+350+300+325)/6</f>
        <v>334.1666666666667</v>
      </c>
      <c r="D37" s="5"/>
      <c r="E37" s="39"/>
      <c r="F37" s="40"/>
    </row>
    <row r="38" spans="2:6" ht="12.75">
      <c r="B38" s="4">
        <f aca="true" t="shared" si="1" ref="B38:B101">B37+7</f>
        <v>39298</v>
      </c>
      <c r="C38" s="15">
        <f>(330+360+340+350+300+335)/6</f>
        <v>335.8333333333333</v>
      </c>
      <c r="D38" s="5"/>
      <c r="E38" s="39"/>
      <c r="F38" s="40"/>
    </row>
    <row r="39" spans="2:6" ht="12.75">
      <c r="B39" s="4">
        <f t="shared" si="1"/>
        <v>39305</v>
      </c>
      <c r="C39" s="15">
        <f>(330+360+340+350+305+335)/6</f>
        <v>336.6666666666667</v>
      </c>
      <c r="D39" s="5"/>
      <c r="E39" s="39"/>
      <c r="F39" s="40"/>
    </row>
    <row r="40" spans="2:6" ht="12.75">
      <c r="B40" s="4">
        <f t="shared" si="1"/>
        <v>39312</v>
      </c>
      <c r="C40" s="15">
        <f>(330+360+340+350+315+350)/6</f>
        <v>340.8333333333333</v>
      </c>
      <c r="D40" s="5"/>
      <c r="E40" s="39"/>
      <c r="F40" s="40"/>
    </row>
    <row r="41" spans="2:6" ht="12.75">
      <c r="B41" s="4">
        <f t="shared" si="1"/>
        <v>39319</v>
      </c>
      <c r="C41" s="22">
        <f>(330+360+340+350+315+350)/6</f>
        <v>340.8333333333333</v>
      </c>
      <c r="D41" s="17">
        <f>SUM(C38:C41)/COUNTA(C38:C41)</f>
        <v>338.54166666666663</v>
      </c>
      <c r="E41" s="41">
        <f>D41/F$3</f>
        <v>1.0284810126582278</v>
      </c>
      <c r="F41" s="42"/>
    </row>
    <row r="42" spans="2:6" ht="12.75">
      <c r="B42" s="23">
        <f t="shared" si="1"/>
        <v>39326</v>
      </c>
      <c r="C42" s="15">
        <f>(330+360+340+350+315+350)/6</f>
        <v>340.8333333333333</v>
      </c>
      <c r="D42" s="5"/>
      <c r="E42" s="39"/>
      <c r="F42" s="40"/>
    </row>
    <row r="43" spans="2:6" ht="12.75">
      <c r="B43" s="4">
        <f t="shared" si="1"/>
        <v>39333</v>
      </c>
      <c r="C43" s="15">
        <f>(330+360+335+350+315+350)/6</f>
        <v>340</v>
      </c>
      <c r="D43" s="5"/>
      <c r="E43" s="39"/>
      <c r="F43" s="40"/>
    </row>
    <row r="44" spans="2:6" ht="12.75">
      <c r="B44" s="4">
        <f t="shared" si="1"/>
        <v>39340</v>
      </c>
      <c r="C44" s="15">
        <f>(325+360+335+350+315+350)/6</f>
        <v>339.1666666666667</v>
      </c>
      <c r="D44" s="5"/>
      <c r="E44" s="39"/>
      <c r="F44" s="40"/>
    </row>
    <row r="45" spans="2:6" ht="12.75">
      <c r="B45" s="4">
        <f t="shared" si="1"/>
        <v>39347</v>
      </c>
      <c r="C45" s="22">
        <f>(315+360+335+350+315+350)/6</f>
        <v>337.5</v>
      </c>
      <c r="D45" s="17">
        <f>SUM(C42:C45)/COUNTA(C42:C45)</f>
        <v>339.375</v>
      </c>
      <c r="E45" s="41">
        <f>D45/F$3</f>
        <v>1.031012658227848</v>
      </c>
      <c r="F45" s="42"/>
    </row>
    <row r="46" spans="2:6" ht="12.75">
      <c r="B46" s="23">
        <f t="shared" si="1"/>
        <v>39354</v>
      </c>
      <c r="C46" s="15">
        <f>(315+360+335+350+310+350)/6</f>
        <v>336.6666666666667</v>
      </c>
      <c r="D46" s="5"/>
      <c r="E46" s="39"/>
      <c r="F46" s="40"/>
    </row>
    <row r="47" spans="2:6" ht="12.75">
      <c r="B47" s="4">
        <f t="shared" si="1"/>
        <v>39361</v>
      </c>
      <c r="C47" s="15">
        <f>(315+360+335+350+310+360)/6</f>
        <v>338.3333333333333</v>
      </c>
      <c r="D47" s="5"/>
      <c r="E47" s="39"/>
      <c r="F47" s="40"/>
    </row>
    <row r="48" spans="2:6" ht="12.75">
      <c r="B48" s="4">
        <f t="shared" si="1"/>
        <v>39368</v>
      </c>
      <c r="C48" s="15">
        <f>(310+360+335+350+310+360)/6</f>
        <v>337.5</v>
      </c>
      <c r="D48" s="5"/>
      <c r="E48" s="39"/>
      <c r="F48" s="40"/>
    </row>
    <row r="49" spans="2:6" ht="12.75">
      <c r="B49" s="4">
        <f t="shared" si="1"/>
        <v>39375</v>
      </c>
      <c r="C49" s="15">
        <f>(310+360+335+350+310+360)/6</f>
        <v>337.5</v>
      </c>
      <c r="D49" s="5"/>
      <c r="E49" s="39"/>
      <c r="F49" s="40"/>
    </row>
    <row r="50" spans="2:6" ht="12.75">
      <c r="B50" s="6">
        <f t="shared" si="1"/>
        <v>39382</v>
      </c>
      <c r="C50" s="22">
        <f>(310+360+335+350+310+360)/6</f>
        <v>337.5</v>
      </c>
      <c r="D50" s="17">
        <f>SUM(C47:C50)/COUNTA(C47:C50)</f>
        <v>337.7083333333333</v>
      </c>
      <c r="E50" s="41">
        <f>D50/F$3</f>
        <v>1.0259493670886075</v>
      </c>
      <c r="F50" s="42"/>
    </row>
    <row r="51" spans="2:8" ht="12.75">
      <c r="B51" s="4">
        <f t="shared" si="1"/>
        <v>39389</v>
      </c>
      <c r="C51" s="15">
        <f>(305+360+310+340+310+360)/6</f>
        <v>330.8333333333333</v>
      </c>
      <c r="D51" s="5"/>
      <c r="E51" s="39"/>
      <c r="F51" s="40"/>
      <c r="G51" t="s">
        <v>7</v>
      </c>
      <c r="H51" t="s">
        <v>7</v>
      </c>
    </row>
    <row r="52" spans="2:6" ht="12.75">
      <c r="B52" s="4">
        <f t="shared" si="1"/>
        <v>39396</v>
      </c>
      <c r="C52" s="15">
        <f>(305+360+310+340+310+360)/6</f>
        <v>330.8333333333333</v>
      </c>
      <c r="D52" s="5"/>
      <c r="E52" s="39"/>
      <c r="F52" s="40"/>
    </row>
    <row r="53" spans="2:9" ht="12.75">
      <c r="B53" s="4">
        <f t="shared" si="1"/>
        <v>39403</v>
      </c>
      <c r="C53" s="15">
        <f>(305+360+340+350+310+360)/6</f>
        <v>337.5</v>
      </c>
      <c r="D53" s="5"/>
      <c r="E53" s="39"/>
      <c r="F53" s="40"/>
      <c r="H53" t="s">
        <v>7</v>
      </c>
      <c r="I53" t="s">
        <v>7</v>
      </c>
    </row>
    <row r="54" spans="2:8" ht="12.75">
      <c r="B54" s="6">
        <f>B53+7</f>
        <v>39410</v>
      </c>
      <c r="C54" s="22">
        <f>(305+360+340+350+310+360)/6</f>
        <v>337.5</v>
      </c>
      <c r="D54" s="17">
        <f>SUM(C51:C54)/COUNTA(C51:C54)</f>
        <v>334.16666666666663</v>
      </c>
      <c r="E54" s="41">
        <f>D54/F$3</f>
        <v>1.0151898734177214</v>
      </c>
      <c r="F54" s="42"/>
      <c r="H54" t="s">
        <v>7</v>
      </c>
    </row>
    <row r="55" spans="2:9" ht="12.75">
      <c r="B55" s="4">
        <f t="shared" si="1"/>
        <v>39417</v>
      </c>
      <c r="C55" s="15">
        <f>(310+360+375+435+325+385)/6</f>
        <v>365</v>
      </c>
      <c r="D55" s="5"/>
      <c r="E55" s="39"/>
      <c r="F55" s="40"/>
      <c r="H55" t="s">
        <v>7</v>
      </c>
      <c r="I55" t="s">
        <v>7</v>
      </c>
    </row>
    <row r="56" spans="2:10" ht="12.75">
      <c r="B56" s="4">
        <f t="shared" si="1"/>
        <v>39424</v>
      </c>
      <c r="C56" s="15">
        <f>(310+360+385+440+350+430)/6</f>
        <v>379.1666666666667</v>
      </c>
      <c r="D56" s="5"/>
      <c r="E56" s="39"/>
      <c r="F56" s="40"/>
      <c r="G56" t="s">
        <v>7</v>
      </c>
      <c r="I56" t="s">
        <v>7</v>
      </c>
      <c r="J56" t="s">
        <v>7</v>
      </c>
    </row>
    <row r="57" spans="2:9" ht="12.75">
      <c r="B57" s="4">
        <f t="shared" si="1"/>
        <v>39431</v>
      </c>
      <c r="C57" s="15">
        <f>(310+360+390+440+380+430)/6</f>
        <v>385</v>
      </c>
      <c r="D57" s="5"/>
      <c r="E57" s="39"/>
      <c r="F57" s="40"/>
      <c r="I57" t="s">
        <v>7</v>
      </c>
    </row>
    <row r="58" spans="2:6" ht="13.5" thickBot="1">
      <c r="B58" s="4">
        <f t="shared" si="1"/>
        <v>39438</v>
      </c>
      <c r="C58" s="15">
        <f>(310+360+390+440+380+430)/6</f>
        <v>385</v>
      </c>
      <c r="D58" s="17">
        <f>SUM(C55:C58)/COUNTA(C55:C58)</f>
        <v>378.5416666666667</v>
      </c>
      <c r="E58" s="41">
        <f>D58/F$3</f>
        <v>1.15</v>
      </c>
      <c r="F58" s="42"/>
    </row>
    <row r="59" spans="2:9" ht="12.75">
      <c r="B59" s="24">
        <f t="shared" si="1"/>
        <v>39445</v>
      </c>
      <c r="C59" s="31">
        <f>(310+360+390+440+380+430)/6</f>
        <v>385</v>
      </c>
      <c r="D59" s="26"/>
      <c r="E59" s="43"/>
      <c r="F59" s="44"/>
      <c r="I59" t="s">
        <v>7</v>
      </c>
    </row>
    <row r="60" spans="2:11" ht="12.75">
      <c r="B60" s="4">
        <f t="shared" si="1"/>
        <v>39452</v>
      </c>
      <c r="C60" s="15">
        <f>(310+360+390+440+380+430)/6</f>
        <v>385</v>
      </c>
      <c r="D60" s="5"/>
      <c r="E60" s="27"/>
      <c r="F60" s="25"/>
      <c r="H60" t="s">
        <v>7</v>
      </c>
      <c r="I60" t="s">
        <v>7</v>
      </c>
      <c r="K60" t="s">
        <v>7</v>
      </c>
    </row>
    <row r="61" spans="2:10" ht="12.75">
      <c r="B61" s="4">
        <f t="shared" si="1"/>
        <v>39459</v>
      </c>
      <c r="C61" s="15">
        <f>(320+360+410+450+390+450)/6</f>
        <v>396.6666666666667</v>
      </c>
      <c r="D61" s="5"/>
      <c r="E61" s="27"/>
      <c r="F61" s="25"/>
      <c r="H61" t="s">
        <v>7</v>
      </c>
      <c r="I61" t="s">
        <v>7</v>
      </c>
      <c r="J61" t="s">
        <v>7</v>
      </c>
    </row>
    <row r="62" spans="2:6" ht="12.75">
      <c r="B62" s="4">
        <f t="shared" si="1"/>
        <v>39466</v>
      </c>
      <c r="C62" s="15">
        <f>(325+360+410+450+390+450)/6</f>
        <v>397.5</v>
      </c>
      <c r="D62" s="5"/>
      <c r="E62" s="27"/>
      <c r="F62" s="25"/>
    </row>
    <row r="63" spans="2:9" ht="13.5" thickBot="1">
      <c r="B63" s="7">
        <f t="shared" si="1"/>
        <v>39473</v>
      </c>
      <c r="C63" s="20">
        <f>(325+360+410+450+390+450)/6</f>
        <v>397.5</v>
      </c>
      <c r="D63" s="17">
        <f>SUM(C60:C63)/COUNTA(C60:C63)</f>
        <v>394.1666666666667</v>
      </c>
      <c r="E63" s="41">
        <f>D63/F$3</f>
        <v>1.1974683544303797</v>
      </c>
      <c r="F63" s="42"/>
      <c r="I63" t="s">
        <v>7</v>
      </c>
    </row>
    <row r="64" spans="2:9" ht="12.75">
      <c r="B64" s="24">
        <f t="shared" si="1"/>
        <v>39480</v>
      </c>
      <c r="C64" s="15">
        <f>(330+360+425+450+410+460)/6</f>
        <v>405.8333333333333</v>
      </c>
      <c r="D64" s="26" t="s">
        <v>7</v>
      </c>
      <c r="E64" s="28"/>
      <c r="F64" s="29"/>
      <c r="I64" t="s">
        <v>7</v>
      </c>
    </row>
    <row r="65" spans="2:10" ht="12.75">
      <c r="B65" s="4">
        <f t="shared" si="1"/>
        <v>39487</v>
      </c>
      <c r="C65" s="15">
        <f>(340+360+425+450+410+460)/6</f>
        <v>407.5</v>
      </c>
      <c r="D65" s="5"/>
      <c r="E65" s="27"/>
      <c r="F65" s="25"/>
      <c r="I65" t="s">
        <v>7</v>
      </c>
      <c r="J65" t="s">
        <v>7</v>
      </c>
    </row>
    <row r="66" spans="2:9" ht="12.75">
      <c r="B66" s="4">
        <f t="shared" si="1"/>
        <v>39494</v>
      </c>
      <c r="C66" s="15">
        <f>(340+360+425+450+410+460)/6</f>
        <v>407.5</v>
      </c>
      <c r="D66" s="5"/>
      <c r="E66" s="27"/>
      <c r="F66" s="25"/>
      <c r="I66" t="s">
        <v>7</v>
      </c>
    </row>
    <row r="67" spans="2:6" ht="13.5" thickBot="1">
      <c r="B67" s="7">
        <f t="shared" si="1"/>
        <v>39501</v>
      </c>
      <c r="C67" s="20">
        <f>(340+360+425+450+410+470)/6</f>
        <v>409.1666666666667</v>
      </c>
      <c r="D67" s="17">
        <f>SUM(C64:C67)/COUNTA(C64:C67)</f>
        <v>407.5</v>
      </c>
      <c r="E67" s="41">
        <f>D67/F$3</f>
        <v>1.2379746835443037</v>
      </c>
      <c r="F67" s="42"/>
    </row>
    <row r="68" spans="2:10" ht="12.75">
      <c r="B68" s="24">
        <f t="shared" si="1"/>
        <v>39508</v>
      </c>
      <c r="C68" s="15">
        <f>(340+360+425+455+410+480)/6</f>
        <v>411.6666666666667</v>
      </c>
      <c r="D68" s="26" t="s">
        <v>7</v>
      </c>
      <c r="E68" s="28"/>
      <c r="F68" s="29"/>
      <c r="J68" t="s">
        <v>7</v>
      </c>
    </row>
    <row r="69" spans="2:8" ht="12.75">
      <c r="B69" s="4">
        <f t="shared" si="1"/>
        <v>39515</v>
      </c>
      <c r="C69" s="15">
        <f>(350+375+435+465+410+480)/6</f>
        <v>419.1666666666667</v>
      </c>
      <c r="D69" s="5"/>
      <c r="E69" s="27"/>
      <c r="F69" s="25"/>
      <c r="H69" t="s">
        <v>7</v>
      </c>
    </row>
    <row r="70" spans="2:9" ht="12.75">
      <c r="B70" s="4">
        <f t="shared" si="1"/>
        <v>39522</v>
      </c>
      <c r="C70" s="15">
        <f>(375+400+435+465+410+480)/6</f>
        <v>427.5</v>
      </c>
      <c r="D70" s="5"/>
      <c r="E70" s="27"/>
      <c r="F70" s="25"/>
      <c r="I70" t="s">
        <v>7</v>
      </c>
    </row>
    <row r="71" spans="2:10" ht="13.5" thickBot="1">
      <c r="B71" s="7">
        <f t="shared" si="1"/>
        <v>39529</v>
      </c>
      <c r="C71" s="15">
        <f>(375+400+435+465+410+480)/6</f>
        <v>427.5</v>
      </c>
      <c r="D71" s="17">
        <f>SUM(C68:C71)/COUNTA(C68:C71)</f>
        <v>421.45833333333337</v>
      </c>
      <c r="E71" s="41">
        <f>D71/F$3</f>
        <v>1.280379746835443</v>
      </c>
      <c r="F71" s="42"/>
      <c r="I71" t="s">
        <v>7</v>
      </c>
      <c r="J71" t="s">
        <v>7</v>
      </c>
    </row>
    <row r="72" spans="2:6" ht="12.75">
      <c r="B72" s="24">
        <f t="shared" si="1"/>
        <v>39536</v>
      </c>
      <c r="C72" s="31">
        <f>(375+400+435+465+420+480)/6</f>
        <v>429.1666666666667</v>
      </c>
      <c r="D72" s="26"/>
      <c r="E72" s="28"/>
      <c r="F72" s="29"/>
    </row>
    <row r="73" spans="2:8" ht="12.75">
      <c r="B73" s="4">
        <f t="shared" si="1"/>
        <v>39543</v>
      </c>
      <c r="C73" s="15">
        <f>(375+400+435+485+435+490)/6</f>
        <v>436.6666666666667</v>
      </c>
      <c r="D73" s="5"/>
      <c r="E73" s="27"/>
      <c r="F73" s="25"/>
      <c r="H73" t="s">
        <v>7</v>
      </c>
    </row>
    <row r="74" spans="2:9" ht="12.75">
      <c r="B74" s="4">
        <f t="shared" si="1"/>
        <v>39550</v>
      </c>
      <c r="C74" s="15">
        <f>(400+425+465+485+450+525)/6</f>
        <v>458.3333333333333</v>
      </c>
      <c r="D74" s="5"/>
      <c r="E74" s="27"/>
      <c r="F74" s="25"/>
      <c r="H74" t="s">
        <v>7</v>
      </c>
      <c r="I74" t="s">
        <v>7</v>
      </c>
    </row>
    <row r="75" spans="2:10" ht="12.75">
      <c r="B75" s="4">
        <f t="shared" si="1"/>
        <v>39557</v>
      </c>
      <c r="C75" s="15">
        <f>(400+425+465+485+450+525)/6</f>
        <v>458.3333333333333</v>
      </c>
      <c r="D75" s="5"/>
      <c r="E75" s="27"/>
      <c r="F75" s="25"/>
      <c r="I75" t="s">
        <v>7</v>
      </c>
      <c r="J75" t="s">
        <v>7</v>
      </c>
    </row>
    <row r="76" spans="2:9" ht="13.5" thickBot="1">
      <c r="B76" s="7">
        <f t="shared" si="1"/>
        <v>39564</v>
      </c>
      <c r="C76" s="15">
        <f>(400+450+465+485+460+525)/6</f>
        <v>464.1666666666667</v>
      </c>
      <c r="D76" s="17">
        <f>SUM(C73:C76)/COUNTA(C73:C76)</f>
        <v>454.375</v>
      </c>
      <c r="E76" s="41">
        <f>D76/F$3</f>
        <v>1.380379746835443</v>
      </c>
      <c r="F76" s="42"/>
      <c r="H76" t="s">
        <v>7</v>
      </c>
      <c r="I76" t="s">
        <v>7</v>
      </c>
    </row>
    <row r="77" spans="2:10" ht="12.75">
      <c r="B77" s="24">
        <f t="shared" si="1"/>
        <v>39571</v>
      </c>
      <c r="C77" s="31">
        <f>(420+475+475+560+465+585)/6</f>
        <v>496.6666666666667</v>
      </c>
      <c r="D77" s="26"/>
      <c r="E77" s="28"/>
      <c r="F77" s="29"/>
      <c r="H77" t="s">
        <v>7</v>
      </c>
      <c r="I77" t="s">
        <v>7</v>
      </c>
      <c r="J77" t="s">
        <v>7</v>
      </c>
    </row>
    <row r="78" spans="2:9" ht="12.75">
      <c r="B78" s="4">
        <f t="shared" si="1"/>
        <v>39578</v>
      </c>
      <c r="C78" s="15">
        <f>(425+475+530+560+500+585)/6</f>
        <v>512.5</v>
      </c>
      <c r="D78" s="5"/>
      <c r="E78" s="27"/>
      <c r="F78" s="25"/>
      <c r="I78" t="s">
        <v>7</v>
      </c>
    </row>
    <row r="79" spans="2:9" ht="12.75">
      <c r="B79" s="4">
        <f t="shared" si="1"/>
        <v>39585</v>
      </c>
      <c r="C79" s="15">
        <f>(435+525+540+605+525+630)/6</f>
        <v>543.3333333333334</v>
      </c>
      <c r="D79" s="5"/>
      <c r="E79" s="27"/>
      <c r="F79" s="25"/>
      <c r="I79" t="s">
        <v>7</v>
      </c>
    </row>
    <row r="80" spans="2:6" ht="13.5" thickBot="1">
      <c r="B80" s="7">
        <f t="shared" si="1"/>
        <v>39592</v>
      </c>
      <c r="C80" s="15">
        <f>(440+550+575+605+590+630)/6</f>
        <v>565</v>
      </c>
      <c r="D80" s="17">
        <f>SUM(C77:C80)/COUNTA(C77:C80)</f>
        <v>529.375</v>
      </c>
      <c r="E80" s="41">
        <f>D80/F$3</f>
        <v>1.6082278481012657</v>
      </c>
      <c r="F80" s="42"/>
    </row>
    <row r="81" spans="2:6" ht="12.75">
      <c r="B81" s="24">
        <f t="shared" si="1"/>
        <v>39599</v>
      </c>
      <c r="C81" s="31">
        <f>(450+550+575+605+590+640)/6</f>
        <v>568.3333333333334</v>
      </c>
      <c r="D81" s="26"/>
      <c r="E81" s="28"/>
      <c r="F81" s="29"/>
    </row>
    <row r="82" spans="2:6" ht="12.75">
      <c r="B82" s="4">
        <f t="shared" si="1"/>
        <v>39606</v>
      </c>
      <c r="C82" s="15">
        <f>(475+600+610+635+635+675)/6</f>
        <v>605</v>
      </c>
      <c r="D82" s="5"/>
      <c r="E82" s="27"/>
      <c r="F82" s="25"/>
    </row>
    <row r="83" spans="2:6" ht="12.75">
      <c r="B83" s="4">
        <f t="shared" si="1"/>
        <v>39613</v>
      </c>
      <c r="C83" s="15">
        <f>(475+600+610+635+635+685)/6</f>
        <v>606.6666666666666</v>
      </c>
      <c r="D83" s="5"/>
      <c r="E83" s="27"/>
      <c r="F83" s="25"/>
    </row>
    <row r="84" spans="2:9" ht="13.5" thickBot="1">
      <c r="B84" s="7">
        <f t="shared" si="1"/>
        <v>39620</v>
      </c>
      <c r="C84" s="15">
        <f>(475+625+615+645+640+685)/6</f>
        <v>614.1666666666666</v>
      </c>
      <c r="D84" s="17">
        <f>SUM(C81:C84)/COUNTA(C81:C84)</f>
        <v>598.5416666666666</v>
      </c>
      <c r="E84" s="41">
        <f>D84/F$3</f>
        <v>1.8183544303797465</v>
      </c>
      <c r="F84" s="42"/>
      <c r="H84" t="s">
        <v>7</v>
      </c>
      <c r="I84" t="s">
        <v>7</v>
      </c>
    </row>
    <row r="85" spans="2:9" ht="12.75">
      <c r="B85" s="24">
        <f t="shared" si="1"/>
        <v>39627</v>
      </c>
      <c r="C85" s="31">
        <f>(500+650+620+645+640+700)/6</f>
        <v>625.8333333333334</v>
      </c>
      <c r="D85" s="26"/>
      <c r="E85" s="28"/>
      <c r="F85" s="29"/>
      <c r="H85" t="s">
        <v>7</v>
      </c>
      <c r="I85" t="s">
        <v>7</v>
      </c>
    </row>
    <row r="86" spans="2:6" ht="12.75">
      <c r="B86" s="4">
        <f t="shared" si="1"/>
        <v>39634</v>
      </c>
      <c r="C86" s="15">
        <f>(500+700+630+680+650+710)/6</f>
        <v>645</v>
      </c>
      <c r="D86" s="5"/>
      <c r="E86" s="27"/>
      <c r="F86" s="25"/>
    </row>
    <row r="87" spans="2:10" ht="12.75">
      <c r="B87" s="4">
        <f t="shared" si="1"/>
        <v>39641</v>
      </c>
      <c r="C87" s="15">
        <f>(550+775+655+695+675+710)/6</f>
        <v>676.6666666666666</v>
      </c>
      <c r="D87" s="5"/>
      <c r="E87" s="27"/>
      <c r="F87" s="25"/>
      <c r="G87" t="s">
        <v>7</v>
      </c>
      <c r="I87" t="s">
        <v>7</v>
      </c>
      <c r="J87" t="s">
        <v>7</v>
      </c>
    </row>
    <row r="88" spans="2:6" ht="12.75">
      <c r="B88" s="4">
        <f t="shared" si="1"/>
        <v>39648</v>
      </c>
      <c r="C88" s="15">
        <f>(550+775+620+695+675+710)/6</f>
        <v>670.8333333333334</v>
      </c>
      <c r="D88" s="5"/>
      <c r="E88" s="27"/>
      <c r="F88" s="25"/>
    </row>
    <row r="89" spans="2:9" ht="13.5" thickBot="1">
      <c r="B89" s="7">
        <f t="shared" si="1"/>
        <v>39655</v>
      </c>
      <c r="C89" s="20">
        <f>(600+775+655+695+685+730)/6</f>
        <v>690</v>
      </c>
      <c r="D89" s="17">
        <f>SUM(C86:C89)/COUNTA(C86:C89)</f>
        <v>670.625</v>
      </c>
      <c r="E89" s="41">
        <f>D89/F$3</f>
        <v>2.0373417721518985</v>
      </c>
      <c r="F89" s="42"/>
      <c r="I89" t="s">
        <v>7</v>
      </c>
    </row>
    <row r="90" spans="2:9" ht="12.75">
      <c r="B90" s="24">
        <f t="shared" si="1"/>
        <v>39662</v>
      </c>
      <c r="C90" s="15">
        <f>(650+775+655+695+685+730)/6</f>
        <v>698.3333333333334</v>
      </c>
      <c r="D90" s="26"/>
      <c r="E90" s="28"/>
      <c r="F90" s="29"/>
      <c r="I90" t="s">
        <v>7</v>
      </c>
    </row>
    <row r="91" spans="2:9" ht="12.75">
      <c r="B91" s="4">
        <f t="shared" si="1"/>
        <v>39669</v>
      </c>
      <c r="C91" s="15">
        <f>(675+850+675+695+685+730)/6</f>
        <v>718.3333333333334</v>
      </c>
      <c r="D91" s="5"/>
      <c r="E91" s="27"/>
      <c r="F91" s="25"/>
      <c r="H91" t="s">
        <v>7</v>
      </c>
      <c r="I91" t="s">
        <v>7</v>
      </c>
    </row>
    <row r="92" spans="2:9" ht="12.75">
      <c r="B92" s="4">
        <f t="shared" si="1"/>
        <v>39676</v>
      </c>
      <c r="C92" s="15">
        <f>(700+875+675+695+690+775)/6</f>
        <v>735</v>
      </c>
      <c r="D92" s="5"/>
      <c r="E92" s="27"/>
      <c r="F92" s="25"/>
      <c r="H92" t="s">
        <v>7</v>
      </c>
      <c r="I92" t="s">
        <v>7</v>
      </c>
    </row>
    <row r="93" spans="2:9" ht="13.5" thickBot="1">
      <c r="B93" s="7">
        <f t="shared" si="1"/>
        <v>39683</v>
      </c>
      <c r="C93" s="15">
        <f>(700+900+675+710+690+775)/6</f>
        <v>741.6666666666666</v>
      </c>
      <c r="D93" s="17">
        <f>SUM(C90:C93)/COUNTA(C90:C93)</f>
        <v>723.3333333333334</v>
      </c>
      <c r="E93" s="41">
        <f>D93/F$3</f>
        <v>2.19746835443038</v>
      </c>
      <c r="F93" s="42"/>
      <c r="H93" t="s">
        <v>7</v>
      </c>
      <c r="I93" t="s">
        <v>7</v>
      </c>
    </row>
    <row r="94" spans="2:8" ht="12.75">
      <c r="B94" s="33">
        <f t="shared" si="1"/>
        <v>39690</v>
      </c>
      <c r="C94" s="31">
        <f>(700+900+700+730+695+775)/6</f>
        <v>750</v>
      </c>
      <c r="D94" s="29"/>
      <c r="E94" s="28"/>
      <c r="F94" s="29"/>
      <c r="H94" t="s">
        <v>7</v>
      </c>
    </row>
    <row r="95" spans="2:9" ht="12.75">
      <c r="B95" s="32">
        <f t="shared" si="1"/>
        <v>39697</v>
      </c>
      <c r="C95" s="15">
        <f>(700+900+750+770+710+775)/6</f>
        <v>767.5</v>
      </c>
      <c r="D95" s="25"/>
      <c r="E95" s="27"/>
      <c r="F95" s="25"/>
      <c r="I95" t="s">
        <v>7</v>
      </c>
    </row>
    <row r="96" spans="2:9" ht="12.75">
      <c r="B96" s="32">
        <f t="shared" si="1"/>
        <v>39704</v>
      </c>
      <c r="C96" s="15">
        <f>(700+900+750+770+710+775)/6</f>
        <v>767.5</v>
      </c>
      <c r="D96" s="25"/>
      <c r="E96" s="27"/>
      <c r="F96" s="25"/>
      <c r="I96" t="s">
        <v>7</v>
      </c>
    </row>
    <row r="97" spans="2:9" ht="13.5" thickBot="1">
      <c r="B97" s="34">
        <f t="shared" si="1"/>
        <v>39711</v>
      </c>
      <c r="C97" s="20">
        <f>(650+900+735+760+690+745)/6</f>
        <v>746.6666666666666</v>
      </c>
      <c r="D97" s="17">
        <f>SUM(C94:C97)/COUNTA(C94:C97)</f>
        <v>757.9166666666666</v>
      </c>
      <c r="E97" s="41">
        <f>D97/F$3</f>
        <v>2.30253164556962</v>
      </c>
      <c r="F97" s="42"/>
      <c r="H97" t="s">
        <v>7</v>
      </c>
      <c r="I97" t="s">
        <v>7</v>
      </c>
    </row>
    <row r="98" spans="2:6" ht="12.75">
      <c r="B98" s="24">
        <f t="shared" si="1"/>
        <v>39718</v>
      </c>
      <c r="C98" s="31">
        <f>(650+875+735+750+680+735)/6</f>
        <v>737.5</v>
      </c>
      <c r="D98" s="26"/>
      <c r="E98" s="28"/>
      <c r="F98" s="29"/>
    </row>
    <row r="99" spans="2:8" ht="12.75">
      <c r="B99" s="4">
        <f t="shared" si="1"/>
        <v>39725</v>
      </c>
      <c r="C99" s="15">
        <f>(625+825+735+750+680+735)/6</f>
        <v>725</v>
      </c>
      <c r="D99" s="5"/>
      <c r="E99" s="27"/>
      <c r="F99" s="25"/>
      <c r="H99" t="s">
        <v>7</v>
      </c>
    </row>
    <row r="100" spans="2:9" ht="12.75">
      <c r="B100" s="4">
        <f t="shared" si="1"/>
        <v>39732</v>
      </c>
      <c r="C100" s="15">
        <f>(625+825+735+750+680+715)/6</f>
        <v>721.6666666666666</v>
      </c>
      <c r="D100" s="5"/>
      <c r="E100" s="27"/>
      <c r="F100" s="25"/>
      <c r="H100" t="s">
        <v>7</v>
      </c>
      <c r="I100" t="s">
        <v>7</v>
      </c>
    </row>
    <row r="101" spans="2:9" ht="12.75">
      <c r="B101" s="4">
        <f t="shared" si="1"/>
        <v>39739</v>
      </c>
      <c r="C101" s="15">
        <f>(550+800+685+750+650+710)/6</f>
        <v>690.8333333333334</v>
      </c>
      <c r="D101" s="5"/>
      <c r="E101" s="27"/>
      <c r="F101" s="25"/>
      <c r="H101" t="s">
        <v>7</v>
      </c>
      <c r="I101" t="s">
        <v>7</v>
      </c>
    </row>
    <row r="102" spans="2:9" ht="13.5" thickBot="1">
      <c r="B102" s="7">
        <f aca="true" t="shared" si="2" ref="B102:B136">B101+7</f>
        <v>39746</v>
      </c>
      <c r="C102" s="15">
        <f>(550+750+600+700+600+660)/6</f>
        <v>643.3333333333334</v>
      </c>
      <c r="D102" s="17">
        <f>SUM(C99:C102)/COUNTA(C99:C102)</f>
        <v>695.2083333333334</v>
      </c>
      <c r="E102" s="41">
        <f>D102/F$3</f>
        <v>2.1120253164556964</v>
      </c>
      <c r="F102" s="42"/>
      <c r="I102" t="s">
        <v>7</v>
      </c>
    </row>
    <row r="103" spans="2:9" ht="12.75">
      <c r="B103" s="33">
        <f t="shared" si="2"/>
        <v>39753</v>
      </c>
      <c r="C103" s="31">
        <f>(550+700+600+615+600+640)/6</f>
        <v>617.5</v>
      </c>
      <c r="D103" s="29"/>
      <c r="E103" s="28"/>
      <c r="F103" s="29"/>
      <c r="H103" t="s">
        <v>7</v>
      </c>
      <c r="I103" t="s">
        <v>7</v>
      </c>
    </row>
    <row r="104" spans="2:9" ht="12.75">
      <c r="B104" s="32">
        <f t="shared" si="2"/>
        <v>39760</v>
      </c>
      <c r="C104" s="15">
        <f>(550+650+600+615+585+610)/6</f>
        <v>601.6666666666666</v>
      </c>
      <c r="D104" s="25"/>
      <c r="E104" s="27"/>
      <c r="F104" s="25"/>
      <c r="I104" t="s">
        <v>7</v>
      </c>
    </row>
    <row r="105" spans="2:6" ht="12.75">
      <c r="B105" s="32">
        <f t="shared" si="2"/>
        <v>39767</v>
      </c>
      <c r="C105" s="15">
        <f>(500+600+565+600+530+565)/6</f>
        <v>560</v>
      </c>
      <c r="D105" s="25"/>
      <c r="E105" s="27"/>
      <c r="F105" s="25"/>
    </row>
    <row r="106" spans="2:9" ht="13.5" thickBot="1">
      <c r="B106" s="34">
        <f t="shared" si="2"/>
        <v>39774</v>
      </c>
      <c r="C106" s="15">
        <f>(490+600+560+575+530+565)/6</f>
        <v>553.3333333333334</v>
      </c>
      <c r="D106" s="17">
        <f>SUM(C103:C106)/COUNTA(C103:C106)</f>
        <v>583.125</v>
      </c>
      <c r="E106" s="41">
        <f>D106/F$3</f>
        <v>1.771518987341772</v>
      </c>
      <c r="F106" s="42"/>
      <c r="I106" t="s">
        <v>7</v>
      </c>
    </row>
    <row r="107" spans="2:6" ht="12.75">
      <c r="B107" s="24">
        <f t="shared" si="2"/>
        <v>39781</v>
      </c>
      <c r="C107" s="31">
        <f>(490+600+560+575+530+560)/6</f>
        <v>552.5</v>
      </c>
      <c r="D107" s="26"/>
      <c r="E107" s="28"/>
      <c r="F107" s="29"/>
    </row>
    <row r="108" spans="2:6" ht="12.75">
      <c r="B108" s="4">
        <f t="shared" si="2"/>
        <v>39788</v>
      </c>
      <c r="C108" s="15">
        <f>(475+600+535+550+435+500)/6</f>
        <v>515.8333333333334</v>
      </c>
      <c r="D108" s="5"/>
      <c r="E108" s="27"/>
      <c r="F108" s="25"/>
    </row>
    <row r="109" spans="2:9" ht="12.75">
      <c r="B109" s="4">
        <f t="shared" si="2"/>
        <v>39795</v>
      </c>
      <c r="C109" s="15">
        <f>(475+600+535+550+435+500)/6</f>
        <v>515.8333333333334</v>
      </c>
      <c r="D109" s="5"/>
      <c r="E109" s="27"/>
      <c r="F109" s="25"/>
      <c r="H109" t="s">
        <v>7</v>
      </c>
      <c r="I109" t="s">
        <v>7</v>
      </c>
    </row>
    <row r="110" spans="2:6" ht="12.75">
      <c r="B110" s="4">
        <f t="shared" si="2"/>
        <v>39802</v>
      </c>
      <c r="C110" s="15">
        <f>(475+600+535+545+435+495)/6</f>
        <v>514.1666666666666</v>
      </c>
      <c r="D110" s="5"/>
      <c r="E110" s="27"/>
      <c r="F110" s="25"/>
    </row>
    <row r="111" spans="2:6" ht="13.5" thickBot="1">
      <c r="B111" s="7">
        <f t="shared" si="2"/>
        <v>39809</v>
      </c>
      <c r="C111" s="15">
        <f>(475+600+535+545+435+495)/6</f>
        <v>514.1666666666666</v>
      </c>
      <c r="D111" s="17">
        <f>SUM(C108:C111)/COUNTA(C108:C111)</f>
        <v>515</v>
      </c>
      <c r="E111" s="41">
        <f>D111/F$3</f>
        <v>1.5645569620253164</v>
      </c>
      <c r="F111" s="42"/>
    </row>
    <row r="112" spans="2:9" ht="12.75">
      <c r="B112" s="33">
        <f t="shared" si="2"/>
        <v>39816</v>
      </c>
      <c r="C112" s="31">
        <f>(475+575+450+535+335+450)/6</f>
        <v>470</v>
      </c>
      <c r="D112" s="29"/>
      <c r="E112" s="28"/>
      <c r="F112" s="29"/>
      <c r="I112" t="s">
        <v>7</v>
      </c>
    </row>
    <row r="113" spans="2:11" ht="12.75">
      <c r="B113" s="32">
        <f t="shared" si="2"/>
        <v>39823</v>
      </c>
      <c r="C113" s="15">
        <f>(475+575+450+460+335+425)/6</f>
        <v>453.3333333333333</v>
      </c>
      <c r="D113" s="25"/>
      <c r="E113" s="27"/>
      <c r="F113" s="25"/>
      <c r="H113" t="s">
        <v>7</v>
      </c>
      <c r="K113" t="s">
        <v>7</v>
      </c>
    </row>
    <row r="114" spans="2:6" ht="12.75">
      <c r="B114" s="32">
        <f t="shared" si="2"/>
        <v>39830</v>
      </c>
      <c r="C114" s="15">
        <f>(475+575+450+460+335+385)/6</f>
        <v>446.6666666666667</v>
      </c>
      <c r="D114" s="25"/>
      <c r="E114" s="27"/>
      <c r="F114" s="25"/>
    </row>
    <row r="115" spans="2:9" ht="13.5" thickBot="1">
      <c r="B115" s="34">
        <f t="shared" si="2"/>
        <v>39837</v>
      </c>
      <c r="C115" s="15">
        <f>(475+575+450+460+310+360)/6</f>
        <v>438.3333333333333</v>
      </c>
      <c r="D115" s="17">
        <f>SUM(C112:C115)/COUNTA(C112:C115)</f>
        <v>452.0833333333333</v>
      </c>
      <c r="E115" s="41">
        <f>D115/F$3</f>
        <v>1.3734177215189871</v>
      </c>
      <c r="F115" s="42"/>
      <c r="I115" t="s">
        <v>7</v>
      </c>
    </row>
    <row r="116" spans="2:6" ht="12.75">
      <c r="B116" s="24">
        <f t="shared" si="2"/>
        <v>39844</v>
      </c>
      <c r="C116" s="31">
        <f>(460+575+450+460+300+350)/6</f>
        <v>432.5</v>
      </c>
      <c r="D116" s="26"/>
      <c r="E116" s="28"/>
      <c r="F116" s="29"/>
    </row>
    <row r="117" spans="2:8" ht="12.75">
      <c r="B117" s="4">
        <f t="shared" si="2"/>
        <v>39851</v>
      </c>
      <c r="C117" s="15">
        <f>(450+575+400+410+300+340)/6</f>
        <v>412.5</v>
      </c>
      <c r="D117" s="5"/>
      <c r="E117" s="27"/>
      <c r="F117" s="25"/>
      <c r="H117" t="s">
        <v>7</v>
      </c>
    </row>
    <row r="118" spans="2:9" ht="12.75">
      <c r="B118" s="4">
        <f t="shared" si="2"/>
        <v>39858</v>
      </c>
      <c r="C118" s="36"/>
      <c r="D118" s="5"/>
      <c r="E118" s="27"/>
      <c r="F118" s="25"/>
      <c r="I118" t="s">
        <v>7</v>
      </c>
    </row>
    <row r="119" spans="2:9" ht="13.5" thickBot="1">
      <c r="B119" s="7">
        <f t="shared" si="2"/>
        <v>39865</v>
      </c>
      <c r="C119" s="37"/>
      <c r="D119" s="37"/>
      <c r="E119" s="52"/>
      <c r="F119" s="53"/>
      <c r="I119" t="s">
        <v>7</v>
      </c>
    </row>
    <row r="120" spans="2:6" ht="12.75">
      <c r="B120" s="24">
        <f t="shared" si="2"/>
        <v>39872</v>
      </c>
      <c r="C120" s="35"/>
      <c r="D120" s="26"/>
      <c r="E120" s="28"/>
      <c r="F120" s="29"/>
    </row>
    <row r="121" spans="2:9" ht="12.75">
      <c r="B121" s="4">
        <f t="shared" si="2"/>
        <v>39879</v>
      </c>
      <c r="C121" s="36"/>
      <c r="D121" s="5"/>
      <c r="E121" s="27"/>
      <c r="F121" s="25"/>
      <c r="I121" t="s">
        <v>7</v>
      </c>
    </row>
    <row r="122" spans="2:6" ht="12.75">
      <c r="B122" s="4">
        <f t="shared" si="2"/>
        <v>39886</v>
      </c>
      <c r="C122" s="36"/>
      <c r="D122" s="5"/>
      <c r="E122" s="27"/>
      <c r="F122" s="25"/>
    </row>
    <row r="123" spans="2:6" ht="13.5" thickBot="1">
      <c r="B123" s="7">
        <f t="shared" si="2"/>
        <v>39893</v>
      </c>
      <c r="C123" s="37"/>
      <c r="D123" s="37"/>
      <c r="E123" s="52"/>
      <c r="F123" s="53"/>
    </row>
    <row r="124" spans="2:8" ht="12.75">
      <c r="B124" s="24">
        <f t="shared" si="2"/>
        <v>39900</v>
      </c>
      <c r="C124" s="35"/>
      <c r="D124" s="28"/>
      <c r="E124" s="28"/>
      <c r="F124" s="29"/>
      <c r="H124" t="s">
        <v>7</v>
      </c>
    </row>
    <row r="125" spans="2:6" ht="12.75">
      <c r="B125" s="4">
        <f t="shared" si="2"/>
        <v>39907</v>
      </c>
      <c r="C125" s="36"/>
      <c r="D125" s="27"/>
      <c r="E125" s="27"/>
      <c r="F125" s="25"/>
    </row>
    <row r="126" spans="2:6" ht="12.75">
      <c r="B126" s="4">
        <f t="shared" si="2"/>
        <v>39914</v>
      </c>
      <c r="C126" s="36"/>
      <c r="D126" s="27"/>
      <c r="E126" s="27"/>
      <c r="F126" s="25"/>
    </row>
    <row r="127" spans="2:6" ht="12.75">
      <c r="B127" s="4">
        <f t="shared" si="2"/>
        <v>39921</v>
      </c>
      <c r="C127" s="36"/>
      <c r="D127" s="27"/>
      <c r="E127" s="27"/>
      <c r="F127" s="25"/>
    </row>
    <row r="128" spans="2:6" ht="13.5" thickBot="1">
      <c r="B128" s="7">
        <f t="shared" si="2"/>
        <v>39928</v>
      </c>
      <c r="C128" s="37"/>
      <c r="D128" s="38"/>
      <c r="E128" s="52"/>
      <c r="F128" s="53"/>
    </row>
    <row r="129" spans="2:6" ht="12.75">
      <c r="B129" s="24">
        <f t="shared" si="2"/>
        <v>39935</v>
      </c>
      <c r="C129" s="35"/>
      <c r="D129" s="26"/>
      <c r="E129" s="28"/>
      <c r="F129" s="29"/>
    </row>
    <row r="130" spans="2:6" ht="12.75">
      <c r="B130" s="4">
        <f t="shared" si="2"/>
        <v>39942</v>
      </c>
      <c r="C130" s="36"/>
      <c r="D130" s="5"/>
      <c r="E130" s="27"/>
      <c r="F130" s="25"/>
    </row>
    <row r="131" spans="2:6" ht="12.75">
      <c r="B131" s="4">
        <f t="shared" si="2"/>
        <v>39949</v>
      </c>
      <c r="C131" s="36"/>
      <c r="D131" s="5"/>
      <c r="E131" s="27"/>
      <c r="F131" s="25"/>
    </row>
    <row r="132" spans="2:6" ht="13.5" thickBot="1">
      <c r="B132" s="7">
        <f t="shared" si="2"/>
        <v>39956</v>
      </c>
      <c r="C132" s="37"/>
      <c r="D132" s="37"/>
      <c r="E132" s="52"/>
      <c r="F132" s="53"/>
    </row>
    <row r="133" spans="2:6" ht="12.75">
      <c r="B133" s="4">
        <f t="shared" si="2"/>
        <v>39963</v>
      </c>
      <c r="C133" s="35"/>
      <c r="D133" s="26"/>
      <c r="E133" s="28"/>
      <c r="F133" s="29"/>
    </row>
    <row r="134" spans="2:6" ht="12.75">
      <c r="B134" s="4">
        <f t="shared" si="2"/>
        <v>39970</v>
      </c>
      <c r="C134" s="36"/>
      <c r="D134" s="5"/>
      <c r="E134" s="27"/>
      <c r="F134" s="25"/>
    </row>
    <row r="135" spans="2:6" ht="12.75">
      <c r="B135" s="4">
        <f t="shared" si="2"/>
        <v>39977</v>
      </c>
      <c r="C135" s="36"/>
      <c r="D135" s="5"/>
      <c r="E135" s="27"/>
      <c r="F135" s="25"/>
    </row>
    <row r="136" spans="2:6" ht="12.75">
      <c r="B136" s="4">
        <f t="shared" si="2"/>
        <v>39984</v>
      </c>
      <c r="C136" s="36"/>
      <c r="D136" s="36"/>
      <c r="E136" s="54"/>
      <c r="F136" s="55"/>
    </row>
    <row r="137" spans="2:6" ht="12.75">
      <c r="B137" s="30"/>
      <c r="C137" s="30"/>
      <c r="D137" s="30"/>
      <c r="E137" s="30"/>
      <c r="F137" s="30"/>
    </row>
  </sheetData>
  <mergeCells count="78">
    <mergeCell ref="E132:F132"/>
    <mergeCell ref="E136:F136"/>
    <mergeCell ref="E115:F115"/>
    <mergeCell ref="E119:F119"/>
    <mergeCell ref="E123:F123"/>
    <mergeCell ref="E128:F128"/>
    <mergeCell ref="E97:F97"/>
    <mergeCell ref="E102:F102"/>
    <mergeCell ref="E106:F106"/>
    <mergeCell ref="E111:F111"/>
    <mergeCell ref="E80:F80"/>
    <mergeCell ref="E84:F84"/>
    <mergeCell ref="E89:F89"/>
    <mergeCell ref="E93:F93"/>
    <mergeCell ref="E63:F63"/>
    <mergeCell ref="E71:F71"/>
    <mergeCell ref="E76:F76"/>
    <mergeCell ref="E67:F67"/>
    <mergeCell ref="C2:C3"/>
    <mergeCell ref="D2:D3"/>
    <mergeCell ref="B2:B3"/>
    <mergeCell ref="E2:F2"/>
    <mergeCell ref="E8:F8"/>
    <mergeCell ref="E12:F12"/>
    <mergeCell ref="E17:F17"/>
    <mergeCell ref="E13:F13"/>
    <mergeCell ref="E14:F14"/>
    <mergeCell ref="E15:F15"/>
    <mergeCell ref="E9:F9"/>
    <mergeCell ref="E10:F10"/>
    <mergeCell ref="E11:F11"/>
    <mergeCell ref="E4:F4"/>
    <mergeCell ref="E5:F5"/>
    <mergeCell ref="E6:F6"/>
    <mergeCell ref="E7:F7"/>
    <mergeCell ref="E18:F18"/>
    <mergeCell ref="E16:F16"/>
    <mergeCell ref="E19:F19"/>
    <mergeCell ref="E20:F20"/>
    <mergeCell ref="E22:F22"/>
    <mergeCell ref="E23:F23"/>
    <mergeCell ref="E21:F21"/>
    <mergeCell ref="E24:F24"/>
    <mergeCell ref="E26:F26"/>
    <mergeCell ref="E27:F27"/>
    <mergeCell ref="E28:F28"/>
    <mergeCell ref="E25:F25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7:F57"/>
    <mergeCell ref="E58:F58"/>
    <mergeCell ref="E59:F59"/>
    <mergeCell ref="E53:F53"/>
    <mergeCell ref="E54:F54"/>
    <mergeCell ref="E55:F55"/>
    <mergeCell ref="E56:F56"/>
  </mergeCells>
  <printOptions/>
  <pageMargins left="0.22" right="0.2" top="1" bottom="1" header="0.2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0"/>
  <sheetViews>
    <sheetView workbookViewId="0" topLeftCell="A1">
      <selection activeCell="C7" sqref="C7"/>
    </sheetView>
  </sheetViews>
  <sheetFormatPr defaultColWidth="9.140625" defaultRowHeight="12.75"/>
  <cols>
    <col min="2" max="2" width="17.00390625" style="0" bestFit="1" customWidth="1"/>
    <col min="3" max="3" width="15.8515625" style="0" customWidth="1"/>
    <col min="4" max="4" width="23.140625" style="0" customWidth="1"/>
  </cols>
  <sheetData>
    <row r="2" spans="2:4" ht="13.5" thickBot="1">
      <c r="B2" s="8" t="s">
        <v>6</v>
      </c>
      <c r="C2" s="9"/>
      <c r="D2" s="9"/>
    </row>
    <row r="3" spans="2:4" ht="41.25" customHeight="1" thickBot="1">
      <c r="B3" s="2" t="s">
        <v>0</v>
      </c>
      <c r="C3" s="3" t="s">
        <v>4</v>
      </c>
      <c r="D3" s="3" t="s">
        <v>3</v>
      </c>
    </row>
    <row r="4" spans="2:4" ht="12.75" hidden="1">
      <c r="B4" s="4">
        <v>38737</v>
      </c>
      <c r="C4" s="11">
        <f>(220+250+300+310+300+315)/6</f>
        <v>282.5</v>
      </c>
      <c r="D4" s="12"/>
    </row>
    <row r="5" spans="2:4" ht="12.75" hidden="1">
      <c r="B5" s="6">
        <v>38744</v>
      </c>
      <c r="C5" s="13">
        <f>(230+250+300+310+300+315)/6</f>
        <v>284.1666666666667</v>
      </c>
      <c r="D5" s="14"/>
    </row>
    <row r="6" spans="2:4" ht="12.75" hidden="1">
      <c r="B6" s="4">
        <f>B5+7</f>
        <v>38751</v>
      </c>
      <c r="C6" s="11">
        <f>(230+250+300+315+300+325)/6</f>
        <v>286.6666666666667</v>
      </c>
      <c r="D6" s="12"/>
    </row>
    <row r="7" spans="2:4" ht="12.75">
      <c r="B7" s="4">
        <v>39032</v>
      </c>
      <c r="C7" s="15">
        <f>(330+400+315+320+290+325)/6</f>
        <v>330</v>
      </c>
      <c r="D7" s="18"/>
    </row>
    <row r="8" spans="2:4" ht="12.75">
      <c r="B8" s="4">
        <f>B7+7</f>
        <v>39039</v>
      </c>
      <c r="C8" s="15">
        <f>(330+400+315+320+290+320)/6</f>
        <v>329.1666666666667</v>
      </c>
      <c r="D8" s="18"/>
    </row>
    <row r="9" spans="2:4" ht="12.75">
      <c r="B9" s="4">
        <f>B8+7</f>
        <v>39046</v>
      </c>
      <c r="C9" s="15">
        <f>(330+400+315+320+290+320)/6</f>
        <v>329.1666666666667</v>
      </c>
      <c r="D9" s="19"/>
    </row>
    <row r="10" spans="2:4" ht="13.5" thickBot="1">
      <c r="B10" s="7">
        <f>B9+7</f>
        <v>39053</v>
      </c>
      <c r="C10" s="20">
        <f>(330+400+315+320+285+320)/6</f>
        <v>328.3333333333333</v>
      </c>
      <c r="D10" s="21">
        <f>SUM(C7:C10)/COUNTA(C7:C10)</f>
        <v>329.1666666666667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 Services</dc:creator>
  <cp:keywords/>
  <dc:description/>
  <cp:lastModifiedBy>Harvey Bostwick</cp:lastModifiedBy>
  <cp:lastPrinted>2008-03-18T16:56:38Z</cp:lastPrinted>
  <dcterms:created xsi:type="dcterms:W3CDTF">2006-01-30T17:20:09Z</dcterms:created>
  <dcterms:modified xsi:type="dcterms:W3CDTF">2009-02-09T20:43:13Z</dcterms:modified>
  <cp:category/>
  <cp:version/>
  <cp:contentType/>
  <cp:contentStatus/>
</cp:coreProperties>
</file>