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65491" windowWidth="6885" windowHeight="4620" tabRatio="871" activeTab="0"/>
  </bookViews>
  <sheets>
    <sheet name="Summary" sheetId="1" r:id="rId1"/>
    <sheet name="MF_IIF" sheetId="2" r:id="rId2"/>
    <sheet name="MF_Notes" sheetId="3" r:id="rId3"/>
    <sheet name="SF_IIF" sheetId="4" r:id="rId4"/>
    <sheet name="SF_Notes" sheetId="5" r:id="rId5"/>
    <sheet name="SF_Detail" sheetId="6" r:id="rId6"/>
    <sheet name="SF_Detail(Cont'd)" sheetId="7" r:id="rId7"/>
    <sheet name="Title_1" sheetId="8" r:id="rId8"/>
    <sheet name="Commitments " sheetId="9" r:id="rId9"/>
    <sheet name="SFMarketShare" sheetId="10" r:id="rId10"/>
    <sheet name="Buffer" sheetId="11" r:id="rId11"/>
  </sheets>
  <definedNames>
    <definedName name="MSA_Mke_Tble" localSheetId="9">'SFMarketShare'!$A$1:$H$727</definedName>
    <definedName name="MSA_Mke_Tble">#REF!</definedName>
    <definedName name="_xlnm.Print_Area" localSheetId="8">'Commitments '!$A$1:$J$51</definedName>
    <definedName name="_xlnm.Print_Area" localSheetId="1">'MF_IIF'!$A$1:$L$45</definedName>
    <definedName name="_xlnm.Print_Area" localSheetId="6">'SF_Detail(Cont''d)'!$A$1:$N$65</definedName>
    <definedName name="_xlnm.Print_Area" localSheetId="3">'SF_IIF'!$A$1:$N$40</definedName>
    <definedName name="_xlnm.Print_Area" localSheetId="4">'SF_Notes'!$A$1:$M$37</definedName>
    <definedName name="_xlnm.Print_Area" localSheetId="9">'SFMarketShare'!$A$1:$V$45</definedName>
    <definedName name="_xlnm.Print_Area" localSheetId="0">'Summary'!$A$4:$H$27</definedName>
    <definedName name="_xlnm.Print_Titles" localSheetId="6">'SF_Detail(Cont''d)'!$1:$11</definedName>
    <definedName name="Q_MSA_Step3" localSheetId="9">'SFMarketShare'!$A$1:$H$727</definedName>
    <definedName name="Q_MSA_Step3">#REF!</definedName>
  </definedNames>
  <calcPr fullCalcOnLoad="1"/>
</workbook>
</file>

<file path=xl/sharedStrings.xml><?xml version="1.0" encoding="utf-8"?>
<sst xmlns="http://schemas.openxmlformats.org/spreadsheetml/2006/main" count="628" uniqueCount="315">
  <si>
    <t>DOLLARS</t>
  </si>
  <si>
    <t>CHANGE FROM</t>
  </si>
  <si>
    <t xml:space="preserve">          PORTFOLIO</t>
  </si>
  <si>
    <t>NUMBER</t>
  </si>
  <si>
    <t xml:space="preserve"> (Billions)</t>
  </si>
  <si>
    <t>PRIOR YEAR</t>
  </si>
  <si>
    <t>Single Family Insured</t>
  </si>
  <si>
    <t>Multifamily Insured</t>
  </si>
  <si>
    <t>Title I Property Improvement Insured</t>
  </si>
  <si>
    <t>Title I Manufactured Housing Insured</t>
  </si>
  <si>
    <t>Single Family Notes</t>
  </si>
  <si>
    <t>Multifamily Notes</t>
  </si>
  <si>
    <t>Title I Notes</t>
  </si>
  <si>
    <t>Single Family Properties</t>
  </si>
  <si>
    <t>Multifamily Properties</t>
  </si>
  <si>
    <t>Federal Housing Administration Monthly Report</t>
  </si>
  <si>
    <t>Multifamily Insured Portfolio</t>
  </si>
  <si>
    <t>Current Month</t>
  </si>
  <si>
    <t>Prior FYTD</t>
  </si>
  <si>
    <t>Percent</t>
  </si>
  <si>
    <t>Change</t>
  </si>
  <si>
    <t>Number</t>
  </si>
  <si>
    <t>Units</t>
  </si>
  <si>
    <t>Dollars ($M)</t>
  </si>
  <si>
    <t>Insurance in Force(Beginning)</t>
  </si>
  <si>
    <t xml:space="preserve">  FY Prepayments(-)</t>
  </si>
  <si>
    <t xml:space="preserve">  FY Claim Terminations(-)</t>
  </si>
  <si>
    <t xml:space="preserve">  FY Endorsements(+)</t>
  </si>
  <si>
    <t xml:space="preserve"> FY Endorsements by Mortgage type</t>
  </si>
  <si>
    <t xml:space="preserve">  New Construction/Sub Rehab</t>
  </si>
  <si>
    <t xml:space="preserve">  Refinance</t>
  </si>
  <si>
    <t xml:space="preserve">  Supplemental/Equity</t>
  </si>
  <si>
    <t xml:space="preserve">  Operating Loss</t>
  </si>
  <si>
    <t xml:space="preserve">  Portfolio Re-engineering</t>
  </si>
  <si>
    <t xml:space="preserve"> Rental Housing</t>
  </si>
  <si>
    <t xml:space="preserve">   Section 221(d)(3) &amp; 236</t>
  </si>
  <si>
    <t xml:space="preserve">   Section 221(d)(4)</t>
  </si>
  <si>
    <t xml:space="preserve">   Other Rental</t>
  </si>
  <si>
    <t xml:space="preserve">   Risk Share</t>
  </si>
  <si>
    <t xml:space="preserve"> Health Care Facilities</t>
  </si>
  <si>
    <t xml:space="preserve"> </t>
  </si>
  <si>
    <t xml:space="preserve">   Nursing Homes</t>
  </si>
  <si>
    <t xml:space="preserve">   Assisted Living</t>
  </si>
  <si>
    <t xml:space="preserve">   Hospitals</t>
  </si>
  <si>
    <t>N/A</t>
  </si>
  <si>
    <t xml:space="preserve"> Prior FY Prepayments(-)</t>
  </si>
  <si>
    <t xml:space="preserve"> Prior FY Claims(-)</t>
  </si>
  <si>
    <t xml:space="preserve"> Prior FY Endorsements(+)</t>
  </si>
  <si>
    <t xml:space="preserve"> Adjustments</t>
  </si>
  <si>
    <t>Insurance in Force(Ending)</t>
  </si>
  <si>
    <t>Multifamily Notes and Properties</t>
  </si>
  <si>
    <t>Notes(Beginning)</t>
  </si>
  <si>
    <t xml:space="preserve"> Pay Offs(-)</t>
  </si>
  <si>
    <t xml:space="preserve"> Conversions(-)</t>
  </si>
  <si>
    <t xml:space="preserve"> Sales(-)</t>
  </si>
  <si>
    <t xml:space="preserve"> Assignments/Seconds(+)</t>
  </si>
  <si>
    <t>Assignments/Seconds by type</t>
  </si>
  <si>
    <t xml:space="preserve">  Section 221(g)(4)</t>
  </si>
  <si>
    <t xml:space="preserve">  Other Assignments</t>
  </si>
  <si>
    <t>Adjustments</t>
  </si>
  <si>
    <t>Notes(Ending)</t>
  </si>
  <si>
    <t>Conversions(+)</t>
  </si>
  <si>
    <t>Sales(-)</t>
  </si>
  <si>
    <t>Properties(Ending)</t>
  </si>
  <si>
    <t>(Number)</t>
  </si>
  <si>
    <t>Insurance-in-Force (Beginning)</t>
  </si>
  <si>
    <t xml:space="preserve">    Prepayments(-)</t>
  </si>
  <si>
    <t xml:space="preserve">    Adjustments</t>
  </si>
  <si>
    <t>Single Family Notes and Properties</t>
  </si>
  <si>
    <t xml:space="preserve">  Notes (Beginning)</t>
  </si>
  <si>
    <t xml:space="preserve">    Pay-Offs(-)</t>
  </si>
  <si>
    <t xml:space="preserve">    Conversions(-)</t>
  </si>
  <si>
    <t xml:space="preserve">    Sales(-)</t>
  </si>
  <si>
    <t xml:space="preserve">    Assignments MNA(+)</t>
  </si>
  <si>
    <t xml:space="preserve">    Assignments PMM(+)</t>
  </si>
  <si>
    <t xml:space="preserve">  Notes (Ending)</t>
  </si>
  <si>
    <t xml:space="preserve">  </t>
  </si>
  <si>
    <t xml:space="preserve">  Properties (Beginning) </t>
  </si>
  <si>
    <t xml:space="preserve">    Conversions(+)</t>
  </si>
  <si>
    <t xml:space="preserve">    Conveyances(+)</t>
  </si>
  <si>
    <t xml:space="preserve">  Properties (Ending)</t>
  </si>
  <si>
    <t xml:space="preserve">          Note:  Dollars represent unpaid balance for notes and acquisition cost for properties. </t>
  </si>
  <si>
    <t>MSA's With The Highest Single Family Default Rates</t>
  </si>
  <si>
    <t>Default Rates</t>
  </si>
  <si>
    <t>Total IIF</t>
  </si>
  <si>
    <t>Defaults</t>
  </si>
  <si>
    <t>Current Year</t>
  </si>
  <si>
    <t>Prior Year</t>
  </si>
  <si>
    <t>Current</t>
  </si>
  <si>
    <t>Prior</t>
  </si>
  <si>
    <t>Rank</t>
  </si>
  <si>
    <t>Total</t>
  </si>
  <si>
    <t xml:space="preserve"> NEWARK, NJ</t>
  </si>
  <si>
    <t xml:space="preserve"> READING, PA</t>
  </si>
  <si>
    <t xml:space="preserve"> HAMILTON-MIDDLETOWN,OH</t>
  </si>
  <si>
    <t>Title I Portfolios</t>
  </si>
  <si>
    <t xml:space="preserve">        Property Improvement</t>
  </si>
  <si>
    <t xml:space="preserve">        Manufactured Housing</t>
  </si>
  <si>
    <t xml:space="preserve">    Claim Terminations(-) </t>
  </si>
  <si>
    <t xml:space="preserve">    Endorsements(+)</t>
  </si>
  <si>
    <t>Insurance-in-Force (Ending)</t>
  </si>
  <si>
    <t>Notes (Beginning)</t>
  </si>
  <si>
    <t xml:space="preserve">    New Cases Assigned(+)</t>
  </si>
  <si>
    <t xml:space="preserve">    Net Collections(-)</t>
  </si>
  <si>
    <t>Commitments &amp; Credit Subsidy</t>
  </si>
  <si>
    <t>Dollars in Millions</t>
  </si>
  <si>
    <t>Commitments</t>
  </si>
  <si>
    <t>MMIF</t>
  </si>
  <si>
    <t>GI/SRIF Total</t>
  </si>
  <si>
    <t>Section 234</t>
  </si>
  <si>
    <t>Section 203(k)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</si>
  <si>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</si>
  <si>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</si>
  <si>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</si>
  <si>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</si>
  <si>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</si>
  <si>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</si>
  <si>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</si>
  <si>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</si>
  <si>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</si>
  <si>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</si>
  <si>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</si>
  <si>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</si>
  <si>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 xml:space="preserve"> Credit Subsidy</t>
  </si>
  <si>
    <t>Subsidy Factor</t>
  </si>
  <si>
    <t>Single Family Market Comparisons</t>
  </si>
  <si>
    <t>Application</t>
  </si>
  <si>
    <t xml:space="preserve"> Share</t>
  </si>
  <si>
    <t>INSURED MORTGAGE</t>
  </si>
  <si>
    <t>APPLICATIONS</t>
  </si>
  <si>
    <t xml:space="preserve">    Conventional</t>
  </si>
  <si>
    <t xml:space="preserve">    FHA *</t>
  </si>
  <si>
    <t xml:space="preserve">    VA</t>
  </si>
  <si>
    <t xml:space="preserve"> TOTAL</t>
  </si>
  <si>
    <t>Insured</t>
  </si>
  <si>
    <t xml:space="preserve">Change </t>
  </si>
  <si>
    <t>Share ($)</t>
  </si>
  <si>
    <t>(Dollars)</t>
  </si>
  <si>
    <t>ENDORSEMENTS</t>
  </si>
  <si>
    <t xml:space="preserve">    FHA</t>
  </si>
  <si>
    <t>FHA Share</t>
  </si>
  <si>
    <t>HOMES SALES MARKET</t>
  </si>
  <si>
    <t xml:space="preserve">    Home Sales***</t>
  </si>
  <si>
    <t>**     FHA insured minus FHA refinancings</t>
  </si>
  <si>
    <t>***    Includes new and existing construction home sales and a month lag between home sale and FHA endorsement of mortgage to purchase home.</t>
  </si>
  <si>
    <t xml:space="preserve">         Note:  Dollars represent original amounts insured</t>
  </si>
  <si>
    <t>Single Family Detail (continued)</t>
  </si>
  <si>
    <t>Current FYTD</t>
  </si>
  <si>
    <t>Source SFDW</t>
  </si>
  <si>
    <t xml:space="preserve">             Units are not counted for Supplemental, Equity or Operating Loss mortgages.</t>
  </si>
  <si>
    <t xml:space="preserve">Apr </t>
  </si>
  <si>
    <t xml:space="preserve"> RACINE, WI</t>
  </si>
  <si>
    <t xml:space="preserve"> INDIANAPOLIS, IN</t>
  </si>
  <si>
    <t xml:space="preserve"> NEWBURGH, NY-PA</t>
  </si>
  <si>
    <t xml:space="preserve"> CHATTANOOGA, TN-GA</t>
  </si>
  <si>
    <t xml:space="preserve"> COLUMBUS, OH</t>
  </si>
  <si>
    <t xml:space="preserve">             Units are not counted for Supplemental, Equity, or Operating Loss mortgages that are not in the first position.</t>
  </si>
  <si>
    <t xml:space="preserve"> AKRON, OH</t>
  </si>
  <si>
    <t xml:space="preserve"> CINCINNATI, OH-KY-IN</t>
  </si>
  <si>
    <t>Co</t>
  </si>
  <si>
    <t>Single Family Detail</t>
  </si>
  <si>
    <t>Status of Insurance-in-Force*</t>
  </si>
  <si>
    <t xml:space="preserve">    Current</t>
  </si>
  <si>
    <t xml:space="preserve">    In Default (90 or more days delinquent)</t>
  </si>
  <si>
    <t xml:space="preserve">        Total Insurance-in-Force</t>
  </si>
  <si>
    <t xml:space="preserve">        Default Rate</t>
  </si>
  <si>
    <t>Loss Mitigation Activity **</t>
  </si>
  <si>
    <t xml:space="preserve">    Forbearance Agreements</t>
  </si>
  <si>
    <t xml:space="preserve">    Loan Modifications</t>
  </si>
  <si>
    <t xml:space="preserve">    Partial Claims</t>
  </si>
  <si>
    <t xml:space="preserve">        Total </t>
  </si>
  <si>
    <t xml:space="preserve">    Conveyance Foreclosure</t>
  </si>
  <si>
    <t xml:space="preserve">    Pre-Foreclosure Sale</t>
  </si>
  <si>
    <t xml:space="preserve">    Deed-in-Lieu of Foreclosure</t>
  </si>
  <si>
    <t xml:space="preserve">    Other***</t>
  </si>
  <si>
    <t xml:space="preserve">        Total</t>
  </si>
  <si>
    <t xml:space="preserve">     **Counts are based on settlement dates of loss mitigation claims.</t>
  </si>
  <si>
    <t xml:space="preserve">   ***Accelerated Claims Disposition Demostration Program (601)</t>
  </si>
  <si>
    <t xml:space="preserve"> DAYTON-SPRINGFIELD, OH</t>
  </si>
  <si>
    <t xml:space="preserve"> ATLANTIC-CAPE MAY, NJ</t>
  </si>
  <si>
    <t xml:space="preserve">Title I Mobile Homes </t>
  </si>
  <si>
    <t xml:space="preserve">Title I Property Improvement </t>
  </si>
  <si>
    <t xml:space="preserve">  Liquidations REO</t>
  </si>
  <si>
    <t xml:space="preserve">  Liquidations Notes</t>
  </si>
  <si>
    <t xml:space="preserve">  Additions</t>
  </si>
  <si>
    <t xml:space="preserve">  Repurchases and Write-Offs</t>
  </si>
  <si>
    <r>
      <t xml:space="preserve">  </t>
    </r>
    <r>
      <rPr>
        <b/>
        <sz val="10"/>
        <rFont val="Arial"/>
        <family val="2"/>
      </rPr>
      <t>Accelerated Claims Disposition Notes (Ending)</t>
    </r>
  </si>
  <si>
    <t>Accelerated Claims Disposition Notes</t>
  </si>
  <si>
    <t xml:space="preserve">             The remaining property in the inventory is a Title X Land Development property, it lists an acquistion cost of $1 and has no units.</t>
  </si>
  <si>
    <t xml:space="preserve"> ATLANTA, GA</t>
  </si>
  <si>
    <t xml:space="preserve"> SAGINAW-BAY CITY-MIDLAND, MI</t>
  </si>
  <si>
    <t xml:space="preserve"> SHREVEPORT-BOSSIER CITY, LA</t>
  </si>
  <si>
    <t>Note: Dollars represent original mortgage amount for endorsements and unpaid principal balance for insurance in force and terminations.</t>
  </si>
  <si>
    <t xml:space="preserve">FYTD 2006 Total  </t>
  </si>
  <si>
    <t>By Program and Month: FY 2006</t>
  </si>
  <si>
    <t>Fiscal Year 2006</t>
  </si>
  <si>
    <t xml:space="preserve"> HOUSTON, TX</t>
  </si>
  <si>
    <t xml:space="preserve"> CANTON-MASSILLON, OH</t>
  </si>
  <si>
    <t>(Due to a lag in reporting of conventional information, these data are for the previous month)</t>
  </si>
  <si>
    <t>Single Family Insured Portfolio</t>
  </si>
  <si>
    <t xml:space="preserve">    Claim Terminations(-)</t>
  </si>
  <si>
    <t xml:space="preserve">    Endorsements(+)  </t>
  </si>
  <si>
    <t>Endorsements by Program</t>
  </si>
  <si>
    <t xml:space="preserve">        MMIF   </t>
  </si>
  <si>
    <t xml:space="preserve">        GIF/SRIF</t>
  </si>
  <si>
    <t xml:space="preserve">            234 Condo</t>
  </si>
  <si>
    <t xml:space="preserve">            203(k) Improvement</t>
  </si>
  <si>
    <t xml:space="preserve">            Other</t>
  </si>
  <si>
    <t xml:space="preserve">        Adjustable Rate Mortgages   </t>
  </si>
  <si>
    <t xml:space="preserve">        Fixed Rate Mortgages</t>
  </si>
  <si>
    <t>Endorsements by Purpose</t>
  </si>
  <si>
    <t xml:space="preserve">        Refinancings   </t>
  </si>
  <si>
    <t xml:space="preserve">        Purchases  </t>
  </si>
  <si>
    <t xml:space="preserve">        HECM Endorsements</t>
  </si>
  <si>
    <t xml:space="preserve">        HECM Refiancings</t>
  </si>
  <si>
    <t xml:space="preserve">        HECM In-Force</t>
  </si>
  <si>
    <t xml:space="preserve">Insurance-in-Force (Ending) </t>
  </si>
  <si>
    <t xml:space="preserve">          Note:  Dollars represent unpaid balance.</t>
  </si>
  <si>
    <t>* Data Source for HECM is the HECM Detail Case</t>
  </si>
  <si>
    <t xml:space="preserve"> Accelerated Claims Disposition Notes (Beginning) </t>
  </si>
  <si>
    <t>Dollars</t>
  </si>
  <si>
    <t xml:space="preserve"> FY Endorsements by Program type</t>
  </si>
  <si>
    <t>Endorsements by Type</t>
  </si>
  <si>
    <t>Insurance Claims</t>
  </si>
  <si>
    <t>Year</t>
  </si>
  <si>
    <t>MSA Name</t>
  </si>
  <si>
    <t>FRM</t>
  </si>
  <si>
    <t>ARM</t>
  </si>
  <si>
    <t xml:space="preserve"> NEW ORLEANS, LA</t>
  </si>
  <si>
    <t xml:space="preserve"> BILOXI-GULFPORT-PASCAGOULA, MS</t>
  </si>
  <si>
    <t xml:space="preserve"> HATTIESBURG, MS</t>
  </si>
  <si>
    <t xml:space="preserve"> BEAUMONT-PORT ARTHUR, TX</t>
  </si>
  <si>
    <t xml:space="preserve"> HOUMA, LA</t>
  </si>
  <si>
    <t xml:space="preserve"> LAKE CHARLES, LA</t>
  </si>
  <si>
    <t xml:space="preserve"> MOBILE, AL</t>
  </si>
  <si>
    <t xml:space="preserve"> BATON ROUGE, LA</t>
  </si>
  <si>
    <t xml:space="preserve"> CLEVELAND-LORAIN-ELYRIA, OH</t>
  </si>
  <si>
    <t xml:space="preserve"> VINELAND-MILLVILLE-BRIGETON, NJ</t>
  </si>
  <si>
    <t xml:space="preserve"> GARY, IN</t>
  </si>
  <si>
    <t xml:space="preserve"> MEMPHIS, TN-AR-MS</t>
  </si>
  <si>
    <t xml:space="preserve"> JACKSON, MS</t>
  </si>
  <si>
    <t xml:space="preserve"> YOUNGSTOWN-WARREN,OH</t>
  </si>
  <si>
    <t xml:space="preserve"> DETROIT, MI</t>
  </si>
  <si>
    <t xml:space="preserve"> TOLEDO, OH</t>
  </si>
  <si>
    <t xml:space="preserve"> TERRE HAUTE, IN</t>
  </si>
  <si>
    <t xml:space="preserve"> BIRMINGHAM, AL</t>
  </si>
  <si>
    <t xml:space="preserve"> PHILADELPHIA, PA-NJ</t>
  </si>
  <si>
    <t xml:space="preserve"> ROCKFORD, IL</t>
  </si>
  <si>
    <t xml:space="preserve"> FLINT, MI</t>
  </si>
  <si>
    <t xml:space="preserve"> KOKOMO, IN</t>
  </si>
  <si>
    <t xml:space="preserve"> TUSCALOOSA, AL</t>
  </si>
  <si>
    <t xml:space="preserve"> TRENTON, NJ</t>
  </si>
  <si>
    <t>Title I Property Improvement</t>
  </si>
  <si>
    <t>Title I Mobile Homes</t>
  </si>
  <si>
    <t>Various</t>
  </si>
  <si>
    <t>Share</t>
  </si>
  <si>
    <t>****</t>
  </si>
  <si>
    <t xml:space="preserve">    FHA Purchase Mortgages**</t>
  </si>
  <si>
    <t>Properties(Beginning)</t>
  </si>
  <si>
    <t xml:space="preserve">   BoardCare</t>
  </si>
  <si>
    <t xml:space="preserve"> Adjustments </t>
  </si>
  <si>
    <t>**** estimated VA current month applications</t>
  </si>
  <si>
    <t>FY:</t>
  </si>
  <si>
    <t>Fund:</t>
  </si>
  <si>
    <t>Database File Path:</t>
  </si>
  <si>
    <t>Database File Name</t>
  </si>
  <si>
    <t>M:\COMPTRPT\Mnthly200604</t>
  </si>
  <si>
    <t>TI_VBA2K1.mdb</t>
  </si>
  <si>
    <t>GI</t>
  </si>
  <si>
    <t>Other</t>
  </si>
  <si>
    <t>HECM</t>
  </si>
  <si>
    <t>GIF/SRIF Multifamily*</t>
  </si>
  <si>
    <t xml:space="preserve">      * includes only those Multifamily programs that are in positive credit subsidy risk categories</t>
  </si>
  <si>
    <t>HECM**</t>
  </si>
  <si>
    <t xml:space="preserve">      **Maximum Claim Amount</t>
  </si>
  <si>
    <r>
      <t>Dollars</t>
    </r>
    <r>
      <rPr>
        <vertAlign val="superscript"/>
        <sz val="10"/>
        <rFont val="Arial"/>
        <family val="2"/>
      </rPr>
      <t>1</t>
    </r>
    <r>
      <rPr>
        <b/>
        <sz val="10"/>
        <rFont val="Arial"/>
        <family val="0"/>
      </rPr>
      <t xml:space="preserve"> ($M)</t>
    </r>
  </si>
  <si>
    <r>
      <t>Notes (Ending)</t>
    </r>
    <r>
      <rPr>
        <vertAlign val="superscript"/>
        <sz val="10"/>
        <rFont val="Arial"/>
        <family val="2"/>
      </rPr>
      <t>2</t>
    </r>
  </si>
  <si>
    <t xml:space="preserve"> EVANSVILLE-HENDERSON, IN-KY</t>
  </si>
  <si>
    <r>
      <t xml:space="preserve">                           Notes:  </t>
    </r>
    <r>
      <rPr>
        <vertAlign val="superscript"/>
        <sz val="10"/>
        <rFont val="Arial"/>
        <family val="2"/>
      </rPr>
      <t xml:space="preserve">1/  </t>
    </r>
    <r>
      <rPr>
        <sz val="10"/>
        <rFont val="Arial"/>
        <family val="0"/>
      </rPr>
      <t xml:space="preserve"> Dollars represent original loan proceeds for insurance-in-force and unpaid balances for notes.</t>
    </r>
  </si>
  <si>
    <t xml:space="preserve">    Interest Accrual, Fees, Penalties, and Costs</t>
  </si>
  <si>
    <r>
      <t xml:space="preserve">    Cases Closed(-)</t>
    </r>
    <r>
      <rPr>
        <vertAlign val="superscript"/>
        <sz val="10"/>
        <rFont val="Arial"/>
        <family val="2"/>
      </rPr>
      <t>3</t>
    </r>
  </si>
  <si>
    <t xml:space="preserve"> MANSFIELD, OH</t>
  </si>
  <si>
    <t>Sep 2006</t>
  </si>
  <si>
    <t>Oct 2005 - Sep 2006</t>
  </si>
  <si>
    <t>Source of Data: SFDW</t>
  </si>
  <si>
    <t xml:space="preserve"> ANN ARBOR, MI</t>
  </si>
  <si>
    <t xml:space="preserve"> PEORIA-PEKIN, IL</t>
  </si>
  <si>
    <t xml:space="preserve"> ANDERSON, SC</t>
  </si>
  <si>
    <t>Oct 2006</t>
  </si>
  <si>
    <t>Oct 2005</t>
  </si>
  <si>
    <t>(Data as of September 2006)</t>
  </si>
  <si>
    <t>Sep 2005</t>
  </si>
  <si>
    <t xml:space="preserve"> BENTON HARBOR, MI</t>
  </si>
  <si>
    <t xml:space="preserve"> CHICAGO, IL</t>
  </si>
  <si>
    <t xml:space="preserve"> KANKAKEE, IL</t>
  </si>
  <si>
    <t xml:space="preserve"> HICKORY-MORGANTON-LENOIR, NC</t>
  </si>
  <si>
    <t>Data as of Sep 2006</t>
  </si>
  <si>
    <t xml:space="preserve">Oct 2006 </t>
  </si>
  <si>
    <r>
      <t xml:space="preserve">                                       </t>
    </r>
    <r>
      <rPr>
        <vertAlign val="superscript"/>
        <sz val="10"/>
        <rFont val="Arial"/>
        <family val="2"/>
      </rPr>
      <t>2/</t>
    </r>
    <r>
      <rPr>
        <sz val="10"/>
        <rFont val="Arial"/>
        <family val="0"/>
      </rPr>
      <t xml:space="preserve">   The October Title I portfolio includes cases classified as Currently Not Collectible (13,160 totaling $212.93million).</t>
    </r>
  </si>
  <si>
    <t xml:space="preserve">Note: Dollars represent assignment amount for notes and acquisition cost for properties; Data for notes are from Oct 1-Oct 20 for current month and from Oct 1-Oct 20 for FYTD.  </t>
  </si>
  <si>
    <t xml:space="preserve">            Data for properties are from Oct 1-Oct 31 for current month and from Oct 1-Oct 31 for FYTD</t>
  </si>
  <si>
    <t xml:space="preserve">Oct 2005 </t>
  </si>
  <si>
    <t xml:space="preserve"> Sept 2006</t>
  </si>
  <si>
    <t xml:space="preserve">Oct 2004 - Sep 2005 </t>
  </si>
  <si>
    <t>FY 2006Total</t>
  </si>
  <si>
    <t>FY 2007 Annualized</t>
  </si>
  <si>
    <t>FY 2006 Total</t>
  </si>
  <si>
    <t>.</t>
  </si>
  <si>
    <t>FY 2006 Authority(a)</t>
  </si>
  <si>
    <t xml:space="preserve">   (a) Department is under continuing resolution status</t>
  </si>
  <si>
    <t xml:space="preserve">      September data: October data are not available until after October 31, 2006.</t>
  </si>
  <si>
    <t>FHA Portfolios Summary</t>
  </si>
  <si>
    <t>October 2006</t>
  </si>
  <si>
    <t xml:space="preserve">*       Data for applications are for August 20, 2006 - September 23 for current month; September 18, 2005 - September 23, 2006   </t>
  </si>
  <si>
    <t xml:space="preserve">         for current  FYTD, and September 19, 2004 - September 17, 2005 for prior FYTD. </t>
  </si>
</sst>
</file>

<file path=xl/styles.xml><?xml version="1.0" encoding="utf-8"?>
<styleSheet xmlns="http://schemas.openxmlformats.org/spreadsheetml/2006/main">
  <numFmts count="6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_(* #,##0.000_);_(* \(#,##0.000\);_(* &quot;-&quot;??_);_(@_)"/>
    <numFmt numFmtId="169" formatCode="0.0%"/>
    <numFmt numFmtId="170" formatCode="0_);\(0\)"/>
    <numFmt numFmtId="171" formatCode="&quot;$&quot;#,##0"/>
    <numFmt numFmtId="172" formatCode="&quot;$&quot;#,##0.0"/>
    <numFmt numFmtId="173" formatCode="&quot;$&quot;#,##0.0_);[Red]\(&quot;$&quot;#,##0.0\)"/>
    <numFmt numFmtId="174" formatCode="_(&quot;$&quot;* #,##0.000_);_(&quot;$&quot;* \(#,##0.000\);_(&quot;$&quot;* &quot;-&quot;??_);_(@_)"/>
    <numFmt numFmtId="175" formatCode="_(&quot;$&quot;* #,##0.0000_);_(&quot;$&quot;* \(#,##0.0000\);_(&quot;$&quot;* &quot;-&quot;??_);_(@_)"/>
    <numFmt numFmtId="176" formatCode="_(&quot;$&quot;* #,##0.00000_);_(&quot;$&quot;* \(#,##0.00000\);_(&quot;$&quot;* &quot;-&quot;??_);_(@_)"/>
    <numFmt numFmtId="177" formatCode="_(&quot;$&quot;* #,##0.000000_);_(&quot;$&quot;* \(#,##0.000000\);_(&quot;$&quot;* &quot;-&quot;??_);_(@_)"/>
    <numFmt numFmtId="178" formatCode="_(&quot;$&quot;* #,##0.0000000_);_(&quot;$&quot;* \(#,##0.0000000\);_(&quot;$&quot;* &quot;-&quot;??_);_(@_)"/>
    <numFmt numFmtId="179" formatCode="_(&quot;$&quot;* #,##0.00000000_);_(&quot;$&quot;* \(#,##0.00000000\);_(&quot;$&quot;* &quot;-&quot;??_);_(@_)"/>
    <numFmt numFmtId="180" formatCode="_(&quot;$&quot;* #,##0.000000000_);_(&quot;$&quot;* \(#,##0.000000000\);_(&quot;$&quot;* &quot;-&quot;??_);_(@_)"/>
    <numFmt numFmtId="181" formatCode="0.0"/>
    <numFmt numFmtId="182" formatCode="0.00000"/>
    <numFmt numFmtId="183" formatCode="0.0000"/>
    <numFmt numFmtId="184" formatCode="0.000"/>
    <numFmt numFmtId="185" formatCode="&quot;$&quot;#,##0.0_);\(&quot;$&quot;#,##0.0\)"/>
    <numFmt numFmtId="186" formatCode="0.00_);\(0.00\)"/>
    <numFmt numFmtId="187" formatCode="mmmm\ d\,\ yyyy"/>
    <numFmt numFmtId="188" formatCode="mmmm\-yy"/>
    <numFmt numFmtId="189" formatCode="#,##0.0_);\(#,##0.0\)"/>
    <numFmt numFmtId="190" formatCode="#,##0.0"/>
    <numFmt numFmtId="191" formatCode="_(* #,##0.000_);_(* \(#,##0.000\);_(* &quot;-&quot;???_);_(@_)"/>
    <numFmt numFmtId="192" formatCode="_(* #,##0.00_);_(* \(#,##0.00\);_(* &quot;-&quot;???_);_(@_)"/>
    <numFmt numFmtId="193" formatCode="_(* #,##0.0_);_(* \(#,##0.0\);_(* &quot;-&quot;???_);_(@_)"/>
    <numFmt numFmtId="194" formatCode="_(* #,##0_);_(* \(#,##0\);_(* &quot;-&quot;???_);_(@_)"/>
    <numFmt numFmtId="195" formatCode="&quot;$&quot;#,##0.000_);\(&quot;$&quot;#,##0.000\)"/>
    <numFmt numFmtId="196" formatCode="0.000%"/>
    <numFmt numFmtId="197" formatCode="&quot;$&quot;#,##0.00;\(&quot;$&quot;#,##0.00\)"/>
    <numFmt numFmtId="198" formatCode="#,##0.000"/>
    <numFmt numFmtId="199" formatCode="0.0,,"/>
    <numFmt numFmtId="200" formatCode="&quot;$&quot;0.0,,"/>
    <numFmt numFmtId="201" formatCode="_(&quot;$&quot;* #,##0.0_);_(&quot;$&quot;* \(#,##0.0\);_(&quot;$&quot;* &quot;-&quot;?_);_(@_)"/>
    <numFmt numFmtId="202" formatCode="\-"/>
    <numFmt numFmtId="203" formatCode="_(&quot;$&quot;* #,###_);_(&quot;$&quot;* \(#,###_);_(&quot;$&quot;* &quot;-&quot;??_);_(@_)"/>
    <numFmt numFmtId="204" formatCode="_(* #,##0.0_);_(* \(#,##0.0\);_(* &quot;-&quot;?_);_(@_)"/>
    <numFmt numFmtId="205" formatCode="&quot;$&quot;#,##0.000"/>
    <numFmt numFmtId="206" formatCode="&quot;$&quot;#,##0.00"/>
    <numFmt numFmtId="207" formatCode="00000"/>
    <numFmt numFmtId="208" formatCode="0.0000%"/>
    <numFmt numFmtId="209" formatCode="0.00000%"/>
    <numFmt numFmtId="210" formatCode="0.000000%"/>
    <numFmt numFmtId="211" formatCode="0.0000000%"/>
    <numFmt numFmtId="212" formatCode="0.00000000%"/>
    <numFmt numFmtId="213" formatCode="0.000000000%"/>
    <numFmt numFmtId="214" formatCode="0.0000000000%"/>
    <numFmt numFmtId="215" formatCode="dddd\,\ mmmm\ dd\,\ yyyy"/>
    <numFmt numFmtId="216" formatCode="mmmmm\-yy"/>
    <numFmt numFmtId="217" formatCode="m/yy"/>
    <numFmt numFmtId="218" formatCode="d\-mmm\-yyyy"/>
  </numFmts>
  <fonts count="3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b/>
      <i/>
      <sz val="18"/>
      <name val="Arial"/>
      <family val="2"/>
    </font>
    <font>
      <b/>
      <sz val="10"/>
      <name val="Courier"/>
      <family val="3"/>
    </font>
    <font>
      <sz val="10"/>
      <name val="Courier"/>
      <family val="3"/>
    </font>
    <font>
      <sz val="10"/>
      <color indexed="8"/>
      <name val="MS Sans Serif"/>
      <family val="0"/>
    </font>
    <font>
      <sz val="9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11"/>
      <name val="Arial"/>
      <family val="0"/>
    </font>
    <font>
      <b/>
      <i/>
      <sz val="12"/>
      <name val="Arial"/>
      <family val="2"/>
    </font>
    <font>
      <b/>
      <i/>
      <sz val="16"/>
      <name val="Arial"/>
      <family val="0"/>
    </font>
    <font>
      <i/>
      <sz val="11"/>
      <name val="Arial"/>
      <family val="0"/>
    </font>
    <font>
      <b/>
      <sz val="10"/>
      <color indexed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name val="Arial"/>
      <family val="2"/>
    </font>
    <font>
      <sz val="9"/>
      <name val="Helvetica"/>
      <family val="2"/>
    </font>
    <font>
      <i/>
      <sz val="9"/>
      <name val="Arial"/>
      <family val="2"/>
    </font>
    <font>
      <b/>
      <sz val="9"/>
      <color indexed="8"/>
      <name val="Arial"/>
      <family val="2"/>
    </font>
    <font>
      <sz val="10"/>
      <color indexed="10"/>
      <name val="Arial"/>
      <family val="0"/>
    </font>
    <font>
      <vertAlign val="superscript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9" fontId="0" fillId="0" borderId="0" applyFont="0" applyFill="0" applyBorder="0" applyAlignment="0" applyProtection="0"/>
  </cellStyleXfs>
  <cellXfs count="451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Alignment="1">
      <alignment horizontal="centerContinuous"/>
    </xf>
    <xf numFmtId="0" fontId="0" fillId="0" borderId="0" xfId="0" applyAlignment="1" quotePrefix="1">
      <alignment horizontal="left"/>
    </xf>
    <xf numFmtId="0" fontId="1" fillId="0" borderId="0" xfId="0" applyFont="1" applyAlignment="1" quotePrefix="1">
      <alignment horizontal="left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" xfId="0" applyFont="1" applyBorder="1" applyAlignment="1" quotePrefix="1">
      <alignment horizontal="center"/>
    </xf>
    <xf numFmtId="0" fontId="1" fillId="0" borderId="1" xfId="0" applyFont="1" applyBorder="1" applyAlignment="1">
      <alignment/>
    </xf>
    <xf numFmtId="165" fontId="0" fillId="0" borderId="0" xfId="0" applyNumberFormat="1" applyAlignment="1">
      <alignment/>
    </xf>
    <xf numFmtId="0" fontId="1" fillId="0" borderId="3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0" xfId="0" applyFont="1" applyBorder="1" applyAlignment="1" quotePrefix="1">
      <alignment horizontal="left"/>
    </xf>
    <xf numFmtId="0" fontId="0" fillId="0" borderId="0" xfId="0" applyBorder="1" applyAlignment="1" quotePrefix="1">
      <alignment horizontal="left"/>
    </xf>
    <xf numFmtId="0" fontId="7" fillId="0" borderId="0" xfId="0" applyFont="1" applyAlignment="1">
      <alignment/>
    </xf>
    <xf numFmtId="165" fontId="6" fillId="0" borderId="0" xfId="15" applyNumberFormat="1" applyFont="1" applyAlignment="1">
      <alignment/>
    </xf>
    <xf numFmtId="166" fontId="6" fillId="0" borderId="0" xfId="17" applyNumberFormat="1" applyFont="1" applyAlignment="1">
      <alignment/>
    </xf>
    <xf numFmtId="0" fontId="7" fillId="0" borderId="3" xfId="0" applyFont="1" applyBorder="1" applyAlignment="1">
      <alignment/>
    </xf>
    <xf numFmtId="9" fontId="6" fillId="0" borderId="0" xfId="17" applyNumberFormat="1" applyFont="1" applyAlignment="1">
      <alignment/>
    </xf>
    <xf numFmtId="0" fontId="1" fillId="0" borderId="4" xfId="0" applyFont="1" applyBorder="1" applyAlignment="1">
      <alignment horizontal="centerContinuous"/>
    </xf>
    <xf numFmtId="0" fontId="1" fillId="0" borderId="4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6" fillId="0" borderId="0" xfId="0" applyFont="1" applyAlignment="1">
      <alignment/>
    </xf>
    <xf numFmtId="165" fontId="0" fillId="0" borderId="0" xfId="15" applyNumberFormat="1" applyFont="1" applyAlignment="1">
      <alignment/>
    </xf>
    <xf numFmtId="166" fontId="0" fillId="0" borderId="0" xfId="17" applyNumberFormat="1" applyFont="1" applyAlignment="1">
      <alignment/>
    </xf>
    <xf numFmtId="0" fontId="1" fillId="0" borderId="0" xfId="0" applyFont="1" applyBorder="1" applyAlignment="1">
      <alignment/>
    </xf>
    <xf numFmtId="165" fontId="1" fillId="0" borderId="0" xfId="15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3" fontId="6" fillId="0" borderId="0" xfId="0" applyNumberFormat="1" applyFont="1" applyBorder="1" applyAlignment="1">
      <alignment/>
    </xf>
    <xf numFmtId="37" fontId="6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0" xfId="0" applyFont="1" applyBorder="1" applyAlignment="1">
      <alignment/>
    </xf>
    <xf numFmtId="165" fontId="0" fillId="0" borderId="0" xfId="15" applyNumberFormat="1" applyFont="1" applyAlignment="1">
      <alignment/>
    </xf>
    <xf numFmtId="166" fontId="0" fillId="0" borderId="0" xfId="17" applyNumberFormat="1" applyFont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9" fontId="0" fillId="0" borderId="0" xfId="17" applyNumberFormat="1" applyFont="1" applyAlignment="1">
      <alignment/>
    </xf>
    <xf numFmtId="165" fontId="0" fillId="0" borderId="0" xfId="0" applyNumberFormat="1" applyFont="1" applyAlignment="1">
      <alignment/>
    </xf>
    <xf numFmtId="9" fontId="0" fillId="0" borderId="0" xfId="25" applyFont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/>
    </xf>
    <xf numFmtId="165" fontId="10" fillId="0" borderId="0" xfId="15" applyNumberFormat="1" applyFont="1" applyFill="1" applyBorder="1" applyAlignment="1">
      <alignment wrapText="1"/>
    </xf>
    <xf numFmtId="9" fontId="0" fillId="0" borderId="0" xfId="25" applyNumberFormat="1" applyFont="1" applyAlignment="1">
      <alignment/>
    </xf>
    <xf numFmtId="164" fontId="0" fillId="0" borderId="0" xfId="0" applyNumberFormat="1" applyFont="1" applyAlignment="1">
      <alignment/>
    </xf>
    <xf numFmtId="165" fontId="0" fillId="0" borderId="4" xfId="15" applyNumberFormat="1" applyFont="1" applyBorder="1" applyAlignment="1">
      <alignment/>
    </xf>
    <xf numFmtId="185" fontId="0" fillId="0" borderId="0" xfId="0" applyNumberFormat="1" applyAlignment="1">
      <alignment/>
    </xf>
    <xf numFmtId="37" fontId="0" fillId="0" borderId="0" xfId="0" applyNumberFormat="1" applyAlignment="1">
      <alignment/>
    </xf>
    <xf numFmtId="169" fontId="1" fillId="0" borderId="0" xfId="0" applyNumberFormat="1" applyFont="1" applyAlignment="1">
      <alignment/>
    </xf>
    <xf numFmtId="185" fontId="1" fillId="0" borderId="7" xfId="0" applyNumberFormat="1" applyFont="1" applyBorder="1" applyAlignment="1">
      <alignment/>
    </xf>
    <xf numFmtId="37" fontId="1" fillId="0" borderId="2" xfId="0" applyNumberFormat="1" applyFont="1" applyBorder="1" applyAlignment="1">
      <alignment/>
    </xf>
    <xf numFmtId="37" fontId="1" fillId="0" borderId="8" xfId="0" applyNumberFormat="1" applyFont="1" applyBorder="1" applyAlignment="1">
      <alignment/>
    </xf>
    <xf numFmtId="169" fontId="0" fillId="0" borderId="0" xfId="0" applyNumberFormat="1" applyAlignment="1">
      <alignment/>
    </xf>
    <xf numFmtId="185" fontId="11" fillId="0" borderId="9" xfId="22" applyNumberFormat="1" applyFont="1" applyFill="1" applyBorder="1" applyAlignment="1">
      <alignment horizontal="right" wrapText="1"/>
      <protection/>
    </xf>
    <xf numFmtId="37" fontId="11" fillId="0" borderId="0" xfId="22" applyNumberFormat="1" applyFont="1" applyFill="1" applyBorder="1" applyAlignment="1">
      <alignment horizontal="right" wrapText="1"/>
      <protection/>
    </xf>
    <xf numFmtId="37" fontId="11" fillId="0" borderId="10" xfId="22" applyNumberFormat="1" applyFont="1" applyFill="1" applyBorder="1" applyAlignment="1">
      <alignment horizontal="right" wrapText="1"/>
      <protection/>
    </xf>
    <xf numFmtId="185" fontId="0" fillId="0" borderId="9" xfId="0" applyNumberFormat="1" applyBorder="1" applyAlignment="1">
      <alignment/>
    </xf>
    <xf numFmtId="37" fontId="0" fillId="0" borderId="0" xfId="0" applyNumberFormat="1" applyBorder="1" applyAlignment="1">
      <alignment/>
    </xf>
    <xf numFmtId="37" fontId="0" fillId="0" borderId="10" xfId="0" applyNumberFormat="1" applyBorder="1" applyAlignment="1">
      <alignment/>
    </xf>
    <xf numFmtId="0" fontId="12" fillId="0" borderId="8" xfId="0" applyFont="1" applyBorder="1" applyAlignment="1">
      <alignment/>
    </xf>
    <xf numFmtId="0" fontId="11" fillId="0" borderId="10" xfId="22" applyFont="1" applyFill="1" applyBorder="1" applyAlignment="1" quotePrefix="1">
      <alignment horizontal="left" wrapText="1"/>
      <protection/>
    </xf>
    <xf numFmtId="0" fontId="11" fillId="0" borderId="10" xfId="22" applyFont="1" applyFill="1" applyBorder="1" applyAlignment="1">
      <alignment horizontal="left" wrapText="1"/>
      <protection/>
    </xf>
    <xf numFmtId="0" fontId="12" fillId="0" borderId="11" xfId="0" applyFont="1" applyBorder="1" applyAlignment="1">
      <alignment horizontal="left"/>
    </xf>
    <xf numFmtId="0" fontId="9" fillId="0" borderId="0" xfId="0" applyFont="1" applyAlignment="1" quotePrefix="1">
      <alignment horizontal="left"/>
    </xf>
    <xf numFmtId="0" fontId="10" fillId="0" borderId="0" xfId="22" applyFont="1" applyFill="1" applyBorder="1" applyAlignment="1" quotePrefix="1">
      <alignment horizontal="left" wrapText="1"/>
      <protection/>
    </xf>
    <xf numFmtId="0" fontId="11" fillId="0" borderId="8" xfId="22" applyFont="1" applyFill="1" applyBorder="1" applyAlignment="1">
      <alignment horizontal="left" wrapText="1"/>
      <protection/>
    </xf>
    <xf numFmtId="0" fontId="11" fillId="0" borderId="11" xfId="22" applyFont="1" applyFill="1" applyBorder="1" applyAlignment="1" quotePrefix="1">
      <alignment horizontal="left" wrapText="1"/>
      <protection/>
    </xf>
    <xf numFmtId="37" fontId="0" fillId="0" borderId="2" xfId="0" applyNumberFormat="1" applyBorder="1" applyAlignment="1">
      <alignment/>
    </xf>
    <xf numFmtId="185" fontId="1" fillId="0" borderId="9" xfId="0" applyNumberFormat="1" applyFont="1" applyBorder="1" applyAlignment="1">
      <alignment/>
    </xf>
    <xf numFmtId="37" fontId="1" fillId="0" borderId="0" xfId="0" applyNumberFormat="1" applyFont="1" applyBorder="1" applyAlignment="1">
      <alignment/>
    </xf>
    <xf numFmtId="37" fontId="1" fillId="0" borderId="10" xfId="0" applyNumberFormat="1" applyFont="1" applyBorder="1" applyAlignment="1">
      <alignment/>
    </xf>
    <xf numFmtId="185" fontId="1" fillId="0" borderId="9" xfId="0" applyNumberFormat="1" applyFont="1" applyBorder="1" applyAlignment="1">
      <alignment horizontal="center"/>
    </xf>
    <xf numFmtId="37" fontId="1" fillId="0" borderId="0" xfId="0" applyNumberFormat="1" applyFont="1" applyBorder="1" applyAlignment="1">
      <alignment horizontal="center"/>
    </xf>
    <xf numFmtId="37" fontId="1" fillId="0" borderId="10" xfId="0" applyNumberFormat="1" applyFont="1" applyBorder="1" applyAlignment="1">
      <alignment horizontal="center"/>
    </xf>
    <xf numFmtId="185" fontId="1" fillId="0" borderId="12" xfId="0" applyNumberFormat="1" applyFont="1" applyBorder="1" applyAlignment="1">
      <alignment horizontal="center"/>
    </xf>
    <xf numFmtId="37" fontId="1" fillId="0" borderId="1" xfId="0" applyNumberFormat="1" applyFont="1" applyBorder="1" applyAlignment="1">
      <alignment horizontal="center"/>
    </xf>
    <xf numFmtId="37" fontId="1" fillId="0" borderId="13" xfId="0" applyNumberFormat="1" applyFont="1" applyBorder="1" applyAlignment="1">
      <alignment horizontal="center"/>
    </xf>
    <xf numFmtId="185" fontId="1" fillId="0" borderId="14" xfId="0" applyNumberFormat="1" applyFont="1" applyBorder="1" applyAlignment="1">
      <alignment horizontal="centerContinuous"/>
    </xf>
    <xf numFmtId="37" fontId="1" fillId="0" borderId="15" xfId="0" applyNumberFormat="1" applyFont="1" applyBorder="1" applyAlignment="1">
      <alignment horizontal="centerContinuous"/>
    </xf>
    <xf numFmtId="37" fontId="1" fillId="0" borderId="11" xfId="0" applyNumberFormat="1" applyFont="1" applyBorder="1" applyAlignment="1">
      <alignment horizontal="centerContinuous"/>
    </xf>
    <xf numFmtId="185" fontId="0" fillId="0" borderId="14" xfId="0" applyNumberFormat="1" applyBorder="1" applyAlignment="1">
      <alignment horizontal="centerContinuous"/>
    </xf>
    <xf numFmtId="37" fontId="0" fillId="0" borderId="15" xfId="0" applyNumberFormat="1" applyBorder="1" applyAlignment="1">
      <alignment horizontal="centerContinuous"/>
    </xf>
    <xf numFmtId="185" fontId="0" fillId="0" borderId="2" xfId="0" applyNumberFormat="1" applyBorder="1" applyAlignment="1">
      <alignment/>
    </xf>
    <xf numFmtId="185" fontId="1" fillId="0" borderId="0" xfId="0" applyNumberFormat="1" applyFont="1" applyAlignment="1">
      <alignment horizontal="centerContinuous"/>
    </xf>
    <xf numFmtId="37" fontId="1" fillId="0" borderId="0" xfId="0" applyNumberFormat="1" applyFont="1" applyAlignment="1">
      <alignment horizontal="centerContinuous"/>
    </xf>
    <xf numFmtId="174" fontId="1" fillId="0" borderId="7" xfId="17" applyNumberFormat="1" applyFont="1" applyBorder="1" applyAlignment="1">
      <alignment/>
    </xf>
    <xf numFmtId="0" fontId="1" fillId="0" borderId="16" xfId="0" applyFont="1" applyBorder="1" applyAlignment="1" quotePrefix="1">
      <alignment horizontal="left"/>
    </xf>
    <xf numFmtId="0" fontId="1" fillId="0" borderId="12" xfId="0" applyFont="1" applyBorder="1" applyAlignment="1">
      <alignment/>
    </xf>
    <xf numFmtId="174" fontId="1" fillId="0" borderId="12" xfId="17" applyNumberFormat="1" applyFont="1" applyBorder="1" applyAlignment="1">
      <alignment/>
    </xf>
    <xf numFmtId="0" fontId="1" fillId="0" borderId="17" xfId="21" applyFont="1" applyBorder="1" applyAlignment="1" quotePrefix="1">
      <alignment horizontal="left"/>
      <protection/>
    </xf>
    <xf numFmtId="0" fontId="0" fillId="0" borderId="18" xfId="21" applyFont="1" applyBorder="1" applyAlignment="1">
      <alignment horizontal="center"/>
      <protection/>
    </xf>
    <xf numFmtId="174" fontId="1" fillId="0" borderId="9" xfId="17" applyNumberFormat="1" applyFont="1" applyBorder="1" applyAlignment="1">
      <alignment/>
    </xf>
    <xf numFmtId="0" fontId="0" fillId="0" borderId="19" xfId="21" applyFont="1" applyBorder="1" applyAlignment="1">
      <alignment horizontal="center"/>
      <protection/>
    </xf>
    <xf numFmtId="0" fontId="0" fillId="0" borderId="0" xfId="0" applyAlignment="1">
      <alignment horizontal="center" wrapText="1"/>
    </xf>
    <xf numFmtId="0" fontId="0" fillId="0" borderId="20" xfId="0" applyBorder="1" applyAlignment="1" quotePrefix="1">
      <alignment horizontal="center" wrapText="1"/>
    </xf>
    <xf numFmtId="0" fontId="0" fillId="0" borderId="21" xfId="0" applyBorder="1" applyAlignment="1" quotePrefix="1">
      <alignment horizontal="center" wrapText="1"/>
    </xf>
    <xf numFmtId="0" fontId="13" fillId="0" borderId="17" xfId="0" applyFont="1" applyBorder="1" applyAlignment="1" quotePrefix="1">
      <alignment horizontal="center" wrapText="1"/>
    </xf>
    <xf numFmtId="0" fontId="14" fillId="0" borderId="0" xfId="0" applyFont="1" applyAlignment="1">
      <alignment horizontal="centerContinuous"/>
    </xf>
    <xf numFmtId="166" fontId="0" fillId="0" borderId="0" xfId="0" applyNumberFormat="1" applyFont="1" applyBorder="1" applyAlignment="1">
      <alignment/>
    </xf>
    <xf numFmtId="9" fontId="0" fillId="0" borderId="3" xfId="25" applyFont="1" applyBorder="1" applyAlignment="1">
      <alignment/>
    </xf>
    <xf numFmtId="165" fontId="0" fillId="0" borderId="0" xfId="15" applyNumberFormat="1" applyFont="1" applyBorder="1" applyAlignment="1">
      <alignment/>
    </xf>
    <xf numFmtId="185" fontId="0" fillId="0" borderId="0" xfId="0" applyNumberFormat="1" applyBorder="1" applyAlignment="1">
      <alignment horizontal="right" wrapText="1"/>
    </xf>
    <xf numFmtId="174" fontId="0" fillId="0" borderId="1" xfId="17" applyNumberFormat="1" applyFont="1" applyBorder="1" applyAlignment="1">
      <alignment/>
    </xf>
    <xf numFmtId="37" fontId="1" fillId="0" borderId="13" xfId="0" applyNumberFormat="1" applyFont="1" applyBorder="1" applyAlignment="1" quotePrefix="1">
      <alignment horizontal="center"/>
    </xf>
    <xf numFmtId="166" fontId="0" fillId="0" borderId="0" xfId="17" applyNumberFormat="1" applyAlignment="1">
      <alignment/>
    </xf>
    <xf numFmtId="3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1" fillId="0" borderId="3" xfId="0" applyFont="1" applyBorder="1" applyAlignment="1" quotePrefix="1">
      <alignment horizontal="left"/>
    </xf>
    <xf numFmtId="0" fontId="1" fillId="0" borderId="5" xfId="0" applyFont="1" applyBorder="1" applyAlignment="1" quotePrefix="1">
      <alignment horizontal="left"/>
    </xf>
    <xf numFmtId="0" fontId="1" fillId="0" borderId="13" xfId="0" applyFont="1" applyBorder="1" applyAlignment="1">
      <alignment/>
    </xf>
    <xf numFmtId="174" fontId="0" fillId="0" borderId="6" xfId="17" applyNumberFormat="1" applyFont="1" applyBorder="1" applyAlignment="1">
      <alignment/>
    </xf>
    <xf numFmtId="0" fontId="0" fillId="0" borderId="0" xfId="0" applyAlignment="1">
      <alignment horizontal="left"/>
    </xf>
    <xf numFmtId="17" fontId="1" fillId="0" borderId="0" xfId="0" applyNumberFormat="1" applyFont="1" applyAlignment="1" quotePrefix="1">
      <alignment horizontal="centerContinuous"/>
    </xf>
    <xf numFmtId="174" fontId="1" fillId="0" borderId="0" xfId="17" applyNumberFormat="1" applyFont="1" applyBorder="1" applyAlignment="1">
      <alignment/>
    </xf>
    <xf numFmtId="174" fontId="0" fillId="0" borderId="0" xfId="17" applyNumberFormat="1" applyFont="1" applyBorder="1" applyAlignment="1">
      <alignment/>
    </xf>
    <xf numFmtId="0" fontId="5" fillId="0" borderId="2" xfId="0" applyFont="1" applyBorder="1" applyAlignment="1">
      <alignment horizontal="centerContinuous"/>
    </xf>
    <xf numFmtId="0" fontId="15" fillId="0" borderId="2" xfId="0" applyFont="1" applyBorder="1" applyAlignment="1">
      <alignment horizontal="centerContinuous"/>
    </xf>
    <xf numFmtId="174" fontId="0" fillId="0" borderId="4" xfId="17" applyNumberFormat="1" applyFont="1" applyBorder="1" applyAlignment="1">
      <alignment/>
    </xf>
    <xf numFmtId="174" fontId="0" fillId="0" borderId="10" xfId="17" applyNumberFormat="1" applyFont="1" applyBorder="1" applyAlignment="1">
      <alignment horizontal="center"/>
    </xf>
    <xf numFmtId="174" fontId="0" fillId="0" borderId="13" xfId="17" applyNumberFormat="1" applyFont="1" applyBorder="1" applyAlignment="1">
      <alignment horizontal="center"/>
    </xf>
    <xf numFmtId="174" fontId="0" fillId="0" borderId="8" xfId="17" applyNumberFormat="1" applyFont="1" applyBorder="1" applyAlignment="1">
      <alignment horizontal="center"/>
    </xf>
    <xf numFmtId="174" fontId="0" fillId="0" borderId="22" xfId="17" applyNumberFormat="1" applyFont="1" applyBorder="1" applyAlignment="1">
      <alignment horizontal="center"/>
    </xf>
    <xf numFmtId="0" fontId="16" fillId="0" borderId="17" xfId="0" applyFont="1" applyBorder="1" applyAlignment="1" quotePrefix="1">
      <alignment horizontal="center" wrapText="1"/>
    </xf>
    <xf numFmtId="0" fontId="0" fillId="0" borderId="1" xfId="0" applyBorder="1" applyAlignment="1">
      <alignment horizontal="centerContinuous"/>
    </xf>
    <xf numFmtId="0" fontId="0" fillId="0" borderId="1" xfId="0" applyFont="1" applyBorder="1" applyAlignment="1">
      <alignment horizontal="center" wrapText="1"/>
    </xf>
    <xf numFmtId="0" fontId="17" fillId="0" borderId="0" xfId="0" applyFont="1" applyAlignment="1" quotePrefix="1">
      <alignment horizontal="left"/>
    </xf>
    <xf numFmtId="167" fontId="0" fillId="0" borderId="4" xfId="17" applyNumberFormat="1" applyBorder="1" applyAlignment="1">
      <alignment/>
    </xf>
    <xf numFmtId="174" fontId="0" fillId="0" borderId="0" xfId="17" applyNumberFormat="1" applyBorder="1" applyAlignment="1">
      <alignment/>
    </xf>
    <xf numFmtId="174" fontId="0" fillId="0" borderId="4" xfId="17" applyNumberFormat="1" applyBorder="1" applyAlignment="1">
      <alignment/>
    </xf>
    <xf numFmtId="2" fontId="0" fillId="0" borderId="0" xfId="0" applyNumberFormat="1" applyAlignment="1">
      <alignment/>
    </xf>
    <xf numFmtId="37" fontId="0" fillId="0" borderId="0" xfId="0" applyNumberFormat="1" applyFont="1" applyBorder="1" applyAlignment="1">
      <alignment/>
    </xf>
    <xf numFmtId="165" fontId="0" fillId="0" borderId="3" xfId="15" applyNumberFormat="1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166" fontId="0" fillId="0" borderId="0" xfId="17" applyNumberFormat="1" applyBorder="1" applyAlignment="1">
      <alignment horizontal="right"/>
    </xf>
    <xf numFmtId="0" fontId="1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right"/>
    </xf>
    <xf numFmtId="0" fontId="18" fillId="0" borderId="0" xfId="0" applyFont="1" applyAlignment="1" quotePrefix="1">
      <alignment horizontal="right"/>
    </xf>
    <xf numFmtId="3" fontId="18" fillId="0" borderId="0" xfId="0" applyNumberFormat="1" applyFont="1" applyAlignment="1">
      <alignment/>
    </xf>
    <xf numFmtId="166" fontId="18" fillId="0" borderId="0" xfId="17" applyNumberFormat="1" applyFont="1" applyAlignment="1">
      <alignment/>
    </xf>
    <xf numFmtId="169" fontId="18" fillId="0" borderId="0" xfId="25" applyNumberFormat="1" applyFont="1" applyAlignment="1">
      <alignment/>
    </xf>
    <xf numFmtId="0" fontId="19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 quotePrefix="1">
      <alignment horizontal="left"/>
    </xf>
    <xf numFmtId="174" fontId="0" fillId="0" borderId="0" xfId="17" applyNumberFormat="1" applyFont="1" applyBorder="1" applyAlignment="1" quotePrefix="1">
      <alignment horizontal="right"/>
    </xf>
    <xf numFmtId="3" fontId="18" fillId="0" borderId="0" xfId="0" applyNumberFormat="1" applyFont="1" applyAlignment="1" quotePrefix="1">
      <alignment horizontal="left"/>
    </xf>
    <xf numFmtId="166" fontId="18" fillId="0" borderId="0" xfId="17" applyNumberFormat="1" applyFont="1" applyAlignment="1" quotePrefix="1">
      <alignment horizontal="left"/>
    </xf>
    <xf numFmtId="169" fontId="18" fillId="0" borderId="0" xfId="25" applyNumberFormat="1" applyFont="1" applyAlignment="1" quotePrefix="1">
      <alignment horizontal="left"/>
    </xf>
    <xf numFmtId="174" fontId="0" fillId="0" borderId="0" xfId="17" applyNumberFormat="1" applyFont="1" applyBorder="1" applyAlignment="1">
      <alignment horizontal="center"/>
    </xf>
    <xf numFmtId="174" fontId="0" fillId="0" borderId="23" xfId="17" applyNumberFormat="1" applyFont="1" applyBorder="1" applyAlignment="1">
      <alignment horizontal="center"/>
    </xf>
    <xf numFmtId="174" fontId="0" fillId="0" borderId="24" xfId="17" applyNumberFormat="1" applyBorder="1" applyAlignment="1">
      <alignment horizontal="center"/>
    </xf>
    <xf numFmtId="174" fontId="0" fillId="0" borderId="21" xfId="17" applyNumberFormat="1" applyBorder="1" applyAlignment="1">
      <alignment horizontal="center"/>
    </xf>
    <xf numFmtId="174" fontId="0" fillId="0" borderId="1" xfId="17" applyNumberFormat="1" applyFont="1" applyBorder="1" applyAlignment="1">
      <alignment horizontal="center"/>
    </xf>
    <xf numFmtId="0" fontId="1" fillId="0" borderId="3" xfId="0" applyFont="1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3" fontId="18" fillId="0" borderId="0" xfId="0" applyNumberFormat="1" applyFont="1" applyAlignment="1" quotePrefix="1">
      <alignment horizontal="right"/>
    </xf>
    <xf numFmtId="169" fontId="18" fillId="0" borderId="0" xfId="25" applyNumberFormat="1" applyFont="1" applyAlignment="1" quotePrefix="1">
      <alignment horizontal="right"/>
    </xf>
    <xf numFmtId="0" fontId="21" fillId="0" borderId="25" xfId="0" applyFont="1" applyBorder="1" applyAlignment="1">
      <alignment/>
    </xf>
    <xf numFmtId="0" fontId="21" fillId="0" borderId="24" xfId="0" applyFont="1" applyBorder="1" applyAlignment="1">
      <alignment horizontal="centerContinuous"/>
    </xf>
    <xf numFmtId="0" fontId="21" fillId="0" borderId="21" xfId="0" applyFont="1" applyBorder="1" applyAlignment="1">
      <alignment horizontal="centerContinuous"/>
    </xf>
    <xf numFmtId="0" fontId="21" fillId="0" borderId="20" xfId="0" applyFont="1" applyBorder="1" applyAlignment="1">
      <alignment horizontal="centerContinuous"/>
    </xf>
    <xf numFmtId="0" fontId="21" fillId="0" borderId="19" xfId="0" applyFont="1" applyBorder="1" applyAlignment="1">
      <alignment/>
    </xf>
    <xf numFmtId="0" fontId="21" fillId="0" borderId="25" xfId="0" applyFont="1" applyBorder="1" applyAlignment="1">
      <alignment horizontal="center"/>
    </xf>
    <xf numFmtId="0" fontId="21" fillId="2" borderId="17" xfId="0" applyFont="1" applyFill="1" applyBorder="1" applyAlignment="1">
      <alignment/>
    </xf>
    <xf numFmtId="166" fontId="0" fillId="0" borderId="0" xfId="17" applyNumberFormat="1" applyFont="1" applyBorder="1" applyAlignment="1">
      <alignment/>
    </xf>
    <xf numFmtId="44" fontId="0" fillId="0" borderId="0" xfId="17" applyAlignment="1">
      <alignment/>
    </xf>
    <xf numFmtId="166" fontId="18" fillId="0" borderId="0" xfId="17" applyNumberFormat="1" applyFont="1" applyAlignment="1" quotePrefix="1">
      <alignment horizontal="right"/>
    </xf>
    <xf numFmtId="37" fontId="1" fillId="0" borderId="8" xfId="0" applyNumberFormat="1" applyFont="1" applyBorder="1" applyAlignment="1">
      <alignment horizontal="center"/>
    </xf>
    <xf numFmtId="37" fontId="1" fillId="0" borderId="2" xfId="0" applyNumberFormat="1" applyFont="1" applyBorder="1" applyAlignment="1">
      <alignment horizontal="center"/>
    </xf>
    <xf numFmtId="185" fontId="1" fillId="0" borderId="7" xfId="0" applyNumberFormat="1" applyFont="1" applyBorder="1" applyAlignment="1">
      <alignment horizontal="center"/>
    </xf>
    <xf numFmtId="0" fontId="12" fillId="0" borderId="10" xfId="0" applyFont="1" applyBorder="1" applyAlignment="1">
      <alignment horizontal="left"/>
    </xf>
    <xf numFmtId="0" fontId="12" fillId="0" borderId="8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166" fontId="0" fillId="0" borderId="4" xfId="17" applyNumberFormat="1" applyFont="1" applyBorder="1" applyAlignment="1">
      <alignment/>
    </xf>
    <xf numFmtId="0" fontId="20" fillId="0" borderId="0" xfId="0" applyFont="1" applyBorder="1" applyAlignment="1">
      <alignment horizontal="centerContinuous"/>
    </xf>
    <xf numFmtId="0" fontId="24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19" xfId="0" applyFont="1" applyBorder="1" applyAlignment="1">
      <alignment horizontal="center"/>
    </xf>
    <xf numFmtId="0" fontId="21" fillId="2" borderId="17" xfId="0" applyFont="1" applyFill="1" applyBorder="1" applyAlignment="1">
      <alignment horizontal="center"/>
    </xf>
    <xf numFmtId="0" fontId="21" fillId="2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41" fontId="0" fillId="0" borderId="0" xfId="15" applyNumberFormat="1" applyFont="1" applyBorder="1" applyAlignment="1">
      <alignment/>
    </xf>
    <xf numFmtId="174" fontId="0" fillId="0" borderId="6" xfId="17" applyNumberFormat="1" applyBorder="1" applyAlignment="1">
      <alignment/>
    </xf>
    <xf numFmtId="44" fontId="18" fillId="0" borderId="0" xfId="17" applyNumberFormat="1" applyFont="1" applyAlignment="1">
      <alignment/>
    </xf>
    <xf numFmtId="174" fontId="0" fillId="0" borderId="0" xfId="17" applyNumberFormat="1" applyFont="1" applyBorder="1" applyAlignment="1" quotePrefix="1">
      <alignment horizontal="center"/>
    </xf>
    <xf numFmtId="0" fontId="0" fillId="0" borderId="0" xfId="0" applyFont="1" applyAlignment="1" quotePrefix="1">
      <alignment/>
    </xf>
    <xf numFmtId="44" fontId="25" fillId="0" borderId="0" xfId="0" applyNumberFormat="1" applyFont="1" applyBorder="1" applyAlignment="1">
      <alignment/>
    </xf>
    <xf numFmtId="37" fontId="1" fillId="0" borderId="10" xfId="0" applyNumberFormat="1" applyFont="1" applyBorder="1" applyAlignment="1" quotePrefix="1">
      <alignment horizontal="centerContinuous"/>
    </xf>
    <xf numFmtId="185" fontId="1" fillId="0" borderId="9" xfId="0" applyNumberFormat="1" applyFont="1" applyBorder="1" applyAlignment="1">
      <alignment horizontal="centerContinuous"/>
    </xf>
    <xf numFmtId="37" fontId="0" fillId="0" borderId="0" xfId="0" applyNumberFormat="1" applyBorder="1" applyAlignment="1">
      <alignment horizontal="centerContinuous"/>
    </xf>
    <xf numFmtId="17" fontId="1" fillId="0" borderId="0" xfId="0" applyNumberFormat="1" applyFont="1" applyBorder="1" applyAlignment="1" quotePrefix="1">
      <alignment horizontal="centerContinuous"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9" fontId="1" fillId="0" borderId="0" xfId="15" applyNumberFormat="1" applyFont="1" applyAlignment="1">
      <alignment/>
    </xf>
    <xf numFmtId="9" fontId="6" fillId="0" borderId="0" xfId="15" applyNumberFormat="1" applyFont="1" applyAlignment="1">
      <alignment/>
    </xf>
    <xf numFmtId="0" fontId="0" fillId="0" borderId="0" xfId="0" applyFont="1" applyAlignment="1">
      <alignment horizontal="left"/>
    </xf>
    <xf numFmtId="201" fontId="25" fillId="0" borderId="0" xfId="0" applyNumberFormat="1" applyFont="1" applyBorder="1" applyAlignment="1">
      <alignment/>
    </xf>
    <xf numFmtId="44" fontId="18" fillId="0" borderId="0" xfId="17" applyNumberFormat="1" applyFont="1" applyAlignment="1" quotePrefix="1">
      <alignment horizontal="right"/>
    </xf>
    <xf numFmtId="174" fontId="1" fillId="0" borderId="26" xfId="17" applyNumberFormat="1" applyFont="1" applyBorder="1" applyAlignment="1">
      <alignment/>
    </xf>
    <xf numFmtId="43" fontId="0" fillId="0" borderId="0" xfId="15" applyAlignment="1">
      <alignment/>
    </xf>
    <xf numFmtId="174" fontId="0" fillId="0" borderId="1" xfId="17" applyNumberForma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174" fontId="0" fillId="0" borderId="0" xfId="17" applyNumberFormat="1" applyFont="1" applyAlignment="1">
      <alignment/>
    </xf>
    <xf numFmtId="174" fontId="0" fillId="0" borderId="27" xfId="17" applyNumberFormat="1" applyBorder="1" applyAlignment="1">
      <alignment/>
    </xf>
    <xf numFmtId="174" fontId="0" fillId="0" borderId="28" xfId="17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165" fontId="0" fillId="0" borderId="0" xfId="15" applyNumberFormat="1" applyFont="1" applyFill="1" applyBorder="1" applyAlignment="1">
      <alignment/>
    </xf>
    <xf numFmtId="37" fontId="1" fillId="0" borderId="0" xfId="0" applyNumberFormat="1" applyFont="1" applyBorder="1" applyAlignment="1" quotePrefix="1">
      <alignment horizontal="centerContinuous"/>
    </xf>
    <xf numFmtId="185" fontId="0" fillId="0" borderId="9" xfId="0" applyNumberFormat="1" applyBorder="1" applyAlignment="1">
      <alignment horizontal="centerContinuous"/>
    </xf>
    <xf numFmtId="174" fontId="0" fillId="0" borderId="0" xfId="17" applyNumberFormat="1" applyAlignment="1">
      <alignment/>
    </xf>
    <xf numFmtId="165" fontId="0" fillId="0" borderId="0" xfId="15" applyNumberFormat="1" applyFont="1" applyBorder="1" applyAlignment="1">
      <alignment/>
    </xf>
    <xf numFmtId="174" fontId="0" fillId="0" borderId="23" xfId="17" applyNumberFormat="1" applyFont="1" applyBorder="1" applyAlignment="1">
      <alignment/>
    </xf>
    <xf numFmtId="0" fontId="0" fillId="0" borderId="3" xfId="21" applyFont="1" applyBorder="1" applyAlignment="1">
      <alignment horizontal="center"/>
      <protection/>
    </xf>
    <xf numFmtId="0" fontId="0" fillId="0" borderId="29" xfId="21" applyFont="1" applyBorder="1" applyAlignment="1">
      <alignment horizontal="center"/>
      <protection/>
    </xf>
    <xf numFmtId="37" fontId="1" fillId="0" borderId="0" xfId="0" applyNumberFormat="1" applyFont="1" applyBorder="1" applyAlignment="1">
      <alignment horizontal="centerContinuous"/>
    </xf>
    <xf numFmtId="0" fontId="2" fillId="0" borderId="0" xfId="0" applyFont="1" applyAlignment="1">
      <alignment horizontal="left"/>
    </xf>
    <xf numFmtId="0" fontId="0" fillId="0" borderId="16" xfId="0" applyBorder="1" applyAlignment="1" quotePrefix="1">
      <alignment horizontal="left"/>
    </xf>
    <xf numFmtId="9" fontId="0" fillId="0" borderId="0" xfId="25" applyFont="1" applyBorder="1" applyAlignment="1">
      <alignment/>
    </xf>
    <xf numFmtId="0" fontId="2" fillId="0" borderId="3" xfId="0" applyFont="1" applyBorder="1" applyAlignment="1">
      <alignment/>
    </xf>
    <xf numFmtId="165" fontId="26" fillId="0" borderId="0" xfId="15" applyNumberFormat="1" applyFont="1" applyBorder="1" applyAlignment="1">
      <alignment/>
    </xf>
    <xf numFmtId="166" fontId="26" fillId="0" borderId="0" xfId="17" applyNumberFormat="1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3" xfId="0" applyFont="1" applyBorder="1" applyAlignment="1">
      <alignment/>
    </xf>
    <xf numFmtId="0" fontId="2" fillId="0" borderId="5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 quotePrefix="1">
      <alignment horizontal="left"/>
    </xf>
    <xf numFmtId="0" fontId="0" fillId="0" borderId="5" xfId="0" applyBorder="1" applyAlignment="1" quotePrefix="1">
      <alignment horizontal="left"/>
    </xf>
    <xf numFmtId="0" fontId="9" fillId="0" borderId="6" xfId="0" applyFont="1" applyBorder="1" applyAlignment="1">
      <alignment/>
    </xf>
    <xf numFmtId="0" fontId="9" fillId="0" borderId="1" xfId="0" applyFont="1" applyBorder="1" applyAlignment="1">
      <alignment/>
    </xf>
    <xf numFmtId="0" fontId="0" fillId="0" borderId="6" xfId="0" applyFont="1" applyBorder="1" applyAlignment="1">
      <alignment/>
    </xf>
    <xf numFmtId="0" fontId="2" fillId="0" borderId="1" xfId="0" applyFont="1" applyBorder="1" applyAlignment="1">
      <alignment/>
    </xf>
    <xf numFmtId="0" fontId="0" fillId="0" borderId="16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169" fontId="0" fillId="0" borderId="0" xfId="25" applyNumberFormat="1" applyFont="1" applyAlignment="1">
      <alignment/>
    </xf>
    <xf numFmtId="0" fontId="1" fillId="0" borderId="30" xfId="0" applyFont="1" applyBorder="1" applyAlignment="1">
      <alignment horizontal="center" wrapText="1"/>
    </xf>
    <xf numFmtId="0" fontId="15" fillId="0" borderId="0" xfId="0" applyFont="1" applyBorder="1" applyAlignment="1">
      <alignment horizontal="centerContinuous"/>
    </xf>
    <xf numFmtId="0" fontId="13" fillId="0" borderId="30" xfId="0" applyFont="1" applyBorder="1" applyAlignment="1" quotePrefix="1">
      <alignment horizontal="center" wrapText="1"/>
    </xf>
    <xf numFmtId="174" fontId="1" fillId="0" borderId="25" xfId="17" applyNumberFormat="1" applyFont="1" applyBorder="1" applyAlignment="1">
      <alignment/>
    </xf>
    <xf numFmtId="174" fontId="1" fillId="0" borderId="19" xfId="17" applyNumberFormat="1" applyFont="1" applyBorder="1" applyAlignment="1">
      <alignment/>
    </xf>
    <xf numFmtId="0" fontId="0" fillId="0" borderId="0" xfId="0" applyAlignment="1" quotePrefix="1">
      <alignment horizontal="centerContinuous"/>
    </xf>
    <xf numFmtId="37" fontId="12" fillId="0" borderId="11" xfId="0" applyNumberFormat="1" applyFont="1" applyBorder="1" applyAlignment="1">
      <alignment/>
    </xf>
    <xf numFmtId="37" fontId="12" fillId="0" borderId="15" xfId="0" applyNumberFormat="1" applyFont="1" applyBorder="1" applyAlignment="1">
      <alignment horizontal="right"/>
    </xf>
    <xf numFmtId="185" fontId="12" fillId="0" borderId="14" xfId="0" applyNumberFormat="1" applyFont="1" applyBorder="1" applyAlignment="1">
      <alignment/>
    </xf>
    <xf numFmtId="185" fontId="12" fillId="0" borderId="15" xfId="0" applyNumberFormat="1" applyFont="1" applyBorder="1" applyAlignment="1">
      <alignment/>
    </xf>
    <xf numFmtId="169" fontId="12" fillId="0" borderId="31" xfId="0" applyNumberFormat="1" applyFont="1" applyBorder="1" applyAlignment="1">
      <alignment horizontal="right"/>
    </xf>
    <xf numFmtId="37" fontId="12" fillId="0" borderId="10" xfId="0" applyNumberFormat="1" applyFont="1" applyBorder="1" applyAlignment="1">
      <alignment/>
    </xf>
    <xf numFmtId="37" fontId="12" fillId="0" borderId="0" xfId="0" applyNumberFormat="1" applyFont="1" applyBorder="1" applyAlignment="1">
      <alignment/>
    </xf>
    <xf numFmtId="185" fontId="12" fillId="0" borderId="9" xfId="0" applyNumberFormat="1" applyFont="1" applyBorder="1" applyAlignment="1">
      <alignment/>
    </xf>
    <xf numFmtId="185" fontId="12" fillId="0" borderId="0" xfId="0" applyNumberFormat="1" applyFont="1" applyBorder="1" applyAlignment="1">
      <alignment/>
    </xf>
    <xf numFmtId="169" fontId="12" fillId="0" borderId="32" xfId="0" applyNumberFormat="1" applyFont="1" applyBorder="1" applyAlignment="1">
      <alignment horizontal="right"/>
    </xf>
    <xf numFmtId="37" fontId="12" fillId="0" borderId="8" xfId="0" applyNumberFormat="1" applyFont="1" applyBorder="1" applyAlignment="1">
      <alignment/>
    </xf>
    <xf numFmtId="37" fontId="12" fillId="0" borderId="2" xfId="0" applyNumberFormat="1" applyFont="1" applyBorder="1" applyAlignment="1">
      <alignment/>
    </xf>
    <xf numFmtId="185" fontId="12" fillId="0" borderId="7" xfId="0" applyNumberFormat="1" applyFont="1" applyBorder="1" applyAlignment="1">
      <alignment/>
    </xf>
    <xf numFmtId="185" fontId="12" fillId="0" borderId="2" xfId="0" applyNumberFormat="1" applyFont="1" applyBorder="1" applyAlignment="1">
      <alignment/>
    </xf>
    <xf numFmtId="169" fontId="12" fillId="0" borderId="33" xfId="0" applyNumberFormat="1" applyFont="1" applyBorder="1" applyAlignment="1">
      <alignment/>
    </xf>
    <xf numFmtId="169" fontId="0" fillId="0" borderId="0" xfId="0" applyNumberFormat="1" applyBorder="1" applyAlignment="1">
      <alignment/>
    </xf>
    <xf numFmtId="169" fontId="1" fillId="0" borderId="0" xfId="0" applyNumberFormat="1" applyFont="1" applyAlignment="1">
      <alignment horizontal="center"/>
    </xf>
    <xf numFmtId="37" fontId="0" fillId="0" borderId="8" xfId="0" applyNumberFormat="1" applyBorder="1" applyAlignment="1">
      <alignment/>
    </xf>
    <xf numFmtId="185" fontId="0" fillId="0" borderId="7" xfId="0" applyNumberFormat="1" applyBorder="1" applyAlignment="1">
      <alignment/>
    </xf>
    <xf numFmtId="37" fontId="12" fillId="0" borderId="15" xfId="0" applyNumberFormat="1" applyFont="1" applyBorder="1" applyAlignment="1">
      <alignment/>
    </xf>
    <xf numFmtId="169" fontId="0" fillId="0" borderId="31" xfId="0" applyNumberFormat="1" applyBorder="1" applyAlignment="1">
      <alignment/>
    </xf>
    <xf numFmtId="169" fontId="0" fillId="0" borderId="32" xfId="0" applyNumberFormat="1" applyBorder="1" applyAlignment="1">
      <alignment/>
    </xf>
    <xf numFmtId="37" fontId="12" fillId="0" borderId="0" xfId="0" applyNumberFormat="1" applyFont="1" applyBorder="1" applyAlignment="1">
      <alignment horizontal="right"/>
    </xf>
    <xf numFmtId="169" fontId="0" fillId="0" borderId="33" xfId="0" applyNumberFormat="1" applyBorder="1" applyAlignment="1">
      <alignment/>
    </xf>
    <xf numFmtId="185" fontId="0" fillId="0" borderId="0" xfId="0" applyNumberFormat="1" applyBorder="1" applyAlignment="1">
      <alignment/>
    </xf>
    <xf numFmtId="37" fontId="0" fillId="0" borderId="11" xfId="0" applyNumberFormat="1" applyBorder="1" applyAlignment="1">
      <alignment/>
    </xf>
    <xf numFmtId="37" fontId="0" fillId="0" borderId="15" xfId="0" applyNumberFormat="1" applyBorder="1" applyAlignment="1">
      <alignment/>
    </xf>
    <xf numFmtId="185" fontId="0" fillId="0" borderId="14" xfId="0" applyNumberFormat="1" applyBorder="1" applyAlignment="1">
      <alignment/>
    </xf>
    <xf numFmtId="165" fontId="9" fillId="0" borderId="34" xfId="15" applyNumberFormat="1" applyFont="1" applyBorder="1" applyAlignment="1">
      <alignment/>
    </xf>
    <xf numFmtId="166" fontId="9" fillId="0" borderId="34" xfId="17" applyNumberFormat="1" applyFont="1" applyBorder="1" applyAlignment="1">
      <alignment/>
    </xf>
    <xf numFmtId="0" fontId="0" fillId="0" borderId="34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28" xfId="0" applyFont="1" applyBorder="1" applyAlignment="1">
      <alignment/>
    </xf>
    <xf numFmtId="165" fontId="9" fillId="0" borderId="0" xfId="15" applyNumberFormat="1" applyFont="1" applyBorder="1" applyAlignment="1">
      <alignment/>
    </xf>
    <xf numFmtId="166" fontId="9" fillId="0" borderId="0" xfId="17" applyNumberFormat="1" applyFont="1" applyBorder="1" applyAlignment="1">
      <alignment/>
    </xf>
    <xf numFmtId="165" fontId="26" fillId="0" borderId="1" xfId="15" applyNumberFormat="1" applyFont="1" applyBorder="1" applyAlignment="1">
      <alignment/>
    </xf>
    <xf numFmtId="166" fontId="26" fillId="0" borderId="1" xfId="17" applyNumberFormat="1" applyFont="1" applyBorder="1" applyAlignment="1">
      <alignment/>
    </xf>
    <xf numFmtId="0" fontId="26" fillId="0" borderId="1" xfId="0" applyFont="1" applyBorder="1" applyAlignment="1">
      <alignment/>
    </xf>
    <xf numFmtId="0" fontId="26" fillId="0" borderId="5" xfId="0" applyFont="1" applyBorder="1" applyAlignment="1">
      <alignment/>
    </xf>
    <xf numFmtId="0" fontId="0" fillId="0" borderId="1" xfId="0" applyFont="1" applyBorder="1" applyAlignment="1">
      <alignment/>
    </xf>
    <xf numFmtId="165" fontId="9" fillId="0" borderId="1" xfId="15" applyNumberFormat="1" applyFont="1" applyBorder="1" applyAlignment="1">
      <alignment/>
    </xf>
    <xf numFmtId="166" fontId="9" fillId="0" borderId="1" xfId="17" applyNumberFormat="1" applyFont="1" applyBorder="1" applyAlignment="1">
      <alignment/>
    </xf>
    <xf numFmtId="166" fontId="9" fillId="0" borderId="1" xfId="17" applyNumberFormat="1" applyFont="1" applyBorder="1" applyAlignment="1">
      <alignment horizontal="right"/>
    </xf>
    <xf numFmtId="166" fontId="9" fillId="0" borderId="1" xfId="17" applyNumberFormat="1" applyFont="1" applyBorder="1" applyAlignment="1">
      <alignment/>
    </xf>
    <xf numFmtId="165" fontId="26" fillId="0" borderId="0" xfId="0" applyNumberFormat="1" applyFont="1" applyBorder="1" applyAlignment="1">
      <alignment/>
    </xf>
    <xf numFmtId="165" fontId="26" fillId="0" borderId="3" xfId="0" applyNumberFormat="1" applyFont="1" applyBorder="1" applyAlignment="1">
      <alignment/>
    </xf>
    <xf numFmtId="165" fontId="0" fillId="0" borderId="0" xfId="0" applyNumberFormat="1" applyFont="1" applyBorder="1" applyAlignment="1">
      <alignment/>
    </xf>
    <xf numFmtId="165" fontId="0" fillId="0" borderId="3" xfId="0" applyNumberFormat="1" applyFont="1" applyBorder="1" applyAlignment="1">
      <alignment/>
    </xf>
    <xf numFmtId="165" fontId="0" fillId="0" borderId="0" xfId="15" applyNumberFormat="1" applyFont="1" applyAlignment="1">
      <alignment horizontal="right"/>
    </xf>
    <xf numFmtId="165" fontId="0" fillId="0" borderId="0" xfId="15" applyNumberFormat="1" applyAlignment="1">
      <alignment/>
    </xf>
    <xf numFmtId="10" fontId="0" fillId="0" borderId="0" xfId="15" applyNumberFormat="1" applyFont="1" applyAlignment="1">
      <alignment/>
    </xf>
    <xf numFmtId="9" fontId="0" fillId="0" borderId="0" xfId="0" applyNumberFormat="1" applyFont="1" applyBorder="1" applyAlignment="1">
      <alignment/>
    </xf>
    <xf numFmtId="9" fontId="0" fillId="0" borderId="3" xfId="0" applyNumberFormat="1" applyFont="1" applyBorder="1" applyAlignment="1">
      <alignment/>
    </xf>
    <xf numFmtId="9" fontId="0" fillId="0" borderId="0" xfId="0" applyNumberFormat="1" applyFont="1" applyAlignment="1">
      <alignment/>
    </xf>
    <xf numFmtId="164" fontId="0" fillId="0" borderId="0" xfId="15" applyNumberFormat="1" applyFont="1" applyAlignment="1">
      <alignment/>
    </xf>
    <xf numFmtId="3" fontId="0" fillId="0" borderId="0" xfId="0" applyNumberFormat="1" applyBorder="1" applyAlignment="1">
      <alignment/>
    </xf>
    <xf numFmtId="0" fontId="27" fillId="2" borderId="17" xfId="24" applyFont="1" applyFill="1" applyBorder="1" applyAlignment="1">
      <alignment horizontal="center"/>
      <protection/>
    </xf>
    <xf numFmtId="0" fontId="27" fillId="2" borderId="5" xfId="24" applyFont="1" applyFill="1" applyBorder="1" applyAlignment="1">
      <alignment horizontal="center"/>
      <protection/>
    </xf>
    <xf numFmtId="0" fontId="27" fillId="2" borderId="1" xfId="24" applyFont="1" applyFill="1" applyBorder="1" applyAlignment="1">
      <alignment horizontal="center"/>
      <protection/>
    </xf>
    <xf numFmtId="0" fontId="27" fillId="2" borderId="6" xfId="24" applyFont="1" applyFill="1" applyBorder="1" applyAlignment="1">
      <alignment horizontal="center"/>
      <protection/>
    </xf>
    <xf numFmtId="0" fontId="27" fillId="2" borderId="5" xfId="23" applyFont="1" applyFill="1" applyBorder="1" applyAlignment="1">
      <alignment horizontal="center"/>
      <protection/>
    </xf>
    <xf numFmtId="0" fontId="27" fillId="2" borderId="1" xfId="23" applyFont="1" applyFill="1" applyBorder="1" applyAlignment="1">
      <alignment horizontal="center"/>
      <protection/>
    </xf>
    <xf numFmtId="0" fontId="27" fillId="2" borderId="6" xfId="23" applyFont="1" applyFill="1" applyBorder="1" applyAlignment="1">
      <alignment horizontal="center"/>
      <protection/>
    </xf>
    <xf numFmtId="0" fontId="27" fillId="2" borderId="17" xfId="23" applyFont="1" applyFill="1" applyBorder="1" applyAlignment="1">
      <alignment horizontal="center"/>
      <protection/>
    </xf>
    <xf numFmtId="17" fontId="27" fillId="2" borderId="17" xfId="24" applyNumberFormat="1" applyFont="1" applyFill="1" applyBorder="1" applyAlignment="1" quotePrefix="1">
      <alignment horizontal="right"/>
      <protection/>
    </xf>
    <xf numFmtId="0" fontId="27" fillId="2" borderId="17" xfId="23" applyFont="1" applyFill="1" applyBorder="1" applyAlignment="1" quotePrefix="1">
      <alignment horizontal="right"/>
      <protection/>
    </xf>
    <xf numFmtId="0" fontId="0" fillId="0" borderId="0" xfId="0" applyBorder="1" applyAlignment="1">
      <alignment horizontal="centerContinuous"/>
    </xf>
    <xf numFmtId="174" fontId="0" fillId="0" borderId="29" xfId="17" applyNumberFormat="1" applyBorder="1" applyAlignment="1">
      <alignment/>
    </xf>
    <xf numFmtId="174" fontId="1" fillId="0" borderId="18" xfId="17" applyNumberFormat="1" applyFont="1" applyBorder="1" applyAlignment="1">
      <alignment/>
    </xf>
    <xf numFmtId="174" fontId="0" fillId="0" borderId="23" xfId="17" applyNumberFormat="1" applyBorder="1" applyAlignment="1">
      <alignment/>
    </xf>
    <xf numFmtId="174" fontId="0" fillId="0" borderId="27" xfId="17" applyNumberFormat="1" applyFont="1" applyBorder="1" applyAlignment="1">
      <alignment/>
    </xf>
    <xf numFmtId="174" fontId="1" fillId="0" borderId="13" xfId="17" applyNumberFormat="1" applyFont="1" applyBorder="1" applyAlignment="1">
      <alignment/>
    </xf>
    <xf numFmtId="0" fontId="1" fillId="0" borderId="35" xfId="0" applyFont="1" applyBorder="1" applyAlignment="1">
      <alignment/>
    </xf>
    <xf numFmtId="167" fontId="0" fillId="0" borderId="0" xfId="17" applyNumberFormat="1" applyBorder="1" applyAlignment="1">
      <alignment/>
    </xf>
    <xf numFmtId="174" fontId="1" fillId="0" borderId="10" xfId="17" applyNumberFormat="1" applyFont="1" applyBorder="1" applyAlignment="1">
      <alignment/>
    </xf>
    <xf numFmtId="174" fontId="1" fillId="0" borderId="36" xfId="17" applyNumberFormat="1" applyFont="1" applyBorder="1" applyAlignment="1">
      <alignment/>
    </xf>
    <xf numFmtId="174" fontId="0" fillId="0" borderId="34" xfId="17" applyNumberFormat="1" applyBorder="1" applyAlignment="1">
      <alignment/>
    </xf>
    <xf numFmtId="174" fontId="0" fillId="0" borderId="28" xfId="17" applyNumberFormat="1" applyBorder="1" applyAlignment="1">
      <alignment/>
    </xf>
    <xf numFmtId="0" fontId="0" fillId="0" borderId="2" xfId="0" applyBorder="1" applyAlignment="1">
      <alignment horizontal="centerContinuous"/>
    </xf>
    <xf numFmtId="0" fontId="1" fillId="0" borderId="37" xfId="0" applyFont="1" applyBorder="1" applyAlignment="1">
      <alignment horizontal="center" wrapText="1"/>
    </xf>
    <xf numFmtId="0" fontId="1" fillId="0" borderId="38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2" fillId="0" borderId="35" xfId="0" applyFont="1" applyBorder="1" applyAlignment="1">
      <alignment horizontal="center" wrapText="1"/>
    </xf>
    <xf numFmtId="0" fontId="2" fillId="0" borderId="39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21" xfId="0" applyFont="1" applyBorder="1" applyAlignment="1" quotePrefix="1">
      <alignment horizontal="center" wrapText="1"/>
    </xf>
    <xf numFmtId="0" fontId="2" fillId="0" borderId="20" xfId="0" applyFont="1" applyBorder="1" applyAlignment="1">
      <alignment horizontal="center" wrapText="1"/>
    </xf>
    <xf numFmtId="174" fontId="0" fillId="0" borderId="40" xfId="17" applyNumberFormat="1" applyFont="1" applyBorder="1" applyAlignment="1">
      <alignment/>
    </xf>
    <xf numFmtId="165" fontId="0" fillId="0" borderId="0" xfId="15" applyNumberFormat="1" applyFont="1" applyAlignment="1">
      <alignment horizontal="center"/>
    </xf>
    <xf numFmtId="37" fontId="0" fillId="0" borderId="0" xfId="0" applyNumberFormat="1" applyFont="1" applyBorder="1" applyAlignment="1">
      <alignment horizontal="right"/>
    </xf>
    <xf numFmtId="166" fontId="0" fillId="0" borderId="0" xfId="17" applyNumberFormat="1" applyBorder="1" applyAlignment="1" quotePrefix="1">
      <alignment horizontal="right"/>
    </xf>
    <xf numFmtId="3" fontId="0" fillId="0" borderId="0" xfId="0" applyNumberFormat="1" applyFont="1" applyBorder="1" applyAlignment="1">
      <alignment/>
    </xf>
    <xf numFmtId="166" fontId="0" fillId="0" borderId="0" xfId="17" applyNumberFormat="1" applyBorder="1" applyAlignment="1">
      <alignment/>
    </xf>
    <xf numFmtId="3" fontId="0" fillId="0" borderId="0" xfId="0" applyNumberFormat="1" applyFont="1" applyBorder="1" applyAlignment="1" quotePrefix="1">
      <alignment horizontal="right"/>
    </xf>
    <xf numFmtId="165" fontId="0" fillId="0" borderId="0" xfId="15" applyNumberFormat="1" applyFont="1" applyBorder="1" applyAlignment="1">
      <alignment horizontal="right"/>
    </xf>
    <xf numFmtId="166" fontId="0" fillId="0" borderId="0" xfId="17" applyNumberFormat="1" applyFont="1" applyBorder="1" applyAlignment="1">
      <alignment horizontal="right"/>
    </xf>
    <xf numFmtId="0" fontId="4" fillId="0" borderId="0" xfId="0" applyNumberFormat="1" applyFont="1" applyFill="1" applyBorder="1" applyAlignment="1" applyProtection="1">
      <alignment horizontal="centerContinuous"/>
      <protection locked="0"/>
    </xf>
    <xf numFmtId="0" fontId="5" fillId="0" borderId="0" xfId="0" applyNumberFormat="1" applyFont="1" applyFill="1" applyBorder="1" applyAlignment="1" applyProtection="1">
      <alignment horizontal="centerContinuous"/>
      <protection locked="0"/>
    </xf>
    <xf numFmtId="0" fontId="14" fillId="0" borderId="0" xfId="0" applyNumberFormat="1" applyFont="1" applyFill="1" applyBorder="1" applyAlignment="1" applyProtection="1">
      <alignment horizontal="centerContinuous"/>
      <protection locked="0"/>
    </xf>
    <xf numFmtId="0" fontId="28" fillId="0" borderId="0" xfId="0" applyNumberFormat="1" applyFont="1" applyFill="1" applyBorder="1" applyAlignment="1" applyProtection="1">
      <alignment/>
      <protection locked="0"/>
    </xf>
    <xf numFmtId="0" fontId="0" fillId="0" borderId="0" xfId="0" applyAlignment="1">
      <alignment horizontal="right"/>
    </xf>
    <xf numFmtId="0" fontId="1" fillId="0" borderId="0" xfId="0" applyNumberFormat="1" applyFont="1" applyFill="1" applyBorder="1" applyAlignment="1" applyProtection="1">
      <alignment/>
      <protection locked="0"/>
    </xf>
    <xf numFmtId="1" fontId="1" fillId="0" borderId="0" xfId="0" applyNumberFormat="1" applyFont="1" applyFill="1" applyBorder="1" applyAlignment="1" applyProtection="1">
      <alignment/>
      <protection locked="0"/>
    </xf>
    <xf numFmtId="0" fontId="21" fillId="0" borderId="3" xfId="0" applyFont="1" applyBorder="1" applyAlignment="1">
      <alignment/>
    </xf>
    <xf numFmtId="165" fontId="9" fillId="0" borderId="1" xfId="15" applyNumberFormat="1" applyFont="1" applyBorder="1" applyAlignment="1">
      <alignment/>
    </xf>
    <xf numFmtId="174" fontId="0" fillId="0" borderId="0" xfId="17" applyNumberFormat="1" applyBorder="1" applyAlignment="1">
      <alignment/>
    </xf>
    <xf numFmtId="0" fontId="0" fillId="0" borderId="41" xfId="0" applyBorder="1" applyAlignment="1">
      <alignment horizontal="centerContinuous"/>
    </xf>
    <xf numFmtId="0" fontId="0" fillId="0" borderId="21" xfId="0" applyFont="1" applyBorder="1" applyAlignment="1">
      <alignment horizontal="center" wrapText="1"/>
    </xf>
    <xf numFmtId="174" fontId="1" fillId="0" borderId="42" xfId="17" applyNumberFormat="1" applyFont="1" applyBorder="1" applyAlignment="1">
      <alignment horizontal="right"/>
    </xf>
    <xf numFmtId="174" fontId="1" fillId="0" borderId="43" xfId="17" applyNumberFormat="1" applyFont="1" applyBorder="1" applyAlignment="1">
      <alignment horizontal="right"/>
    </xf>
    <xf numFmtId="174" fontId="1" fillId="0" borderId="3" xfId="17" applyNumberFormat="1" applyFont="1" applyBorder="1" applyAlignment="1">
      <alignment horizontal="right"/>
    </xf>
    <xf numFmtId="174" fontId="1" fillId="0" borderId="3" xfId="17" applyNumberFormat="1" applyFont="1" applyBorder="1" applyAlignment="1">
      <alignment horizontal="right"/>
    </xf>
    <xf numFmtId="174" fontId="1" fillId="0" borderId="3" xfId="17" applyNumberFormat="1" applyFont="1" applyBorder="1" applyAlignment="1">
      <alignment/>
    </xf>
    <xf numFmtId="174" fontId="1" fillId="0" borderId="29" xfId="17" applyNumberFormat="1" applyFont="1" applyBorder="1" applyAlignment="1">
      <alignment/>
    </xf>
    <xf numFmtId="0" fontId="0" fillId="0" borderId="0" xfId="0" applyNumberFormat="1" applyFont="1" applyFill="1" applyBorder="1" applyAlignment="1" applyProtection="1">
      <alignment horizontal="centerContinuous"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Continuous"/>
      <protection locked="0"/>
    </xf>
    <xf numFmtId="0" fontId="1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0" fillId="0" borderId="2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0" fillId="0" borderId="3" xfId="0" applyNumberFormat="1" applyFont="1" applyFill="1" applyBorder="1" applyAlignment="1" applyProtection="1">
      <alignment/>
      <protection locked="0"/>
    </xf>
    <xf numFmtId="187" fontId="1" fillId="0" borderId="0" xfId="0" applyNumberFormat="1" applyFont="1" applyFill="1" applyBorder="1" applyAlignment="1" applyProtection="1">
      <alignment horizontal="centerContinuous"/>
      <protection locked="0"/>
    </xf>
    <xf numFmtId="217" fontId="1" fillId="0" borderId="0" xfId="0" applyNumberFormat="1" applyFont="1" applyFill="1" applyBorder="1" applyAlignment="1" applyProtection="1">
      <alignment/>
      <protection locked="0"/>
    </xf>
    <xf numFmtId="181" fontId="1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right"/>
      <protection locked="0"/>
    </xf>
    <xf numFmtId="0" fontId="1" fillId="0" borderId="3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horizontal="left"/>
      <protection locked="0"/>
    </xf>
    <xf numFmtId="1" fontId="1" fillId="0" borderId="0" xfId="0" applyNumberFormat="1" applyFont="1" applyFill="1" applyBorder="1" applyAlignment="1" applyProtection="1">
      <alignment/>
      <protection locked="0"/>
    </xf>
    <xf numFmtId="217" fontId="1" fillId="0" borderId="0" xfId="0" applyNumberFormat="1" applyFont="1" applyFill="1" applyBorder="1" applyAlignment="1" applyProtection="1">
      <alignment horizontal="right"/>
      <protection locked="0"/>
    </xf>
    <xf numFmtId="0" fontId="0" fillId="0" borderId="1" xfId="0" applyNumberFormat="1" applyFont="1" applyFill="1" applyBorder="1" applyAlignment="1" applyProtection="1">
      <alignment/>
      <protection locked="0"/>
    </xf>
    <xf numFmtId="0" fontId="1" fillId="0" borderId="1" xfId="0" applyNumberFormat="1" applyFont="1" applyFill="1" applyBorder="1" applyAlignment="1" applyProtection="1">
      <alignment horizontal="center"/>
      <protection locked="0"/>
    </xf>
    <xf numFmtId="0" fontId="1" fillId="0" borderId="6" xfId="0" applyNumberFormat="1" applyFont="1" applyFill="1" applyBorder="1" applyAlignment="1" applyProtection="1">
      <alignment horizontal="center"/>
      <protection locked="0"/>
    </xf>
    <xf numFmtId="0" fontId="1" fillId="0" borderId="5" xfId="0" applyNumberFormat="1" applyFont="1" applyFill="1" applyBorder="1" applyAlignment="1" applyProtection="1">
      <alignment horizontal="center"/>
      <protection locked="0"/>
    </xf>
    <xf numFmtId="0" fontId="0" fillId="0" borderId="5" xfId="0" applyNumberFormat="1" applyFont="1" applyFill="1" applyBorder="1" applyAlignment="1" applyProtection="1">
      <alignment/>
      <protection locked="0"/>
    </xf>
    <xf numFmtId="0" fontId="1" fillId="0" borderId="1" xfId="0" applyNumberFormat="1" applyFont="1" applyFill="1" applyBorder="1" applyAlignment="1" applyProtection="1">
      <alignment/>
      <protection locked="0"/>
    </xf>
    <xf numFmtId="3" fontId="0" fillId="0" borderId="0" xfId="0" applyNumberFormat="1" applyFont="1" applyFill="1" applyBorder="1" applyAlignment="1" applyProtection="1">
      <alignment/>
      <protection locked="0"/>
    </xf>
    <xf numFmtId="9" fontId="0" fillId="0" borderId="0" xfId="0" applyNumberFormat="1" applyFont="1" applyFill="1" applyBorder="1" applyAlignment="1" applyProtection="1">
      <alignment horizontal="center"/>
      <protection locked="0"/>
    </xf>
    <xf numFmtId="9" fontId="0" fillId="0" borderId="3" xfId="0" applyNumberFormat="1" applyFont="1" applyFill="1" applyBorder="1" applyAlignment="1" applyProtection="1">
      <alignment horizontal="center"/>
      <protection locked="0"/>
    </xf>
    <xf numFmtId="169" fontId="0" fillId="0" borderId="0" xfId="0" applyNumberFormat="1" applyFont="1" applyFill="1" applyBorder="1" applyAlignment="1" applyProtection="1">
      <alignment horizontal="center"/>
      <protection locked="0"/>
    </xf>
    <xf numFmtId="181" fontId="0" fillId="0" borderId="0" xfId="0" applyNumberFormat="1" applyFont="1" applyFill="1" applyBorder="1" applyAlignment="1" applyProtection="1">
      <alignment/>
      <protection locked="0"/>
    </xf>
    <xf numFmtId="0" fontId="13" fillId="0" borderId="0" xfId="0" applyNumberFormat="1" applyFont="1" applyFill="1" applyBorder="1" applyAlignment="1" applyProtection="1">
      <alignment horizontal="left"/>
      <protection locked="0"/>
    </xf>
    <xf numFmtId="9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3" fontId="1" fillId="0" borderId="0" xfId="0" applyNumberFormat="1" applyFont="1" applyFill="1" applyBorder="1" applyAlignment="1" applyProtection="1">
      <alignment/>
      <protection locked="0"/>
    </xf>
    <xf numFmtId="190" fontId="1" fillId="0" borderId="0" xfId="0" applyNumberFormat="1" applyFont="1" applyFill="1" applyBorder="1" applyAlignment="1" applyProtection="1">
      <alignment/>
      <protection locked="0"/>
    </xf>
    <xf numFmtId="0" fontId="1" fillId="0" borderId="1" xfId="0" applyNumberFormat="1" applyFont="1" applyFill="1" applyBorder="1" applyAlignment="1" applyProtection="1">
      <alignment horizontal="left"/>
      <protection locked="0"/>
    </xf>
    <xf numFmtId="1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 horizontal="right"/>
      <protection locked="0"/>
    </xf>
    <xf numFmtId="185" fontId="0" fillId="0" borderId="0" xfId="0" applyNumberFormat="1" applyFont="1" applyFill="1" applyBorder="1" applyAlignment="1" applyProtection="1">
      <alignment/>
      <protection locked="0"/>
    </xf>
    <xf numFmtId="185" fontId="0" fillId="0" borderId="0" xfId="0" applyNumberFormat="1" applyFont="1" applyFill="1" applyBorder="1" applyAlignment="1" applyProtection="1">
      <alignment horizontal="right"/>
      <protection locked="0"/>
    </xf>
    <xf numFmtId="5" fontId="0" fillId="0" borderId="0" xfId="0" applyNumberFormat="1" applyFont="1" applyFill="1" applyBorder="1" applyAlignment="1" applyProtection="1">
      <alignment/>
      <protection locked="0"/>
    </xf>
    <xf numFmtId="9" fontId="0" fillId="0" borderId="3" xfId="0" applyNumberFormat="1" applyFont="1" applyFill="1" applyBorder="1" applyAlignment="1" applyProtection="1">
      <alignment/>
      <protection locked="0"/>
    </xf>
    <xf numFmtId="0" fontId="21" fillId="0" borderId="16" xfId="0" applyFont="1" applyBorder="1" applyAlignment="1">
      <alignment horizontal="centerContinuous"/>
    </xf>
    <xf numFmtId="0" fontId="21" fillId="0" borderId="34" xfId="0" applyFont="1" applyBorder="1" applyAlignment="1">
      <alignment horizontal="centerContinuous"/>
    </xf>
    <xf numFmtId="0" fontId="21" fillId="0" borderId="28" xfId="0" applyFont="1" applyBorder="1" applyAlignment="1">
      <alignment horizontal="centerContinuous"/>
    </xf>
    <xf numFmtId="169" fontId="0" fillId="0" borderId="0" xfId="0" applyNumberFormat="1" applyAlignment="1">
      <alignment horizontal="center"/>
    </xf>
    <xf numFmtId="169" fontId="0" fillId="0" borderId="0" xfId="0" applyNumberFormat="1" applyFont="1" applyAlignment="1">
      <alignment horizontal="center"/>
    </xf>
    <xf numFmtId="169" fontId="0" fillId="0" borderId="32" xfId="0" applyNumberFormat="1" applyBorder="1" applyAlignment="1">
      <alignment horizontal="right"/>
    </xf>
    <xf numFmtId="169" fontId="0" fillId="0" borderId="33" xfId="0" applyNumberFormat="1" applyBorder="1" applyAlignment="1">
      <alignment horizontal="right"/>
    </xf>
    <xf numFmtId="174" fontId="0" fillId="0" borderId="28" xfId="17" applyNumberFormat="1" applyBorder="1" applyAlignment="1">
      <alignment/>
    </xf>
    <xf numFmtId="0" fontId="0" fillId="0" borderId="42" xfId="0" applyFont="1" applyBorder="1" applyAlignment="1">
      <alignment/>
    </xf>
    <xf numFmtId="9" fontId="0" fillId="0" borderId="0" xfId="0" applyNumberFormat="1" applyFont="1" applyBorder="1" applyAlignment="1">
      <alignment/>
    </xf>
    <xf numFmtId="0" fontId="0" fillId="0" borderId="43" xfId="0" applyFont="1" applyBorder="1" applyAlignment="1">
      <alignment/>
    </xf>
    <xf numFmtId="41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165" fontId="0" fillId="0" borderId="0" xfId="15" applyNumberFormat="1" applyFont="1" applyBorder="1" applyAlignment="1">
      <alignment/>
    </xf>
    <xf numFmtId="3" fontId="0" fillId="0" borderId="0" xfId="15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18" fillId="0" borderId="0" xfId="0" applyFont="1" applyAlignment="1">
      <alignment horizontal="center"/>
    </xf>
    <xf numFmtId="17" fontId="18" fillId="0" borderId="0" xfId="0" applyNumberFormat="1" applyFont="1" applyAlignment="1" quotePrefix="1">
      <alignment horizontal="center"/>
    </xf>
    <xf numFmtId="17" fontId="18" fillId="0" borderId="0" xfId="0" applyNumberFormat="1" applyFont="1" applyAlignment="1">
      <alignment horizontal="center"/>
    </xf>
    <xf numFmtId="37" fontId="1" fillId="0" borderId="10" xfId="0" applyNumberFormat="1" applyFont="1" applyBorder="1" applyAlignment="1" quotePrefix="1">
      <alignment horizontal="center"/>
    </xf>
    <xf numFmtId="37" fontId="1" fillId="0" borderId="0" xfId="0" applyNumberFormat="1" applyFont="1" applyBorder="1" applyAlignment="1">
      <alignment horizontal="center"/>
    </xf>
    <xf numFmtId="37" fontId="1" fillId="0" borderId="9" xfId="0" applyNumberFormat="1" applyFont="1" applyBorder="1" applyAlignment="1">
      <alignment horizontal="center"/>
    </xf>
    <xf numFmtId="17" fontId="1" fillId="0" borderId="0" xfId="0" applyNumberFormat="1" applyFont="1" applyAlignment="1" quotePrefix="1">
      <alignment horizontal="center"/>
    </xf>
    <xf numFmtId="0" fontId="1" fillId="0" borderId="1" xfId="0" applyFont="1" applyBorder="1" applyAlignment="1" quotePrefix="1">
      <alignment horizontal="center"/>
    </xf>
    <xf numFmtId="0" fontId="1" fillId="0" borderId="6" xfId="0" applyFont="1" applyBorder="1" applyAlignment="1" quotePrefix="1">
      <alignment horizontal="center"/>
    </xf>
    <xf numFmtId="0" fontId="1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17" fontId="1" fillId="0" borderId="0" xfId="0" applyNumberFormat="1" applyFont="1" applyBorder="1" applyAlignment="1" quotePrefix="1">
      <alignment horizontal="center"/>
    </xf>
    <xf numFmtId="17" fontId="1" fillId="0" borderId="4" xfId="0" applyNumberFormat="1" applyFont="1" applyBorder="1" applyAlignment="1" quotePrefix="1">
      <alignment horizontal="center"/>
    </xf>
    <xf numFmtId="17" fontId="27" fillId="2" borderId="3" xfId="24" applyNumberFormat="1" applyFont="1" applyFill="1" applyBorder="1" applyAlignment="1" quotePrefix="1">
      <alignment horizontal="center"/>
      <protection/>
    </xf>
    <xf numFmtId="17" fontId="27" fillId="2" borderId="0" xfId="24" applyNumberFormat="1" applyFont="1" applyFill="1" applyBorder="1" applyAlignment="1" quotePrefix="1">
      <alignment horizontal="center"/>
      <protection/>
    </xf>
    <xf numFmtId="17" fontId="27" fillId="2" borderId="4" xfId="24" applyNumberFormat="1" applyFont="1" applyFill="1" applyBorder="1" applyAlignment="1" quotePrefix="1">
      <alignment horizontal="center"/>
      <protection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OMMITMENT ACTIVITY" xfId="21"/>
    <cellStyle name="Normal_February 1999" xfId="22"/>
    <cellStyle name="Normal_Sheet2" xfId="23"/>
    <cellStyle name="Normal_Sheet3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M32"/>
  <sheetViews>
    <sheetView tabSelected="1" zoomScale="50" zoomScaleNormal="50" workbookViewId="0" topLeftCell="A1">
      <selection activeCell="A1" sqref="A1:H1"/>
    </sheetView>
  </sheetViews>
  <sheetFormatPr defaultColWidth="9.140625" defaultRowHeight="12.75"/>
  <cols>
    <col min="1" max="1" width="52.57421875" style="0" customWidth="1"/>
    <col min="2" max="2" width="6.00390625" style="0" customWidth="1"/>
    <col min="3" max="3" width="15.8515625" style="0" customWidth="1"/>
    <col min="4" max="4" width="10.00390625" style="0" customWidth="1"/>
    <col min="5" max="5" width="18.8515625" style="0" customWidth="1"/>
    <col min="6" max="6" width="7.00390625" style="0" customWidth="1"/>
    <col min="7" max="7" width="14.8515625" style="0" customWidth="1"/>
    <col min="10" max="10" width="12.28125" style="0" customWidth="1"/>
    <col min="12" max="12" width="20.00390625" style="0" customWidth="1"/>
  </cols>
  <sheetData>
    <row r="1" spans="1:8" ht="18">
      <c r="A1" s="434" t="s">
        <v>15</v>
      </c>
      <c r="B1" s="434"/>
      <c r="C1" s="434"/>
      <c r="D1" s="434"/>
      <c r="E1" s="434"/>
      <c r="F1" s="434"/>
      <c r="G1" s="434"/>
      <c r="H1" s="434"/>
    </row>
    <row r="2" spans="1:8" ht="18">
      <c r="A2" s="434" t="s">
        <v>311</v>
      </c>
      <c r="B2" s="434"/>
      <c r="C2" s="434"/>
      <c r="D2" s="434"/>
      <c r="E2" s="434"/>
      <c r="F2" s="434"/>
      <c r="G2" s="434"/>
      <c r="H2" s="434"/>
    </row>
    <row r="3" spans="1:8" ht="18">
      <c r="A3" s="435" t="s">
        <v>312</v>
      </c>
      <c r="B3" s="436"/>
      <c r="C3" s="436"/>
      <c r="D3" s="436"/>
      <c r="E3" s="436"/>
      <c r="F3" s="436"/>
      <c r="G3" s="436"/>
      <c r="H3" s="436"/>
    </row>
    <row r="4" spans="1:8" ht="12.75" customHeight="1" thickBot="1">
      <c r="A4" s="8" t="s">
        <v>40</v>
      </c>
      <c r="B4" s="8"/>
      <c r="C4" s="8"/>
      <c r="D4" s="8"/>
      <c r="E4" s="8"/>
      <c r="F4" s="8"/>
      <c r="G4" s="8"/>
      <c r="H4" s="8"/>
    </row>
    <row r="5" spans="1:8" ht="12.75">
      <c r="A5" s="9"/>
      <c r="B5" s="9"/>
      <c r="C5" s="9"/>
      <c r="D5" s="9"/>
      <c r="E5" s="9"/>
      <c r="F5" s="9"/>
      <c r="G5" s="9"/>
      <c r="H5" s="9"/>
    </row>
    <row r="6" spans="1:7" ht="18">
      <c r="A6" s="150" t="s">
        <v>76</v>
      </c>
      <c r="B6" s="150"/>
      <c r="C6" s="151"/>
      <c r="D6" s="151"/>
      <c r="E6" s="152" t="s">
        <v>0</v>
      </c>
      <c r="F6" s="151"/>
      <c r="G6" s="157" t="s">
        <v>1</v>
      </c>
    </row>
    <row r="7" spans="1:7" ht="18">
      <c r="A7" s="158" t="s">
        <v>2</v>
      </c>
      <c r="B7" s="157"/>
      <c r="C7" s="151" t="s">
        <v>3</v>
      </c>
      <c r="D7" s="151"/>
      <c r="E7" s="151" t="s">
        <v>4</v>
      </c>
      <c r="F7" s="151"/>
      <c r="G7" s="157" t="s">
        <v>5</v>
      </c>
    </row>
    <row r="8" spans="1:7" ht="18">
      <c r="A8" s="150"/>
      <c r="B8" s="150"/>
      <c r="C8" s="150"/>
      <c r="D8" s="150"/>
      <c r="E8" s="150"/>
      <c r="F8" s="150"/>
      <c r="G8" s="150"/>
    </row>
    <row r="9" spans="1:7" ht="18">
      <c r="A9" s="150"/>
      <c r="B9" s="150"/>
      <c r="C9" s="150"/>
      <c r="D9" s="150"/>
      <c r="E9" s="150"/>
      <c r="F9" s="150"/>
      <c r="G9" s="150"/>
    </row>
    <row r="10" spans="1:7" ht="18">
      <c r="A10" s="150" t="s">
        <v>6</v>
      </c>
      <c r="B10" s="150"/>
      <c r="C10" s="153">
        <v>3877353</v>
      </c>
      <c r="D10" s="150"/>
      <c r="E10" s="154">
        <v>338.28092848716994</v>
      </c>
      <c r="F10" s="150"/>
      <c r="G10" s="155">
        <v>-0.07543254228849315</v>
      </c>
    </row>
    <row r="11" spans="1:7" ht="18">
      <c r="A11" s="150"/>
      <c r="B11" s="150"/>
      <c r="C11" s="150"/>
      <c r="D11" s="150"/>
      <c r="E11" s="154"/>
      <c r="F11" s="150"/>
      <c r="G11" s="150"/>
    </row>
    <row r="12" spans="1:13" ht="18">
      <c r="A12" s="150" t="s">
        <v>7</v>
      </c>
      <c r="B12" s="150"/>
      <c r="C12" s="170">
        <v>12330</v>
      </c>
      <c r="D12" s="151"/>
      <c r="E12" s="181">
        <v>56.2530316</v>
      </c>
      <c r="F12" s="151"/>
      <c r="G12" s="155">
        <v>-0.00246554175882806</v>
      </c>
      <c r="I12" s="160"/>
      <c r="J12" s="150"/>
      <c r="K12" s="161"/>
      <c r="L12" s="150"/>
      <c r="M12" s="162"/>
    </row>
    <row r="13" spans="1:7" ht="18">
      <c r="A13" s="150"/>
      <c r="B13" s="150"/>
      <c r="C13" s="150"/>
      <c r="D13" s="150"/>
      <c r="E13" s="154"/>
      <c r="F13" s="150"/>
      <c r="G13" s="150"/>
    </row>
    <row r="14" spans="1:7" ht="18">
      <c r="A14" s="150" t="s">
        <v>8</v>
      </c>
      <c r="B14" s="150"/>
      <c r="C14" s="153">
        <v>29408</v>
      </c>
      <c r="D14" s="150"/>
      <c r="E14" s="154">
        <v>0.43003753859</v>
      </c>
      <c r="F14" s="150"/>
      <c r="G14" s="155">
        <v>-0.24377700061715696</v>
      </c>
    </row>
    <row r="15" spans="1:7" ht="18">
      <c r="A15" s="150"/>
      <c r="B15" s="150"/>
      <c r="C15" s="150"/>
      <c r="D15" s="150"/>
      <c r="E15" s="154"/>
      <c r="F15" s="150"/>
      <c r="G15" s="150"/>
    </row>
    <row r="16" spans="1:7" ht="18">
      <c r="A16" s="150" t="s">
        <v>9</v>
      </c>
      <c r="B16" s="150"/>
      <c r="C16" s="153">
        <v>24410</v>
      </c>
      <c r="D16" s="150"/>
      <c r="E16" s="154">
        <v>0.7181124839899999</v>
      </c>
      <c r="F16" s="150"/>
      <c r="G16" s="155">
        <v>-0.12443057498475556</v>
      </c>
    </row>
    <row r="17" spans="1:7" ht="18">
      <c r="A17" s="150"/>
      <c r="B17" s="150"/>
      <c r="C17" s="150"/>
      <c r="D17" s="150"/>
      <c r="E17" s="154"/>
      <c r="F17" s="150"/>
      <c r="G17" s="150"/>
    </row>
    <row r="18" spans="1:7" ht="18">
      <c r="A18" s="150" t="s">
        <v>10</v>
      </c>
      <c r="B18" s="150"/>
      <c r="C18" s="153">
        <v>291</v>
      </c>
      <c r="D18" s="150"/>
      <c r="E18" s="201">
        <v>0.01016663893</v>
      </c>
      <c r="F18" s="150"/>
      <c r="G18" s="155">
        <v>-0.090625</v>
      </c>
    </row>
    <row r="19" spans="1:7" ht="18">
      <c r="A19" s="150"/>
      <c r="B19" s="150"/>
      <c r="C19" s="150"/>
      <c r="D19" s="150"/>
      <c r="E19" s="154"/>
      <c r="F19" s="150"/>
      <c r="G19" s="150"/>
    </row>
    <row r="20" spans="1:13" ht="18">
      <c r="A20" s="150" t="s">
        <v>11</v>
      </c>
      <c r="B20" s="150"/>
      <c r="C20" s="170">
        <v>2988</v>
      </c>
      <c r="D20" s="151"/>
      <c r="E20" s="181">
        <v>3.7446262000000003</v>
      </c>
      <c r="F20" s="151"/>
      <c r="G20" s="171">
        <v>-0.011194240113397801</v>
      </c>
      <c r="I20" s="160"/>
      <c r="J20" s="150"/>
      <c r="K20" s="161"/>
      <c r="L20" s="150"/>
      <c r="M20" s="162"/>
    </row>
    <row r="21" spans="1:7" ht="18">
      <c r="A21" s="150"/>
      <c r="B21" s="150"/>
      <c r="C21" s="150"/>
      <c r="D21" s="150"/>
      <c r="E21" s="154"/>
      <c r="F21" s="150"/>
      <c r="G21" s="150"/>
    </row>
    <row r="22" spans="1:7" ht="18">
      <c r="A22" s="150" t="s">
        <v>187</v>
      </c>
      <c r="B22" s="150"/>
      <c r="C22" s="153">
        <v>2826</v>
      </c>
      <c r="D22" s="150"/>
      <c r="E22" s="154">
        <v>0.2958</v>
      </c>
      <c r="F22" s="150"/>
      <c r="G22" s="155">
        <v>-0.4832693362589139</v>
      </c>
    </row>
    <row r="23" spans="1:7" ht="18">
      <c r="A23" s="150"/>
      <c r="B23" s="150"/>
      <c r="C23" s="150"/>
      <c r="D23" s="150"/>
      <c r="E23" s="154"/>
      <c r="F23" s="150"/>
      <c r="G23" s="150"/>
    </row>
    <row r="24" spans="1:7" ht="18">
      <c r="A24" s="150" t="s">
        <v>12</v>
      </c>
      <c r="B24" s="150"/>
      <c r="C24" s="153">
        <v>22440</v>
      </c>
      <c r="D24" s="150"/>
      <c r="E24" s="154">
        <v>0.311</v>
      </c>
      <c r="F24" s="150"/>
      <c r="G24" s="155">
        <v>-0.13462650881184682</v>
      </c>
    </row>
    <row r="25" spans="1:7" ht="18">
      <c r="A25" s="150"/>
      <c r="B25" s="150"/>
      <c r="C25" s="150"/>
      <c r="D25" s="150"/>
      <c r="E25" s="154"/>
      <c r="F25" s="150"/>
      <c r="G25" s="150"/>
    </row>
    <row r="26" spans="1:7" ht="18">
      <c r="A26" s="150" t="s">
        <v>13</v>
      </c>
      <c r="B26" s="150"/>
      <c r="C26" s="153">
        <v>28920</v>
      </c>
      <c r="D26" s="150"/>
      <c r="E26" s="154">
        <v>2.95631808</v>
      </c>
      <c r="F26" s="150"/>
      <c r="G26" s="155">
        <v>-0.002173688024014077</v>
      </c>
    </row>
    <row r="27" spans="1:7" ht="18">
      <c r="A27" s="150"/>
      <c r="B27" s="150"/>
      <c r="C27" s="150"/>
      <c r="D27" s="150"/>
      <c r="E27" s="154"/>
      <c r="F27" s="150"/>
      <c r="G27" s="150"/>
    </row>
    <row r="28" spans="1:13" ht="18">
      <c r="A28" s="150" t="s">
        <v>14</v>
      </c>
      <c r="B28" s="150"/>
      <c r="C28" s="170">
        <v>1</v>
      </c>
      <c r="D28" s="151"/>
      <c r="E28" s="215">
        <v>0</v>
      </c>
      <c r="F28" s="151"/>
      <c r="G28" s="171" t="s">
        <v>44</v>
      </c>
      <c r="I28" s="160"/>
      <c r="J28" s="151"/>
      <c r="K28" s="161"/>
      <c r="L28" s="151"/>
      <c r="M28" s="162"/>
    </row>
    <row r="29" spans="1:7" ht="18">
      <c r="A29" s="150"/>
      <c r="B29" s="150"/>
      <c r="C29" s="150"/>
      <c r="D29" s="150"/>
      <c r="E29" s="150"/>
      <c r="F29" s="150"/>
      <c r="G29" s="150"/>
    </row>
    <row r="30" spans="1:7" ht="18">
      <c r="A30" s="156"/>
      <c r="B30" s="156"/>
      <c r="C30" s="156"/>
      <c r="D30" s="156"/>
      <c r="E30" s="156"/>
      <c r="F30" s="156"/>
      <c r="G30" s="156"/>
    </row>
    <row r="32" ht="12.75">
      <c r="I32" s="203"/>
    </row>
  </sheetData>
  <mergeCells count="3">
    <mergeCell ref="A1:H1"/>
    <mergeCell ref="A2:H2"/>
    <mergeCell ref="A3:H3"/>
  </mergeCells>
  <printOptions horizontalCentered="1"/>
  <pageMargins left="0.75" right="0.75" top="1.32" bottom="1.11" header="0.65" footer="0.5"/>
  <pageSetup fitToHeight="1" fitToWidth="1" horizontalDpi="600" verticalDpi="600" orientation="landscape" scale="92" r:id="rId1"/>
  <headerFooter alignWithMargins="0">
    <oddHeader>&amp;C&amp;"Arial,Bold"&amp;12Federal Housing Administration Monthly Report&amp;8
&amp;"Arial,Bold Italic"&amp;16FHA Portfolios Summary
October 2006&amp;"Arial,Regular"&amp;12
</oddHeader>
    <oddFooter>&amp;C&amp;7&amp;D
&amp;F 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1"/>
  <dimension ref="A1:AU45"/>
  <sheetViews>
    <sheetView zoomScale="50" zoomScaleNormal="50" workbookViewId="0" topLeftCell="A1">
      <selection activeCell="A1" sqref="A1"/>
    </sheetView>
  </sheetViews>
  <sheetFormatPr defaultColWidth="9.140625" defaultRowHeight="12.75"/>
  <cols>
    <col min="1" max="1" width="12.140625" style="377" customWidth="1"/>
    <col min="3" max="3" width="4.421875" style="377" customWidth="1"/>
    <col min="4" max="4" width="2.8515625" style="377" customWidth="1"/>
    <col min="5" max="5" width="13.7109375" style="377" customWidth="1"/>
    <col min="6" max="6" width="15.8515625" style="377" customWidth="1"/>
    <col min="7" max="7" width="10.7109375" style="377" customWidth="1"/>
    <col min="8" max="8" width="1.57421875" style="377" customWidth="1"/>
    <col min="9" max="9" width="2.7109375" style="377" customWidth="1"/>
    <col min="10" max="10" width="13.00390625" style="377" customWidth="1"/>
    <col min="11" max="11" width="14.8515625" style="377" customWidth="1"/>
    <col min="12" max="12" width="0" style="377" hidden="1" customWidth="1"/>
    <col min="13" max="13" width="10.7109375" style="377" customWidth="1"/>
    <col min="14" max="14" width="2.421875" style="377" customWidth="1"/>
    <col min="15" max="15" width="0" style="377" hidden="1" customWidth="1"/>
    <col min="16" max="16" width="13.00390625" style="377" customWidth="1"/>
    <col min="17" max="17" width="14.28125" style="377" customWidth="1"/>
    <col min="18" max="18" width="10.7109375" style="377" customWidth="1"/>
    <col min="19" max="19" width="1.421875" style="377" customWidth="1"/>
    <col min="20" max="20" width="0.71875" style="377" customWidth="1"/>
    <col min="21" max="21" width="11.8515625" style="377" customWidth="1"/>
    <col min="24" max="24" width="10.7109375" style="377" customWidth="1"/>
    <col min="25" max="25" width="16.7109375" style="377" customWidth="1"/>
    <col min="26" max="26" width="10.8515625" style="377" customWidth="1"/>
    <col min="27" max="27" width="16.7109375" style="377" customWidth="1"/>
    <col min="28" max="28" width="9.28125" style="377" customWidth="1"/>
    <col min="29" max="29" width="15.8515625" style="377" customWidth="1"/>
    <col min="30" max="30" width="16.7109375" style="377" customWidth="1"/>
    <col min="31" max="31" width="10.8515625" style="377" customWidth="1"/>
    <col min="32" max="33" width="15.140625" style="377" customWidth="1"/>
    <col min="34" max="34" width="10.8515625" style="377" customWidth="1"/>
    <col min="35" max="35" width="14.140625" style="377" customWidth="1"/>
    <col min="36" max="36" width="10.8515625" style="377" customWidth="1"/>
    <col min="37" max="37" width="12.57421875" style="377" customWidth="1"/>
    <col min="38" max="38" width="10.7109375" style="377" customWidth="1"/>
    <col min="39" max="40" width="14.140625" style="377" customWidth="1"/>
    <col min="41" max="41" width="10.7109375" style="377" customWidth="1"/>
    <col min="42" max="42" width="15.28125" style="377" customWidth="1"/>
    <col min="43" max="43" width="14.140625" style="377" customWidth="1"/>
    <col min="44" max="44" width="10.140625" style="377" customWidth="1"/>
    <col min="45" max="45" width="16.8515625" style="377" customWidth="1"/>
    <col min="47" max="47" width="16.57421875" style="377" customWidth="1"/>
  </cols>
  <sheetData>
    <row r="1" spans="1:21" ht="15.75">
      <c r="A1" s="358"/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6"/>
      <c r="P1" s="376"/>
      <c r="Q1" s="376"/>
      <c r="R1" s="376"/>
      <c r="S1" s="376"/>
      <c r="T1" s="376"/>
      <c r="U1" s="376"/>
    </row>
    <row r="2" spans="1:31" ht="23.25">
      <c r="A2" s="359" t="s">
        <v>125</v>
      </c>
      <c r="B2" s="376"/>
      <c r="C2" s="376"/>
      <c r="D2" s="376"/>
      <c r="E2" s="376"/>
      <c r="F2" s="376"/>
      <c r="G2" s="376"/>
      <c r="H2" s="376"/>
      <c r="I2" s="376"/>
      <c r="J2" s="376"/>
      <c r="K2" s="378"/>
      <c r="L2" s="378"/>
      <c r="M2" s="378"/>
      <c r="N2" s="378"/>
      <c r="O2" s="378"/>
      <c r="P2" s="378"/>
      <c r="Q2" s="378"/>
      <c r="R2" s="376"/>
      <c r="S2" s="376"/>
      <c r="T2" s="376"/>
      <c r="U2" s="376"/>
      <c r="AB2" s="379"/>
      <c r="AC2" s="379"/>
      <c r="AE2" s="379"/>
    </row>
    <row r="3" spans="1:43" ht="13.5" customHeight="1">
      <c r="A3" s="360" t="s">
        <v>198</v>
      </c>
      <c r="B3" s="376"/>
      <c r="C3" s="376"/>
      <c r="D3" s="376"/>
      <c r="E3" s="376"/>
      <c r="F3" s="376"/>
      <c r="G3" s="376"/>
      <c r="H3" s="376"/>
      <c r="I3" s="376"/>
      <c r="J3" s="376"/>
      <c r="K3" s="378"/>
      <c r="L3" s="378"/>
      <c r="M3" s="378"/>
      <c r="N3" s="378"/>
      <c r="O3" s="378"/>
      <c r="P3" s="378"/>
      <c r="Q3" s="378"/>
      <c r="R3" s="376"/>
      <c r="S3" s="376"/>
      <c r="T3" s="376"/>
      <c r="U3" s="376"/>
      <c r="X3" s="379"/>
      <c r="Y3" s="379"/>
      <c r="Z3" s="379"/>
      <c r="AA3" s="379"/>
      <c r="AB3" s="379"/>
      <c r="AC3" s="379"/>
      <c r="AD3" s="380"/>
      <c r="AE3" s="379"/>
      <c r="AF3" s="379"/>
      <c r="AG3" s="380"/>
      <c r="AL3" s="379"/>
      <c r="AM3" s="379"/>
      <c r="AN3" s="380"/>
      <c r="AO3" s="379"/>
      <c r="AP3" s="379"/>
      <c r="AQ3" s="380"/>
    </row>
    <row r="4" spans="1:47" ht="12.75">
      <c r="A4" s="381"/>
      <c r="B4" s="381"/>
      <c r="C4" s="381"/>
      <c r="D4" s="381"/>
      <c r="E4" s="381"/>
      <c r="F4" s="381"/>
      <c r="G4" s="381"/>
      <c r="H4" s="381"/>
      <c r="I4" s="381"/>
      <c r="J4" s="381"/>
      <c r="K4" s="381"/>
      <c r="L4" s="381"/>
      <c r="M4" s="381"/>
      <c r="N4" s="381"/>
      <c r="O4" s="381"/>
      <c r="P4" s="381"/>
      <c r="Q4" s="381"/>
      <c r="R4" s="381"/>
      <c r="S4" s="381"/>
      <c r="T4" s="381"/>
      <c r="U4" s="381"/>
      <c r="X4" s="379"/>
      <c r="Y4" s="380"/>
      <c r="Z4" s="380"/>
      <c r="AA4" s="380"/>
      <c r="AB4" s="379"/>
      <c r="AC4" s="380"/>
      <c r="AD4" s="382"/>
      <c r="AE4" s="379"/>
      <c r="AF4" s="380"/>
      <c r="AG4" s="379"/>
      <c r="AH4" s="379"/>
      <c r="AI4" s="382"/>
      <c r="AJ4" s="379"/>
      <c r="AK4" s="380"/>
      <c r="AL4" s="379"/>
      <c r="AM4" s="382"/>
      <c r="AN4" s="380"/>
      <c r="AO4" s="379"/>
      <c r="AP4" s="380"/>
      <c r="AQ4" s="380"/>
      <c r="AR4" s="379"/>
      <c r="AS4" s="382"/>
      <c r="AT4" s="379"/>
      <c r="AU4" s="379"/>
    </row>
    <row r="5" spans="2:47" ht="12.75">
      <c r="B5" s="377"/>
      <c r="F5" s="380" t="s">
        <v>17</v>
      </c>
      <c r="I5" s="383"/>
      <c r="K5" s="380" t="s">
        <v>147</v>
      </c>
      <c r="O5" s="383"/>
      <c r="Q5" s="380" t="s">
        <v>18</v>
      </c>
      <c r="T5" s="383"/>
      <c r="X5" s="382"/>
      <c r="Y5" s="382"/>
      <c r="Z5" s="382"/>
      <c r="AA5" s="382"/>
      <c r="AB5" s="382"/>
      <c r="AC5" s="382"/>
      <c r="AD5" s="380"/>
      <c r="AE5" s="382"/>
      <c r="AF5" s="379"/>
      <c r="AG5" s="380"/>
      <c r="AH5" s="382"/>
      <c r="AI5" s="380"/>
      <c r="AJ5" s="382"/>
      <c r="AK5" s="380"/>
      <c r="AL5" s="382"/>
      <c r="AM5" s="380"/>
      <c r="AN5" s="380"/>
      <c r="AO5" s="382"/>
      <c r="AP5" s="380"/>
      <c r="AQ5" s="380"/>
      <c r="AR5" s="380"/>
      <c r="AS5" s="380"/>
      <c r="AT5" s="382"/>
      <c r="AU5" s="382"/>
    </row>
    <row r="6" spans="6:47" ht="12.75">
      <c r="F6" s="384" t="s">
        <v>302</v>
      </c>
      <c r="I6" s="383"/>
      <c r="K6" s="380" t="s">
        <v>283</v>
      </c>
      <c r="O6" s="383"/>
      <c r="Q6" s="380" t="s">
        <v>303</v>
      </c>
      <c r="T6" s="383"/>
      <c r="U6" s="379" t="s">
        <v>19</v>
      </c>
      <c r="X6" s="385"/>
      <c r="Y6" s="379"/>
      <c r="Z6" s="385"/>
      <c r="AA6" s="379"/>
      <c r="AB6" s="385"/>
      <c r="AC6" s="379"/>
      <c r="AD6" s="386"/>
      <c r="AE6" s="385"/>
      <c r="AF6" s="379"/>
      <c r="AG6" s="379"/>
      <c r="AH6" s="385"/>
      <c r="AI6" s="379"/>
      <c r="AJ6" s="385"/>
      <c r="AK6" s="379"/>
      <c r="AL6" s="385"/>
      <c r="AM6" s="379"/>
      <c r="AN6" s="386"/>
      <c r="AO6" s="385"/>
      <c r="AP6" s="379"/>
      <c r="AQ6" s="379"/>
      <c r="AR6" s="387"/>
      <c r="AS6" s="379"/>
      <c r="AT6" s="387"/>
      <c r="AU6" s="379"/>
    </row>
    <row r="7" spans="5:47" ht="12.75">
      <c r="E7" s="380"/>
      <c r="G7" s="380" t="s">
        <v>126</v>
      </c>
      <c r="H7" s="380"/>
      <c r="I7" s="388"/>
      <c r="J7" s="389"/>
      <c r="M7" s="380" t="s">
        <v>126</v>
      </c>
      <c r="N7" s="380"/>
      <c r="O7" s="388"/>
      <c r="P7" s="382"/>
      <c r="R7" s="380" t="s">
        <v>126</v>
      </c>
      <c r="T7" s="383"/>
      <c r="U7" s="379" t="s">
        <v>20</v>
      </c>
      <c r="X7" s="387"/>
      <c r="Y7" s="379"/>
      <c r="Z7" s="387"/>
      <c r="AA7" s="379"/>
      <c r="AB7" s="387"/>
      <c r="AC7" s="379"/>
      <c r="AD7" s="386"/>
      <c r="AE7" s="387"/>
      <c r="AF7" s="379"/>
      <c r="AG7" s="379"/>
      <c r="AH7" s="387"/>
      <c r="AI7" s="390"/>
      <c r="AJ7" s="387"/>
      <c r="AK7" s="379"/>
      <c r="AL7" s="387"/>
      <c r="AM7" s="379"/>
      <c r="AN7" s="386"/>
      <c r="AO7" s="387"/>
      <c r="AP7" s="379"/>
      <c r="AQ7" s="379"/>
      <c r="AR7" s="391"/>
      <c r="AS7" s="379"/>
      <c r="AT7" s="391"/>
      <c r="AU7" s="379"/>
    </row>
    <row r="8" spans="1:47" ht="12.75">
      <c r="A8" s="392"/>
      <c r="B8" s="392"/>
      <c r="C8" s="392"/>
      <c r="D8" s="392"/>
      <c r="E8" s="393" t="s">
        <v>21</v>
      </c>
      <c r="F8" s="392"/>
      <c r="G8" s="393" t="s">
        <v>255</v>
      </c>
      <c r="H8" s="394"/>
      <c r="I8" s="393"/>
      <c r="J8" s="393" t="s">
        <v>21</v>
      </c>
      <c r="K8" s="392"/>
      <c r="L8" s="392"/>
      <c r="M8" s="393" t="s">
        <v>127</v>
      </c>
      <c r="N8" s="393"/>
      <c r="O8" s="395"/>
      <c r="P8" s="393" t="s">
        <v>21</v>
      </c>
      <c r="Q8" s="392"/>
      <c r="R8" s="393" t="s">
        <v>127</v>
      </c>
      <c r="S8" s="392"/>
      <c r="T8" s="396"/>
      <c r="U8" s="397" t="s">
        <v>64</v>
      </c>
      <c r="X8" s="387"/>
      <c r="Y8" s="379"/>
      <c r="Z8" s="387"/>
      <c r="AA8" s="379"/>
      <c r="AB8" s="387"/>
      <c r="AC8" s="379"/>
      <c r="AD8" s="386"/>
      <c r="AE8" s="387"/>
      <c r="AF8" s="379"/>
      <c r="AG8" s="379"/>
      <c r="AH8" s="387"/>
      <c r="AI8" s="379"/>
      <c r="AJ8" s="387"/>
      <c r="AK8" s="379"/>
      <c r="AL8" s="387"/>
      <c r="AM8" s="379"/>
      <c r="AN8" s="386"/>
      <c r="AO8" s="387"/>
      <c r="AP8" s="379"/>
      <c r="AQ8" s="379"/>
      <c r="AR8" s="387"/>
      <c r="AS8" s="379"/>
      <c r="AT8" s="387"/>
      <c r="AU8" s="379"/>
    </row>
    <row r="9" spans="1:47" ht="12.75">
      <c r="A9" s="382" t="s">
        <v>128</v>
      </c>
      <c r="B9" s="377"/>
      <c r="E9" s="380"/>
      <c r="G9" s="380"/>
      <c r="H9" s="380"/>
      <c r="I9" s="388"/>
      <c r="J9" s="380"/>
      <c r="M9" s="380"/>
      <c r="N9" s="380"/>
      <c r="O9" s="388"/>
      <c r="P9" s="380"/>
      <c r="R9" s="380"/>
      <c r="T9" s="383"/>
      <c r="U9" s="379"/>
      <c r="X9" s="387"/>
      <c r="Y9" s="379"/>
      <c r="Z9" s="387"/>
      <c r="AA9" s="390"/>
      <c r="AB9" s="387"/>
      <c r="AC9" s="390"/>
      <c r="AD9" s="386"/>
      <c r="AE9" s="387"/>
      <c r="AF9" s="390"/>
      <c r="AG9" s="386"/>
      <c r="AH9" s="387"/>
      <c r="AI9" s="379"/>
      <c r="AJ9" s="387"/>
      <c r="AK9" s="379"/>
      <c r="AL9" s="387"/>
      <c r="AM9" s="379"/>
      <c r="AN9" s="386"/>
      <c r="AO9" s="387"/>
      <c r="AP9" s="379"/>
      <c r="AQ9" s="379"/>
      <c r="AR9" s="387"/>
      <c r="AS9" s="379"/>
      <c r="AT9" s="387"/>
      <c r="AU9" s="379"/>
    </row>
    <row r="10" spans="1:47" ht="12.75">
      <c r="A10" s="382" t="s">
        <v>129</v>
      </c>
      <c r="E10" s="380"/>
      <c r="G10" s="380"/>
      <c r="H10" s="380"/>
      <c r="I10" s="388"/>
      <c r="J10" s="380"/>
      <c r="M10" s="380"/>
      <c r="N10" s="380"/>
      <c r="O10" s="388"/>
      <c r="P10" s="380"/>
      <c r="R10" s="380"/>
      <c r="T10" s="383"/>
      <c r="X10" s="387"/>
      <c r="Y10" s="379"/>
      <c r="Z10" s="387"/>
      <c r="AA10" s="379"/>
      <c r="AB10" s="387"/>
      <c r="AC10" s="379"/>
      <c r="AD10" s="386"/>
      <c r="AE10" s="387"/>
      <c r="AF10" s="379"/>
      <c r="AG10" s="386"/>
      <c r="AH10" s="387"/>
      <c r="AI10" s="379"/>
      <c r="AJ10" s="387"/>
      <c r="AK10" s="379"/>
      <c r="AL10" s="387"/>
      <c r="AM10" s="379"/>
      <c r="AN10" s="386"/>
      <c r="AO10" s="387"/>
      <c r="AP10" s="379"/>
      <c r="AQ10" s="379"/>
      <c r="AR10" s="387"/>
      <c r="AS10" s="379"/>
      <c r="AT10" s="387"/>
      <c r="AU10" s="379"/>
    </row>
    <row r="11" spans="2:47" ht="12.75">
      <c r="B11" s="379"/>
      <c r="C11" s="379"/>
      <c r="I11" s="383"/>
      <c r="O11" s="383"/>
      <c r="T11" s="383"/>
      <c r="X11" s="387"/>
      <c r="Y11" s="379"/>
      <c r="Z11" s="387"/>
      <c r="AA11" s="379"/>
      <c r="AB11" s="387"/>
      <c r="AC11" s="379"/>
      <c r="AD11" s="386"/>
      <c r="AE11" s="387"/>
      <c r="AF11" s="379"/>
      <c r="AG11" s="386"/>
      <c r="AH11" s="387"/>
      <c r="AI11" s="379"/>
      <c r="AJ11" s="387"/>
      <c r="AK11" s="379"/>
      <c r="AL11" s="387"/>
      <c r="AM11" s="379"/>
      <c r="AN11" s="386"/>
      <c r="AO11" s="387"/>
      <c r="AP11" s="379"/>
      <c r="AQ11" s="379"/>
      <c r="AR11" s="387"/>
      <c r="AS11" s="379"/>
      <c r="AT11" s="387"/>
      <c r="AU11" s="379"/>
    </row>
    <row r="12" spans="1:47" ht="12.75">
      <c r="A12" s="377" t="s">
        <v>130</v>
      </c>
      <c r="E12" s="398">
        <v>136185</v>
      </c>
      <c r="G12" s="399">
        <v>0.6819359700756371</v>
      </c>
      <c r="H12" s="399"/>
      <c r="I12" s="400"/>
      <c r="J12" s="398">
        <v>1501050</v>
      </c>
      <c r="L12" s="401">
        <v>0.6485453043060289</v>
      </c>
      <c r="M12" s="399">
        <v>0.6485453043060289</v>
      </c>
      <c r="N12" s="399"/>
      <c r="O12" s="400"/>
      <c r="P12" s="398">
        <v>1640697</v>
      </c>
      <c r="R12" s="399">
        <v>0.6489529004968709</v>
      </c>
      <c r="T12" s="383"/>
      <c r="U12" s="399">
        <v>-0.08511443612074625</v>
      </c>
      <c r="W12" s="402"/>
      <c r="X12" s="387"/>
      <c r="Y12" s="379"/>
      <c r="Z12" s="387"/>
      <c r="AA12" s="363"/>
      <c r="AB12" s="387"/>
      <c r="AC12" s="379"/>
      <c r="AD12" s="386"/>
      <c r="AE12" s="387"/>
      <c r="AF12" s="363"/>
      <c r="AG12" s="363"/>
      <c r="AH12" s="387"/>
      <c r="AI12" s="364"/>
      <c r="AJ12" s="387"/>
      <c r="AK12" s="363"/>
      <c r="AL12" s="387"/>
      <c r="AM12" s="379"/>
      <c r="AN12" s="386"/>
      <c r="AO12" s="387"/>
      <c r="AP12" s="363"/>
      <c r="AQ12" s="363"/>
      <c r="AR12" s="387"/>
      <c r="AS12" s="379"/>
      <c r="AT12" s="387"/>
      <c r="AU12" s="379"/>
    </row>
    <row r="13" spans="1:47" ht="12.75">
      <c r="A13" s="389" t="s">
        <v>131</v>
      </c>
      <c r="E13" s="398">
        <v>48828</v>
      </c>
      <c r="G13" s="399">
        <v>0.24450247491906751</v>
      </c>
      <c r="H13" s="399"/>
      <c r="I13" s="400"/>
      <c r="J13" s="398">
        <v>637066</v>
      </c>
      <c r="K13" s="361"/>
      <c r="L13" s="401">
        <v>0.18389989144465027</v>
      </c>
      <c r="M13" s="399">
        <v>0.18389989144465027</v>
      </c>
      <c r="N13" s="399"/>
      <c r="O13" s="400"/>
      <c r="P13" s="398">
        <v>721486</v>
      </c>
      <c r="Q13" s="361"/>
      <c r="R13" s="399">
        <v>0.20267800849767148</v>
      </c>
      <c r="T13" s="383"/>
      <c r="U13" s="399">
        <v>-0.16935686894411756</v>
      </c>
      <c r="X13" s="387"/>
      <c r="Y13" s="379"/>
      <c r="Z13" s="387"/>
      <c r="AA13" s="363"/>
      <c r="AB13" s="387"/>
      <c r="AC13" s="379"/>
      <c r="AD13" s="386"/>
      <c r="AE13" s="387"/>
      <c r="AF13" s="363"/>
      <c r="AG13" s="363"/>
      <c r="AH13" s="387"/>
      <c r="AI13" s="379"/>
      <c r="AJ13" s="387"/>
      <c r="AK13" s="363"/>
      <c r="AL13" s="387"/>
      <c r="AM13" s="379"/>
      <c r="AN13" s="386"/>
      <c r="AO13" s="387"/>
      <c r="AP13" s="363"/>
      <c r="AQ13" s="363"/>
      <c r="AR13" s="387"/>
      <c r="AS13" s="379"/>
      <c r="AT13" s="387"/>
      <c r="AU13" s="379"/>
    </row>
    <row r="14" spans="1:47" ht="15">
      <c r="A14" s="377" t="s">
        <v>132</v>
      </c>
      <c r="E14" s="398">
        <v>14690.5</v>
      </c>
      <c r="F14" s="403" t="s">
        <v>256</v>
      </c>
      <c r="G14" s="399">
        <v>0.07356155500529535</v>
      </c>
      <c r="H14" s="399"/>
      <c r="I14" s="400"/>
      <c r="J14" s="398">
        <v>176371.5</v>
      </c>
      <c r="K14" s="361"/>
      <c r="L14" s="401">
        <v>0.0762032631414082</v>
      </c>
      <c r="M14" s="399">
        <v>0.0762032631414082</v>
      </c>
      <c r="N14" s="399"/>
      <c r="O14" s="400"/>
      <c r="P14" s="398">
        <v>166039</v>
      </c>
      <c r="Q14" s="361"/>
      <c r="R14" s="399">
        <v>0.06567421690025639</v>
      </c>
      <c r="T14" s="383"/>
      <c r="U14" s="399">
        <v>0.06222935575376869</v>
      </c>
      <c r="X14" s="387"/>
      <c r="Y14" s="379"/>
      <c r="Z14" s="387"/>
      <c r="AA14" s="363"/>
      <c r="AB14" s="387"/>
      <c r="AC14" s="379"/>
      <c r="AD14" s="386"/>
      <c r="AE14" s="387"/>
      <c r="AF14" s="363"/>
      <c r="AG14" s="363"/>
      <c r="AH14" s="387"/>
      <c r="AI14" s="379"/>
      <c r="AJ14" s="387"/>
      <c r="AK14" s="363"/>
      <c r="AL14" s="387"/>
      <c r="AM14" s="379"/>
      <c r="AN14" s="386"/>
      <c r="AO14" s="387"/>
      <c r="AP14" s="363"/>
      <c r="AQ14" s="363"/>
      <c r="AR14" s="387"/>
      <c r="AS14" s="379"/>
      <c r="AT14" s="387"/>
      <c r="AU14" s="379"/>
    </row>
    <row r="15" spans="1:47" ht="12.75">
      <c r="A15" s="377" t="s">
        <v>133</v>
      </c>
      <c r="E15" s="398">
        <v>199703.5</v>
      </c>
      <c r="F15" s="404" t="s">
        <v>76</v>
      </c>
      <c r="G15" s="399">
        <v>1</v>
      </c>
      <c r="I15" s="383"/>
      <c r="J15" s="398">
        <v>2314487.5</v>
      </c>
      <c r="K15" s="404" t="s">
        <v>76</v>
      </c>
      <c r="L15" s="401">
        <v>1</v>
      </c>
      <c r="M15" s="399">
        <v>1</v>
      </c>
      <c r="O15" s="383"/>
      <c r="P15" s="398">
        <v>2528222</v>
      </c>
      <c r="R15" s="399">
        <v>1</v>
      </c>
      <c r="T15" s="383"/>
      <c r="U15" s="399">
        <v>-0.08453945104504272</v>
      </c>
      <c r="X15" s="387"/>
      <c r="Y15" s="379"/>
      <c r="Z15" s="387"/>
      <c r="AA15" s="363"/>
      <c r="AB15" s="387"/>
      <c r="AC15" s="379"/>
      <c r="AD15" s="386"/>
      <c r="AE15" s="387"/>
      <c r="AF15" s="363"/>
      <c r="AG15" s="363"/>
      <c r="AH15" s="387"/>
      <c r="AI15" s="390"/>
      <c r="AJ15" s="387"/>
      <c r="AK15" s="363"/>
      <c r="AL15" s="387"/>
      <c r="AM15" s="379"/>
      <c r="AN15" s="386"/>
      <c r="AO15" s="387"/>
      <c r="AP15" s="363"/>
      <c r="AQ15" s="363"/>
      <c r="AR15" s="387"/>
      <c r="AS15" s="379"/>
      <c r="AT15" s="387"/>
      <c r="AU15" s="379"/>
    </row>
    <row r="16" spans="3:47" ht="12.75">
      <c r="C16" s="404" t="s">
        <v>40</v>
      </c>
      <c r="I16" s="383"/>
      <c r="O16" s="383"/>
      <c r="T16" s="383"/>
      <c r="X16" s="387"/>
      <c r="Y16" s="379"/>
      <c r="Z16" s="387"/>
      <c r="AA16" s="363"/>
      <c r="AB16" s="387"/>
      <c r="AC16" s="379"/>
      <c r="AD16" s="386"/>
      <c r="AE16" s="387"/>
      <c r="AF16" s="363"/>
      <c r="AG16" s="363"/>
      <c r="AH16" s="387"/>
      <c r="AI16" s="379"/>
      <c r="AJ16" s="387"/>
      <c r="AK16" s="363"/>
      <c r="AL16" s="387"/>
      <c r="AM16" s="379"/>
      <c r="AN16" s="386"/>
      <c r="AO16" s="387"/>
      <c r="AP16" s="363"/>
      <c r="AQ16" s="363"/>
      <c r="AR16" s="387"/>
      <c r="AS16" s="379"/>
      <c r="AT16" s="387"/>
      <c r="AU16" s="379"/>
    </row>
    <row r="17" spans="1:47" ht="12.75">
      <c r="A17" s="392"/>
      <c r="B17" s="392"/>
      <c r="C17" s="392"/>
      <c r="D17" s="392"/>
      <c r="E17" s="392"/>
      <c r="F17" s="392"/>
      <c r="G17" s="392"/>
      <c r="H17" s="392"/>
      <c r="I17" s="396"/>
      <c r="J17" s="392"/>
      <c r="K17" s="392"/>
      <c r="L17" s="392"/>
      <c r="M17" s="392"/>
      <c r="N17" s="392"/>
      <c r="O17" s="396"/>
      <c r="P17" s="392"/>
      <c r="Q17" s="392"/>
      <c r="R17" s="392"/>
      <c r="S17" s="392"/>
      <c r="T17" s="396"/>
      <c r="U17" s="392"/>
      <c r="X17" s="387"/>
      <c r="Y17" s="379"/>
      <c r="Z17" s="387"/>
      <c r="AA17" s="363"/>
      <c r="AB17" s="387"/>
      <c r="AC17" s="379"/>
      <c r="AD17" s="386"/>
      <c r="AE17" s="387"/>
      <c r="AF17" s="379"/>
      <c r="AG17" s="386"/>
      <c r="AH17" s="387"/>
      <c r="AI17" s="390"/>
      <c r="AJ17" s="387"/>
      <c r="AK17" s="379"/>
      <c r="AL17" s="387"/>
      <c r="AM17" s="379"/>
      <c r="AN17" s="386"/>
      <c r="AO17" s="387"/>
      <c r="AP17" s="379"/>
      <c r="AQ17" s="379"/>
      <c r="AR17" s="387"/>
      <c r="AS17" s="379"/>
      <c r="AT17" s="387"/>
      <c r="AU17" s="379"/>
    </row>
    <row r="18" spans="5:47" ht="12.75">
      <c r="E18" s="405"/>
      <c r="F18" s="405"/>
      <c r="I18" s="383"/>
      <c r="J18" s="405"/>
      <c r="K18" s="405"/>
      <c r="O18" s="383"/>
      <c r="P18" s="389"/>
      <c r="Q18" s="405"/>
      <c r="T18" s="383"/>
      <c r="U18" s="379" t="s">
        <v>19</v>
      </c>
      <c r="X18" s="379"/>
      <c r="Y18" s="406"/>
      <c r="Z18" s="379"/>
      <c r="AA18" s="406"/>
      <c r="AB18" s="379"/>
      <c r="AC18" s="406"/>
      <c r="AD18" s="407"/>
      <c r="AE18" s="379"/>
      <c r="AF18" s="406"/>
      <c r="AG18" s="407"/>
      <c r="AH18" s="379"/>
      <c r="AI18" s="406"/>
      <c r="AJ18" s="379"/>
      <c r="AK18" s="406"/>
      <c r="AL18" s="379"/>
      <c r="AM18" s="406"/>
      <c r="AN18" s="407"/>
      <c r="AO18" s="379"/>
      <c r="AP18" s="406"/>
      <c r="AQ18" s="407"/>
      <c r="AR18" s="379"/>
      <c r="AS18" s="406"/>
      <c r="AT18" s="379"/>
      <c r="AU18" s="406"/>
    </row>
    <row r="19" spans="5:47" ht="12.75">
      <c r="E19" s="380"/>
      <c r="F19" s="380"/>
      <c r="G19" s="380" t="s">
        <v>134</v>
      </c>
      <c r="H19" s="380"/>
      <c r="I19" s="388"/>
      <c r="J19" s="380"/>
      <c r="K19" s="380"/>
      <c r="L19" s="380"/>
      <c r="M19" s="380" t="s">
        <v>134</v>
      </c>
      <c r="N19" s="380"/>
      <c r="O19" s="388"/>
      <c r="P19" s="380"/>
      <c r="Q19" s="380"/>
      <c r="R19" s="380" t="s">
        <v>134</v>
      </c>
      <c r="T19" s="383"/>
      <c r="U19" s="382" t="s">
        <v>135</v>
      </c>
      <c r="X19" s="379"/>
      <c r="Y19" s="379"/>
      <c r="Z19" s="379"/>
      <c r="AA19" s="379"/>
      <c r="AE19" s="379"/>
      <c r="AF19" s="379"/>
      <c r="AG19" s="379"/>
      <c r="AJ19" s="379"/>
      <c r="AK19" s="379"/>
      <c r="AL19" s="379"/>
      <c r="AM19" s="379"/>
      <c r="AN19" s="379"/>
      <c r="AP19" s="379"/>
      <c r="AQ19" s="379"/>
      <c r="AR19" s="379"/>
      <c r="AS19" s="406"/>
      <c r="AT19" s="379"/>
      <c r="AU19" s="406"/>
    </row>
    <row r="20" spans="1:35" ht="12.75">
      <c r="A20" s="392"/>
      <c r="B20" s="392"/>
      <c r="C20" s="392"/>
      <c r="D20" s="392"/>
      <c r="E20" s="393" t="s">
        <v>21</v>
      </c>
      <c r="F20" s="393" t="s">
        <v>23</v>
      </c>
      <c r="G20" s="393" t="s">
        <v>136</v>
      </c>
      <c r="H20" s="393"/>
      <c r="I20" s="395"/>
      <c r="J20" s="393" t="s">
        <v>21</v>
      </c>
      <c r="K20" s="393" t="s">
        <v>23</v>
      </c>
      <c r="L20" s="393"/>
      <c r="M20" s="393" t="s">
        <v>136</v>
      </c>
      <c r="N20" s="393"/>
      <c r="O20" s="395"/>
      <c r="P20" s="393" t="s">
        <v>21</v>
      </c>
      <c r="Q20" s="393" t="s">
        <v>23</v>
      </c>
      <c r="R20" s="393" t="s">
        <v>136</v>
      </c>
      <c r="S20" s="392"/>
      <c r="T20" s="396"/>
      <c r="U20" s="408" t="s">
        <v>137</v>
      </c>
      <c r="AB20" s="379"/>
      <c r="AC20" s="379"/>
      <c r="AD20" s="379"/>
      <c r="AH20" s="379"/>
      <c r="AI20" s="379"/>
    </row>
    <row r="21" spans="1:45" ht="12.75">
      <c r="A21" s="382" t="s">
        <v>128</v>
      </c>
      <c r="I21" s="383"/>
      <c r="O21" s="383"/>
      <c r="T21" s="383"/>
      <c r="AS21" s="409"/>
    </row>
    <row r="22" spans="1:26" ht="12.75">
      <c r="A22" s="382" t="s">
        <v>138</v>
      </c>
      <c r="I22" s="383"/>
      <c r="O22" s="383"/>
      <c r="T22" s="383"/>
      <c r="Z22" s="410"/>
    </row>
    <row r="23" spans="9:26" ht="12.75">
      <c r="I23" s="383"/>
      <c r="O23" s="383"/>
      <c r="T23" s="383"/>
      <c r="Z23" s="410"/>
    </row>
    <row r="24" spans="1:26" ht="12.75">
      <c r="A24" s="377" t="s">
        <v>130</v>
      </c>
      <c r="E24" s="398">
        <v>130830</v>
      </c>
      <c r="F24" s="411">
        <v>21639.5</v>
      </c>
      <c r="G24" s="399">
        <v>0.7592513973144895</v>
      </c>
      <c r="H24" s="399"/>
      <c r="I24" s="400"/>
      <c r="J24" s="398">
        <v>1441953</v>
      </c>
      <c r="K24" s="411">
        <v>221765.4</v>
      </c>
      <c r="L24" s="401"/>
      <c r="M24" s="399">
        <v>0.7350073876784526</v>
      </c>
      <c r="N24" s="399"/>
      <c r="O24" s="400"/>
      <c r="P24" s="398">
        <v>1557354</v>
      </c>
      <c r="Q24" s="411">
        <v>218688.9</v>
      </c>
      <c r="R24" s="399">
        <v>0.714770049386025</v>
      </c>
      <c r="T24" s="383"/>
      <c r="U24" s="399">
        <v>0.014067929373644344</v>
      </c>
      <c r="Z24" s="410"/>
    </row>
    <row r="25" spans="1:26" ht="12.75">
      <c r="A25" s="377" t="s">
        <v>139</v>
      </c>
      <c r="E25" s="398">
        <v>34168</v>
      </c>
      <c r="F25" s="411">
        <v>4579.4</v>
      </c>
      <c r="G25" s="399">
        <v>0.1606745002824452</v>
      </c>
      <c r="H25" s="399"/>
      <c r="I25" s="400"/>
      <c r="J25" s="398">
        <v>425634</v>
      </c>
      <c r="K25" s="412">
        <v>55316</v>
      </c>
      <c r="L25" s="401"/>
      <c r="M25" s="399">
        <v>0.18333639357997814</v>
      </c>
      <c r="O25" s="400">
        <v>621021</v>
      </c>
      <c r="P25" s="398">
        <v>512415</v>
      </c>
      <c r="Q25" s="411">
        <v>62367.5</v>
      </c>
      <c r="R25" s="399">
        <v>0.20384400422281562</v>
      </c>
      <c r="T25" s="383"/>
      <c r="U25" s="399">
        <v>-0.11306369503347095</v>
      </c>
      <c r="Z25" s="410"/>
    </row>
    <row r="26" spans="1:26" ht="12.75">
      <c r="A26" s="377" t="s">
        <v>132</v>
      </c>
      <c r="E26" s="398">
        <v>12458</v>
      </c>
      <c r="F26" s="411">
        <v>2282.2</v>
      </c>
      <c r="G26" s="399">
        <v>0.08007410240306513</v>
      </c>
      <c r="H26" s="399"/>
      <c r="I26" s="400"/>
      <c r="J26" s="398">
        <v>142723</v>
      </c>
      <c r="K26" s="411">
        <v>24637.2</v>
      </c>
      <c r="L26" s="401"/>
      <c r="M26" s="399">
        <v>0.08165621874156913</v>
      </c>
      <c r="N26" s="399"/>
      <c r="O26" s="400"/>
      <c r="P26" s="398">
        <v>165854</v>
      </c>
      <c r="Q26" s="411">
        <v>24900.6</v>
      </c>
      <c r="R26" s="399">
        <v>0.08138594639115954</v>
      </c>
      <c r="T26" s="383"/>
      <c r="U26" s="399">
        <v>-0.01057805836003943</v>
      </c>
      <c r="Z26" s="410"/>
    </row>
    <row r="27" spans="1:26" ht="13.5" customHeight="1">
      <c r="A27" s="389" t="s">
        <v>133</v>
      </c>
      <c r="E27" s="398">
        <v>177456</v>
      </c>
      <c r="F27" s="411">
        <v>28501.1</v>
      </c>
      <c r="G27" s="399">
        <v>1</v>
      </c>
      <c r="I27" s="383"/>
      <c r="J27" s="398">
        <v>2010310</v>
      </c>
      <c r="K27" s="411">
        <v>301718.6</v>
      </c>
      <c r="L27" s="401"/>
      <c r="M27" s="399">
        <v>1</v>
      </c>
      <c r="O27" s="383"/>
      <c r="P27" s="398">
        <v>2235623</v>
      </c>
      <c r="Q27" s="411">
        <v>305957</v>
      </c>
      <c r="R27" s="399">
        <v>1</v>
      </c>
      <c r="T27" s="383"/>
      <c r="U27" s="399">
        <v>-0.013852927045303637</v>
      </c>
      <c r="Z27" s="410"/>
    </row>
    <row r="28" spans="5:26" ht="12.75">
      <c r="E28" s="398"/>
      <c r="F28" s="413"/>
      <c r="I28" s="383"/>
      <c r="J28" s="398"/>
      <c r="K28" s="413"/>
      <c r="O28" s="383"/>
      <c r="P28" s="398"/>
      <c r="Q28" s="413"/>
      <c r="T28" s="383"/>
      <c r="Z28" s="410"/>
    </row>
    <row r="29" spans="1:26" ht="12.75">
      <c r="A29" s="392"/>
      <c r="B29" s="392"/>
      <c r="C29" s="392"/>
      <c r="D29" s="392"/>
      <c r="E29" s="392"/>
      <c r="F29" s="392"/>
      <c r="G29" s="392"/>
      <c r="H29" s="392"/>
      <c r="I29" s="396"/>
      <c r="J29" s="392"/>
      <c r="K29" s="392"/>
      <c r="L29" s="392"/>
      <c r="M29" s="392"/>
      <c r="N29" s="392"/>
      <c r="O29" s="396"/>
      <c r="P29" s="392"/>
      <c r="Q29" s="392"/>
      <c r="R29" s="392"/>
      <c r="S29" s="392"/>
      <c r="T29" s="396"/>
      <c r="U29" s="392"/>
      <c r="Z29" s="410"/>
    </row>
    <row r="30" spans="2:26" ht="12.75">
      <c r="B30" s="377"/>
      <c r="I30" s="383"/>
      <c r="O30" s="383"/>
      <c r="T30" s="383"/>
      <c r="U30" s="379" t="s">
        <v>19</v>
      </c>
      <c r="Z30" s="410"/>
    </row>
    <row r="31" spans="6:26" ht="12.75">
      <c r="F31" s="405"/>
      <c r="I31" s="383"/>
      <c r="K31" s="405"/>
      <c r="O31" s="383"/>
      <c r="Q31" s="405"/>
      <c r="T31" s="383"/>
      <c r="U31" s="379" t="s">
        <v>20</v>
      </c>
      <c r="Z31" s="410"/>
    </row>
    <row r="32" spans="1:21" ht="12.75">
      <c r="A32" s="392"/>
      <c r="B32" s="392"/>
      <c r="C32" s="392"/>
      <c r="D32" s="392"/>
      <c r="E32" s="393" t="s">
        <v>21</v>
      </c>
      <c r="F32" s="393"/>
      <c r="G32" s="393" t="s">
        <v>140</v>
      </c>
      <c r="H32" s="393"/>
      <c r="I32" s="395"/>
      <c r="J32" s="393" t="s">
        <v>21</v>
      </c>
      <c r="K32" s="393"/>
      <c r="L32" s="393"/>
      <c r="M32" s="393" t="s">
        <v>140</v>
      </c>
      <c r="N32" s="393"/>
      <c r="O32" s="395"/>
      <c r="P32" s="393" t="s">
        <v>21</v>
      </c>
      <c r="Q32" s="393"/>
      <c r="R32" s="393" t="s">
        <v>140</v>
      </c>
      <c r="S32" s="392"/>
      <c r="T32" s="396"/>
      <c r="U32" s="397" t="s">
        <v>64</v>
      </c>
    </row>
    <row r="33" spans="1:20" ht="12.75">
      <c r="A33" s="379" t="s">
        <v>141</v>
      </c>
      <c r="I33" s="383"/>
      <c r="O33" s="383"/>
      <c r="T33" s="383"/>
    </row>
    <row r="34" spans="9:20" ht="12.75">
      <c r="I34" s="383"/>
      <c r="O34" s="383"/>
      <c r="T34" s="383"/>
    </row>
    <row r="35" spans="1:21" ht="12.75">
      <c r="A35" s="389" t="s">
        <v>257</v>
      </c>
      <c r="E35" s="398">
        <v>25671</v>
      </c>
      <c r="F35" s="405" t="s">
        <v>40</v>
      </c>
      <c r="G35" s="401">
        <v>0.041911836734693876</v>
      </c>
      <c r="H35" s="404"/>
      <c r="I35" s="414"/>
      <c r="J35" s="398">
        <v>314100</v>
      </c>
      <c r="K35" s="405"/>
      <c r="L35" s="401"/>
      <c r="M35" s="401">
        <v>0.03972262035241548</v>
      </c>
      <c r="N35" s="404"/>
      <c r="O35" s="414"/>
      <c r="P35" s="398">
        <v>353936</v>
      </c>
      <c r="Q35" s="405"/>
      <c r="R35" s="401">
        <v>0.04275751260910272</v>
      </c>
      <c r="T35" s="383"/>
      <c r="U35" s="399">
        <v>-0.11255142172596176</v>
      </c>
    </row>
    <row r="36" spans="1:38" ht="12.75">
      <c r="A36" s="389" t="s">
        <v>142</v>
      </c>
      <c r="E36" s="398">
        <v>612500</v>
      </c>
      <c r="F36" s="405"/>
      <c r="G36" s="401"/>
      <c r="I36" s="383"/>
      <c r="J36" s="398">
        <v>7907333.333333333</v>
      </c>
      <c r="K36" s="405"/>
      <c r="M36" s="401"/>
      <c r="O36" s="383"/>
      <c r="P36" s="398">
        <v>8277750</v>
      </c>
      <c r="Q36" s="405"/>
      <c r="R36" s="401"/>
      <c r="T36" s="383"/>
      <c r="U36" s="399">
        <v>-0.0447484723103098</v>
      </c>
      <c r="AK36" s="409"/>
      <c r="AL36" s="398"/>
    </row>
    <row r="37" ht="12.75">
      <c r="F37" s="405"/>
    </row>
    <row r="38" ht="9.75" customHeight="1"/>
    <row r="39" spans="1:2" ht="14.25" customHeight="1">
      <c r="A39" s="389" t="s">
        <v>313</v>
      </c>
      <c r="B39" s="377"/>
    </row>
    <row r="40" spans="1:2" ht="14.25" customHeight="1">
      <c r="A40" s="389" t="s">
        <v>314</v>
      </c>
      <c r="B40" s="377"/>
    </row>
    <row r="41" spans="1:2" ht="12.75" customHeight="1">
      <c r="A41" s="389" t="s">
        <v>143</v>
      </c>
      <c r="B41" s="377"/>
    </row>
    <row r="42" spans="1:2" ht="12.75">
      <c r="A42" s="389" t="s">
        <v>144</v>
      </c>
      <c r="B42" s="377"/>
    </row>
    <row r="43" spans="1:2" ht="12.75">
      <c r="A43" s="389" t="s">
        <v>145</v>
      </c>
      <c r="B43" s="377"/>
    </row>
    <row r="44" ht="12.75">
      <c r="A44" s="382" t="s">
        <v>261</v>
      </c>
    </row>
    <row r="45" ht="12.75">
      <c r="B45" s="377"/>
    </row>
  </sheetData>
  <printOptions horizontalCentered="1"/>
  <pageMargins left="0" right="0" top="1" bottom="1" header="0.169444444444444" footer="0.379861111111111"/>
  <pageSetup horizontalDpi="600" verticalDpi="600" orientation="landscape" scale="75" r:id="rId1"/>
  <headerFooter alignWithMargins="0">
    <oddFooter>&amp;C&amp;8&amp;D
&amp;F 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0"/>
  <dimension ref="A4:B7"/>
  <sheetViews>
    <sheetView workbookViewId="0" topLeftCell="A1">
      <selection activeCell="F11" sqref="F11"/>
    </sheetView>
  </sheetViews>
  <sheetFormatPr defaultColWidth="9.140625" defaultRowHeight="12.75"/>
  <cols>
    <col min="1" max="1" width="18.140625" style="0" bestFit="1" customWidth="1"/>
    <col min="2" max="2" width="15.00390625" style="0" customWidth="1"/>
  </cols>
  <sheetData>
    <row r="4" spans="1:2" ht="12.75">
      <c r="A4" s="362" t="s">
        <v>262</v>
      </c>
      <c r="B4">
        <v>2006</v>
      </c>
    </row>
    <row r="5" spans="1:2" ht="12.75">
      <c r="A5" s="362" t="s">
        <v>263</v>
      </c>
      <c r="B5" t="s">
        <v>268</v>
      </c>
    </row>
    <row r="6" spans="1:2" ht="12.75">
      <c r="A6" t="s">
        <v>264</v>
      </c>
      <c r="B6" t="s">
        <v>266</v>
      </c>
    </row>
    <row r="7" spans="1:2" ht="12.75">
      <c r="A7" t="s">
        <v>265</v>
      </c>
      <c r="B7" t="s">
        <v>267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K44"/>
  <sheetViews>
    <sheetView zoomScale="50" zoomScaleNormal="50" workbookViewId="0" topLeftCell="A1">
      <selection activeCell="A1" sqref="A1"/>
    </sheetView>
  </sheetViews>
  <sheetFormatPr defaultColWidth="9.140625" defaultRowHeight="12.75"/>
  <cols>
    <col min="1" max="1" width="34.28125" style="0" customWidth="1"/>
    <col min="2" max="2" width="9.8515625" style="62" customWidth="1"/>
    <col min="3" max="3" width="13.140625" style="62" customWidth="1"/>
    <col min="4" max="4" width="14.28125" style="61" customWidth="1"/>
    <col min="5" max="5" width="11.28125" style="62" bestFit="1" customWidth="1"/>
    <col min="6" max="6" width="12.28125" style="62" customWidth="1"/>
    <col min="7" max="7" width="14.28125" style="61" customWidth="1"/>
    <col min="8" max="8" width="9.140625" style="62" customWidth="1"/>
    <col min="9" max="9" width="12.28125" style="62" customWidth="1"/>
    <col min="10" max="10" width="14.28125" style="61" customWidth="1"/>
  </cols>
  <sheetData>
    <row r="1" spans="1:11" ht="15.75">
      <c r="A1" s="2" t="s">
        <v>15</v>
      </c>
      <c r="B1" s="99"/>
      <c r="C1" s="99"/>
      <c r="D1" s="98"/>
      <c r="E1" s="99"/>
      <c r="F1" s="99"/>
      <c r="G1" s="98"/>
      <c r="H1" s="99"/>
      <c r="I1" s="99"/>
      <c r="J1" s="98"/>
      <c r="K1" s="14"/>
    </row>
    <row r="2" spans="1:11" ht="23.25">
      <c r="A2" s="3" t="s">
        <v>16</v>
      </c>
      <c r="B2" s="99"/>
      <c r="C2" s="99"/>
      <c r="D2" s="98"/>
      <c r="E2" s="99"/>
      <c r="F2" s="99"/>
      <c r="G2" s="98"/>
      <c r="H2" s="99"/>
      <c r="I2" s="99"/>
      <c r="J2" s="98"/>
      <c r="K2" s="14"/>
    </row>
    <row r="3" spans="1:11" ht="13.5" thickBot="1">
      <c r="A3" s="8"/>
      <c r="B3" s="82"/>
      <c r="C3" s="82"/>
      <c r="D3" s="97"/>
      <c r="E3" s="82"/>
      <c r="F3" s="82"/>
      <c r="G3" s="97"/>
      <c r="H3" s="82"/>
      <c r="I3" s="82"/>
      <c r="J3" s="97"/>
      <c r="K3" s="8"/>
    </row>
    <row r="4" spans="1:11" ht="12.75">
      <c r="A4" s="9"/>
      <c r="B4" s="94" t="s">
        <v>17</v>
      </c>
      <c r="C4" s="96"/>
      <c r="D4" s="95"/>
      <c r="E4" s="94" t="s">
        <v>147</v>
      </c>
      <c r="F4" s="93"/>
      <c r="G4" s="92"/>
      <c r="H4" s="94" t="s">
        <v>18</v>
      </c>
      <c r="I4" s="93"/>
      <c r="J4" s="92"/>
      <c r="K4" s="5" t="s">
        <v>19</v>
      </c>
    </row>
    <row r="5" spans="2:11" s="4" customFormat="1" ht="12.75">
      <c r="B5" s="205" t="s">
        <v>288</v>
      </c>
      <c r="C5" s="207"/>
      <c r="D5" s="206"/>
      <c r="E5" s="226" t="s">
        <v>297</v>
      </c>
      <c r="F5" s="226"/>
      <c r="G5" s="227"/>
      <c r="H5" s="226" t="s">
        <v>301</v>
      </c>
      <c r="I5" s="226"/>
      <c r="J5" s="227"/>
      <c r="K5" s="10" t="s">
        <v>20</v>
      </c>
    </row>
    <row r="6" spans="1:11" s="5" customFormat="1" ht="12.75">
      <c r="A6" s="7"/>
      <c r="B6" s="118" t="s">
        <v>21</v>
      </c>
      <c r="C6" s="90" t="s">
        <v>22</v>
      </c>
      <c r="D6" s="89" t="s">
        <v>23</v>
      </c>
      <c r="E6" s="91" t="s">
        <v>21</v>
      </c>
      <c r="F6" s="90" t="s">
        <v>22</v>
      </c>
      <c r="G6" s="89" t="s">
        <v>23</v>
      </c>
      <c r="H6" s="91" t="s">
        <v>21</v>
      </c>
      <c r="I6" s="90" t="s">
        <v>22</v>
      </c>
      <c r="J6" s="89" t="s">
        <v>23</v>
      </c>
      <c r="K6" s="7" t="s">
        <v>220</v>
      </c>
    </row>
    <row r="7" spans="2:10" s="5" customFormat="1" ht="12.75">
      <c r="B7" s="88"/>
      <c r="C7" s="87"/>
      <c r="D7" s="86"/>
      <c r="E7" s="88"/>
      <c r="F7" s="87"/>
      <c r="G7" s="86"/>
      <c r="H7" s="88"/>
      <c r="I7" s="87"/>
      <c r="J7" s="86"/>
    </row>
    <row r="8" spans="1:11" s="4" customFormat="1" ht="12.75">
      <c r="A8" s="16" t="s">
        <v>24</v>
      </c>
      <c r="B8" s="85">
        <v>12319</v>
      </c>
      <c r="C8" s="84">
        <v>1448030</v>
      </c>
      <c r="D8" s="83">
        <v>56248.3705</v>
      </c>
      <c r="E8" s="85">
        <v>12319</v>
      </c>
      <c r="F8" s="84">
        <v>1448030</v>
      </c>
      <c r="G8" s="83">
        <v>56248.3705</v>
      </c>
      <c r="H8" s="85">
        <v>12581</v>
      </c>
      <c r="I8" s="84">
        <v>1497273</v>
      </c>
      <c r="J8" s="83">
        <v>56426.5506</v>
      </c>
      <c r="K8" s="63">
        <f>(G8-J8)/J8</f>
        <v>-0.003157735110605982</v>
      </c>
    </row>
    <row r="9" spans="1:11" ht="12.75">
      <c r="A9" s="16"/>
      <c r="B9" s="73"/>
      <c r="C9" s="72"/>
      <c r="D9" s="71"/>
      <c r="E9" s="73"/>
      <c r="F9" s="72"/>
      <c r="G9" s="71"/>
      <c r="H9" s="73"/>
      <c r="I9" s="72"/>
      <c r="J9" s="71"/>
      <c r="K9" s="67"/>
    </row>
    <row r="10" spans="1:11" ht="12.75">
      <c r="A10" s="16" t="s">
        <v>25</v>
      </c>
      <c r="B10" s="73">
        <v>-15</v>
      </c>
      <c r="C10" s="72">
        <v>-1146</v>
      </c>
      <c r="D10" s="71">
        <v>-39.071</v>
      </c>
      <c r="E10" s="73">
        <v>-15</v>
      </c>
      <c r="F10" s="72">
        <v>-1146</v>
      </c>
      <c r="G10" s="71">
        <v>-39.071</v>
      </c>
      <c r="H10" s="73">
        <v>-39</v>
      </c>
      <c r="I10" s="72">
        <v>-5070</v>
      </c>
      <c r="J10" s="71">
        <v>-95.2594</v>
      </c>
      <c r="K10" s="67">
        <f>(G10-J10)/J10</f>
        <v>-0.5898462513935633</v>
      </c>
    </row>
    <row r="11" spans="1:11" ht="12.75">
      <c r="A11" s="16" t="s">
        <v>26</v>
      </c>
      <c r="B11" s="73">
        <v>-8</v>
      </c>
      <c r="C11" s="72">
        <v>-1422</v>
      </c>
      <c r="D11" s="71">
        <v>-50.6146</v>
      </c>
      <c r="E11" s="73">
        <v>-8</v>
      </c>
      <c r="F11" s="72">
        <v>-1422</v>
      </c>
      <c r="G11" s="71">
        <v>-50.6146</v>
      </c>
      <c r="H11" s="73">
        <v>-3</v>
      </c>
      <c r="I11" s="72">
        <v>-248</v>
      </c>
      <c r="J11" s="71">
        <v>-3.5736</v>
      </c>
      <c r="K11" s="67">
        <f>(G11-J11)/J11</f>
        <v>13.163476606223417</v>
      </c>
    </row>
    <row r="12" spans="1:11" ht="12.75">
      <c r="A12" s="16" t="s">
        <v>27</v>
      </c>
      <c r="B12" s="73">
        <v>44</v>
      </c>
      <c r="C12" s="72">
        <v>3457</v>
      </c>
      <c r="D12" s="71">
        <v>208.4451</v>
      </c>
      <c r="E12" s="73">
        <v>44</v>
      </c>
      <c r="F12" s="72">
        <v>3457</v>
      </c>
      <c r="G12" s="71">
        <v>208.4451</v>
      </c>
      <c r="H12" s="73">
        <v>29</v>
      </c>
      <c r="I12" s="72">
        <v>2529</v>
      </c>
      <c r="J12" s="71">
        <v>141.1793</v>
      </c>
      <c r="K12" s="67">
        <f>(G12-J12)/J12</f>
        <v>0.47645653435029056</v>
      </c>
    </row>
    <row r="13" spans="2:11" ht="12.75">
      <c r="B13" s="73"/>
      <c r="C13" s="72"/>
      <c r="D13" s="71"/>
      <c r="E13" s="73"/>
      <c r="F13" s="72"/>
      <c r="G13" s="71"/>
      <c r="H13" s="73"/>
      <c r="I13" s="72"/>
      <c r="J13" s="71"/>
      <c r="K13" s="67"/>
    </row>
    <row r="14" spans="1:11" ht="13.5" thickBot="1">
      <c r="A14" s="78" t="s">
        <v>28</v>
      </c>
      <c r="B14" s="278"/>
      <c r="C14" s="82"/>
      <c r="D14" s="279"/>
      <c r="E14" s="278"/>
      <c r="F14" s="82"/>
      <c r="G14" s="279"/>
      <c r="H14" s="278"/>
      <c r="I14" s="82"/>
      <c r="J14" s="279"/>
      <c r="K14" s="67"/>
    </row>
    <row r="15" spans="1:11" ht="12.75">
      <c r="A15" s="81" t="s">
        <v>29</v>
      </c>
      <c r="B15" s="261">
        <v>10</v>
      </c>
      <c r="C15" s="280">
        <v>1374</v>
      </c>
      <c r="D15" s="263">
        <v>116.0298</v>
      </c>
      <c r="E15" s="261">
        <v>10</v>
      </c>
      <c r="F15" s="280">
        <v>1374</v>
      </c>
      <c r="G15" s="263">
        <v>116.0298</v>
      </c>
      <c r="H15" s="261">
        <v>8</v>
      </c>
      <c r="I15" s="280">
        <v>1354</v>
      </c>
      <c r="J15" s="264">
        <v>82.7503</v>
      </c>
      <c r="K15" s="281">
        <f>(G15-J15)/J15</f>
        <v>0.4021677262801464</v>
      </c>
    </row>
    <row r="16" spans="1:11" ht="12.75">
      <c r="A16" s="75" t="s">
        <v>30</v>
      </c>
      <c r="B16" s="266">
        <v>32</v>
      </c>
      <c r="C16" s="267">
        <v>1873</v>
      </c>
      <c r="D16" s="268">
        <v>89.1942</v>
      </c>
      <c r="E16" s="266">
        <v>32</v>
      </c>
      <c r="F16" s="267">
        <v>1873</v>
      </c>
      <c r="G16" s="268">
        <v>89.1942</v>
      </c>
      <c r="H16" s="266">
        <v>17</v>
      </c>
      <c r="I16" s="267">
        <v>728</v>
      </c>
      <c r="J16" s="269">
        <v>49.809</v>
      </c>
      <c r="K16" s="282">
        <f>(G16-J16)/J16</f>
        <v>0.7907245678491839</v>
      </c>
    </row>
    <row r="17" spans="1:11" ht="12.75">
      <c r="A17" s="75" t="s">
        <v>31</v>
      </c>
      <c r="B17" s="266">
        <v>0</v>
      </c>
      <c r="C17" s="283">
        <v>0</v>
      </c>
      <c r="D17" s="268">
        <v>0</v>
      </c>
      <c r="E17" s="266">
        <v>0</v>
      </c>
      <c r="F17" s="283">
        <v>0</v>
      </c>
      <c r="G17" s="268">
        <v>0</v>
      </c>
      <c r="H17" s="266">
        <v>0</v>
      </c>
      <c r="I17" s="283">
        <v>0</v>
      </c>
      <c r="J17" s="269">
        <v>0</v>
      </c>
      <c r="K17" s="420" t="s">
        <v>44</v>
      </c>
    </row>
    <row r="18" spans="1:11" ht="12.75">
      <c r="A18" s="75" t="s">
        <v>32</v>
      </c>
      <c r="B18" s="266">
        <v>0</v>
      </c>
      <c r="C18" s="283">
        <v>0</v>
      </c>
      <c r="D18" s="268">
        <v>0</v>
      </c>
      <c r="E18" s="266">
        <v>0</v>
      </c>
      <c r="F18" s="283">
        <v>0</v>
      </c>
      <c r="G18" s="268">
        <v>0</v>
      </c>
      <c r="H18" s="266">
        <v>0</v>
      </c>
      <c r="I18" s="283">
        <v>0</v>
      </c>
      <c r="J18" s="269">
        <v>0</v>
      </c>
      <c r="K18" s="420" t="s">
        <v>44</v>
      </c>
    </row>
    <row r="19" spans="1:11" ht="13.5" thickBot="1">
      <c r="A19" s="80" t="s">
        <v>33</v>
      </c>
      <c r="B19" s="271">
        <v>2</v>
      </c>
      <c r="C19" s="272">
        <v>210</v>
      </c>
      <c r="D19" s="273">
        <v>3.2211</v>
      </c>
      <c r="E19" s="271">
        <v>2</v>
      </c>
      <c r="F19" s="272">
        <v>210</v>
      </c>
      <c r="G19" s="273">
        <v>3.2211</v>
      </c>
      <c r="H19" s="271">
        <v>4</v>
      </c>
      <c r="I19" s="272">
        <v>447</v>
      </c>
      <c r="J19" s="274">
        <v>8.62</v>
      </c>
      <c r="K19" s="284">
        <f>(G19-J19)/J19</f>
        <v>-0.626322505800464</v>
      </c>
    </row>
    <row r="20" spans="1:11" ht="12.75">
      <c r="A20" s="79"/>
      <c r="B20" s="73"/>
      <c r="C20" s="72"/>
      <c r="D20" s="71"/>
      <c r="E20" s="73"/>
      <c r="F20" s="72"/>
      <c r="G20" s="71"/>
      <c r="H20" s="73"/>
      <c r="I20" s="72"/>
      <c r="J20" s="285"/>
      <c r="K20" s="67"/>
    </row>
    <row r="21" spans="1:11" ht="13.5" thickBot="1">
      <c r="A21" s="78" t="s">
        <v>221</v>
      </c>
      <c r="B21" s="73"/>
      <c r="C21" s="72"/>
      <c r="D21" s="71"/>
      <c r="E21" s="73"/>
      <c r="F21" s="72"/>
      <c r="G21" s="71"/>
      <c r="H21" s="73"/>
      <c r="I21" s="72"/>
      <c r="J21" s="285"/>
      <c r="K21" s="67"/>
    </row>
    <row r="22" spans="1:11" ht="12.75">
      <c r="A22" s="77" t="s">
        <v>34</v>
      </c>
      <c r="B22" s="286"/>
      <c r="C22" s="287"/>
      <c r="D22" s="288"/>
      <c r="E22" s="286"/>
      <c r="F22" s="287"/>
      <c r="G22" s="288"/>
      <c r="H22" s="286"/>
      <c r="I22" s="287"/>
      <c r="J22" s="288"/>
      <c r="K22" s="281"/>
    </row>
    <row r="23" spans="1:11" ht="12.75">
      <c r="A23" s="75" t="s">
        <v>35</v>
      </c>
      <c r="B23" s="266">
        <v>2</v>
      </c>
      <c r="C23" s="267">
        <v>150</v>
      </c>
      <c r="D23" s="268">
        <v>10.3447</v>
      </c>
      <c r="E23" s="266">
        <v>2</v>
      </c>
      <c r="F23" s="267">
        <v>150</v>
      </c>
      <c r="G23" s="268">
        <v>10.3447</v>
      </c>
      <c r="H23" s="266">
        <v>13</v>
      </c>
      <c r="I23" s="267">
        <v>399</v>
      </c>
      <c r="J23" s="268">
        <v>22.5888</v>
      </c>
      <c r="K23" s="282">
        <f aca="true" t="shared" si="0" ref="K23:K28">(G23-J23)/J23</f>
        <v>-0.5420429593426831</v>
      </c>
    </row>
    <row r="24" spans="1:11" ht="12.75">
      <c r="A24" s="75" t="s">
        <v>36</v>
      </c>
      <c r="B24" s="266">
        <v>5</v>
      </c>
      <c r="C24" s="267">
        <v>698</v>
      </c>
      <c r="D24" s="268">
        <v>47.8805</v>
      </c>
      <c r="E24" s="266">
        <v>5</v>
      </c>
      <c r="F24" s="267">
        <v>698</v>
      </c>
      <c r="G24" s="268">
        <v>47.8805</v>
      </c>
      <c r="H24" s="266">
        <v>6</v>
      </c>
      <c r="I24" s="267">
        <v>986</v>
      </c>
      <c r="J24" s="268">
        <v>61.4847</v>
      </c>
      <c r="K24" s="282">
        <f t="shared" si="0"/>
        <v>-0.22126154962128788</v>
      </c>
    </row>
    <row r="25" spans="1:11" ht="12.75">
      <c r="A25" s="75" t="s">
        <v>37</v>
      </c>
      <c r="B25" s="266">
        <v>28</v>
      </c>
      <c r="C25" s="267">
        <v>1656</v>
      </c>
      <c r="D25" s="268">
        <v>67.8602</v>
      </c>
      <c r="E25" s="266">
        <v>28</v>
      </c>
      <c r="F25" s="267">
        <v>1656</v>
      </c>
      <c r="G25" s="268">
        <v>67.8602</v>
      </c>
      <c r="H25" s="266">
        <v>4</v>
      </c>
      <c r="I25" s="267">
        <v>425</v>
      </c>
      <c r="J25" s="268">
        <v>18.2933</v>
      </c>
      <c r="K25" s="282">
        <f t="shared" si="0"/>
        <v>2.709565797313771</v>
      </c>
    </row>
    <row r="26" spans="1:11" ht="12.75">
      <c r="A26" s="75" t="s">
        <v>38</v>
      </c>
      <c r="B26" s="266">
        <v>5</v>
      </c>
      <c r="C26" s="267">
        <v>430</v>
      </c>
      <c r="D26" s="268">
        <v>17.8154</v>
      </c>
      <c r="E26" s="266">
        <v>5</v>
      </c>
      <c r="F26" s="267">
        <v>430</v>
      </c>
      <c r="G26" s="268">
        <v>17.8154</v>
      </c>
      <c r="H26" s="266">
        <v>4</v>
      </c>
      <c r="I26" s="267">
        <v>521</v>
      </c>
      <c r="J26" s="268">
        <v>28.89</v>
      </c>
      <c r="K26" s="282">
        <f t="shared" si="0"/>
        <v>-0.3833367947386639</v>
      </c>
    </row>
    <row r="27" spans="1:11" ht="12.75">
      <c r="A27" s="76" t="s">
        <v>39</v>
      </c>
      <c r="B27" s="266"/>
      <c r="C27" s="267"/>
      <c r="D27" s="268"/>
      <c r="E27" s="266"/>
      <c r="F27" s="267"/>
      <c r="G27" s="268"/>
      <c r="H27" s="266"/>
      <c r="I27" s="267"/>
      <c r="J27" s="268"/>
      <c r="K27" s="282"/>
    </row>
    <row r="28" spans="1:11" ht="12.75">
      <c r="A28" s="75" t="s">
        <v>41</v>
      </c>
      <c r="B28" s="266">
        <v>2</v>
      </c>
      <c r="C28" s="267">
        <v>335</v>
      </c>
      <c r="D28" s="268">
        <v>55.1348</v>
      </c>
      <c r="E28" s="266">
        <v>2</v>
      </c>
      <c r="F28" s="267">
        <v>335</v>
      </c>
      <c r="G28" s="268">
        <v>55.1348</v>
      </c>
      <c r="H28" s="266">
        <v>2</v>
      </c>
      <c r="I28" s="267">
        <v>198</v>
      </c>
      <c r="J28" s="268">
        <v>9.9225</v>
      </c>
      <c r="K28" s="282">
        <f t="shared" si="0"/>
        <v>4.556543209876543</v>
      </c>
    </row>
    <row r="29" spans="1:11" ht="12.75">
      <c r="A29" s="75" t="s">
        <v>259</v>
      </c>
      <c r="B29" s="266">
        <v>0</v>
      </c>
      <c r="C29" s="267">
        <v>0</v>
      </c>
      <c r="D29" s="268">
        <v>0</v>
      </c>
      <c r="E29" s="266">
        <v>0</v>
      </c>
      <c r="F29" s="267">
        <v>0</v>
      </c>
      <c r="G29" s="268">
        <v>0</v>
      </c>
      <c r="H29" s="266">
        <v>0</v>
      </c>
      <c r="I29" s="267">
        <v>0</v>
      </c>
      <c r="J29" s="268">
        <v>0</v>
      </c>
      <c r="K29" s="420" t="s">
        <v>44</v>
      </c>
    </row>
    <row r="30" spans="1:11" ht="12.75">
      <c r="A30" s="75" t="s">
        <v>42</v>
      </c>
      <c r="B30" s="266">
        <v>2</v>
      </c>
      <c r="C30" s="267">
        <v>188</v>
      </c>
      <c r="D30" s="268">
        <v>9.4095</v>
      </c>
      <c r="E30" s="266">
        <v>2</v>
      </c>
      <c r="F30" s="267">
        <v>188</v>
      </c>
      <c r="G30" s="268">
        <v>9.4095</v>
      </c>
      <c r="H30" s="266">
        <v>0</v>
      </c>
      <c r="I30" s="267">
        <v>0</v>
      </c>
      <c r="J30" s="268">
        <v>0</v>
      </c>
      <c r="K30" s="420" t="s">
        <v>44</v>
      </c>
    </row>
    <row r="31" spans="1:11" ht="13.5" thickBot="1">
      <c r="A31" s="74" t="s">
        <v>43</v>
      </c>
      <c r="B31" s="271">
        <v>0</v>
      </c>
      <c r="C31" s="272">
        <v>0</v>
      </c>
      <c r="D31" s="273">
        <v>0</v>
      </c>
      <c r="E31" s="271">
        <v>0</v>
      </c>
      <c r="F31" s="272">
        <v>0</v>
      </c>
      <c r="G31" s="273">
        <v>0</v>
      </c>
      <c r="H31" s="271">
        <v>0</v>
      </c>
      <c r="I31" s="272">
        <v>0</v>
      </c>
      <c r="J31" s="273">
        <v>0</v>
      </c>
      <c r="K31" s="421" t="s">
        <v>44</v>
      </c>
    </row>
    <row r="32" spans="1:11" ht="12.75">
      <c r="A32" s="9"/>
      <c r="B32" s="286"/>
      <c r="C32" s="287"/>
      <c r="D32" s="288"/>
      <c r="E32" s="286"/>
      <c r="F32" s="287"/>
      <c r="G32" s="288"/>
      <c r="H32" s="286"/>
      <c r="I32" s="287"/>
      <c r="J32" s="288"/>
      <c r="K32" s="67"/>
    </row>
    <row r="33" spans="1:11" ht="12.75">
      <c r="A33" s="24" t="s">
        <v>45</v>
      </c>
      <c r="B33" s="73">
        <v>-11</v>
      </c>
      <c r="C33" s="72">
        <v>-1251</v>
      </c>
      <c r="D33" s="71">
        <v>-39.9683</v>
      </c>
      <c r="E33" s="73">
        <v>-11</v>
      </c>
      <c r="F33" s="72">
        <v>-1251</v>
      </c>
      <c r="G33" s="71">
        <v>-39.9683</v>
      </c>
      <c r="H33" s="73">
        <v>-26</v>
      </c>
      <c r="I33" s="72">
        <v>-4729</v>
      </c>
      <c r="J33" s="71">
        <v>-151.3739</v>
      </c>
      <c r="K33" s="67"/>
    </row>
    <row r="34" spans="1:11" ht="12.75">
      <c r="A34" s="24" t="s">
        <v>46</v>
      </c>
      <c r="B34" s="73">
        <v>0</v>
      </c>
      <c r="C34" s="72">
        <v>0</v>
      </c>
      <c r="D34" s="71">
        <v>0</v>
      </c>
      <c r="E34" s="73">
        <v>0</v>
      </c>
      <c r="F34" s="72">
        <v>0</v>
      </c>
      <c r="G34" s="71">
        <v>0</v>
      </c>
      <c r="H34" s="73">
        <v>0</v>
      </c>
      <c r="I34" s="72">
        <v>0</v>
      </c>
      <c r="J34" s="71">
        <v>0</v>
      </c>
      <c r="K34" s="67"/>
    </row>
    <row r="35" spans="1:11" ht="12.75">
      <c r="A35" s="24" t="s">
        <v>47</v>
      </c>
      <c r="B35" s="73">
        <v>1</v>
      </c>
      <c r="C35" s="72">
        <v>275</v>
      </c>
      <c r="D35" s="71">
        <v>7.9618</v>
      </c>
      <c r="E35" s="73">
        <v>1</v>
      </c>
      <c r="F35" s="72">
        <v>275</v>
      </c>
      <c r="G35" s="71">
        <v>7.9618</v>
      </c>
      <c r="H35" s="73">
        <v>1</v>
      </c>
      <c r="I35" s="72">
        <v>151</v>
      </c>
      <c r="J35" s="71">
        <v>7.385</v>
      </c>
      <c r="K35" s="67"/>
    </row>
    <row r="36" spans="1:11" ht="12.75">
      <c r="A36" s="38"/>
      <c r="B36" s="73"/>
      <c r="C36" s="72"/>
      <c r="D36" s="71"/>
      <c r="E36" s="73"/>
      <c r="F36" s="72"/>
      <c r="G36" s="71"/>
      <c r="H36" s="73"/>
      <c r="I36" s="72"/>
      <c r="J36" s="71"/>
      <c r="K36" s="67" t="s">
        <v>40</v>
      </c>
    </row>
    <row r="37" spans="1:11" ht="12.75">
      <c r="A37" s="16" t="s">
        <v>48</v>
      </c>
      <c r="B37" s="73">
        <f>B39-(B8+B10+B11+B12+B33+B34+B35)</f>
        <v>0</v>
      </c>
      <c r="C37" s="72">
        <f aca="true" t="shared" si="1" ref="C37:J37">C39-(C8+C10+C11+C12+C33+C34+C35)</f>
        <v>0</v>
      </c>
      <c r="D37" s="71">
        <f t="shared" si="1"/>
        <v>-82.09189999998489</v>
      </c>
      <c r="E37" s="73">
        <f t="shared" si="1"/>
        <v>0</v>
      </c>
      <c r="F37" s="72">
        <f t="shared" si="1"/>
        <v>0</v>
      </c>
      <c r="G37" s="71">
        <f t="shared" si="1"/>
        <v>-82.09189999998489</v>
      </c>
      <c r="H37" s="73">
        <f t="shared" si="1"/>
        <v>2</v>
      </c>
      <c r="I37" s="72">
        <f t="shared" si="1"/>
        <v>1404</v>
      </c>
      <c r="J37" s="71">
        <f t="shared" si="1"/>
        <v>67.16059999999561</v>
      </c>
      <c r="K37" s="67"/>
    </row>
    <row r="38" spans="1:11" ht="12.75">
      <c r="A38" s="15"/>
      <c r="B38" s="73"/>
      <c r="C38" s="72"/>
      <c r="D38" s="71"/>
      <c r="E38" s="70"/>
      <c r="F38" s="69"/>
      <c r="G38" s="68"/>
      <c r="H38" s="70"/>
      <c r="I38" s="69"/>
      <c r="J38" s="68"/>
      <c r="K38" s="67"/>
    </row>
    <row r="39" spans="1:11" s="4" customFormat="1" ht="13.5" thickBot="1">
      <c r="A39" s="16" t="s">
        <v>49</v>
      </c>
      <c r="B39" s="66">
        <v>12330</v>
      </c>
      <c r="C39" s="65">
        <v>1447943</v>
      </c>
      <c r="D39" s="64">
        <v>56253.0316</v>
      </c>
      <c r="E39" s="66">
        <v>12330</v>
      </c>
      <c r="F39" s="65">
        <v>1447943</v>
      </c>
      <c r="G39" s="64">
        <v>56253.0316</v>
      </c>
      <c r="H39" s="66">
        <v>12545</v>
      </c>
      <c r="I39" s="65">
        <v>1491310</v>
      </c>
      <c r="J39" s="64">
        <v>56392.0686</v>
      </c>
      <c r="K39" s="63">
        <f>(G39-J39)/J39</f>
        <v>-0.00246554175882806</v>
      </c>
    </row>
    <row r="42" ht="12.75">
      <c r="A42" t="s">
        <v>192</v>
      </c>
    </row>
    <row r="43" ht="12.75">
      <c r="A43" s="15" t="s">
        <v>149</v>
      </c>
    </row>
    <row r="44" ht="12.75">
      <c r="A44" s="126" t="s">
        <v>40</v>
      </c>
    </row>
  </sheetData>
  <printOptions horizontalCentered="1"/>
  <pageMargins left="0.75" right="0.75" top="1" bottom="1" header="0.5" footer="0.5"/>
  <pageSetup horizontalDpi="300" verticalDpi="300" orientation="landscape" scale="79" r:id="rId1"/>
  <headerFooter alignWithMargins="0">
    <oddFooter>&amp;C&amp;8&amp;D
&amp;F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K40"/>
  <sheetViews>
    <sheetView zoomScale="50" zoomScaleNormal="50" workbookViewId="0" topLeftCell="A1">
      <selection activeCell="A1" sqref="A1"/>
    </sheetView>
  </sheetViews>
  <sheetFormatPr defaultColWidth="9.140625" defaultRowHeight="12.75"/>
  <cols>
    <col min="1" max="1" width="34.28125" style="0" customWidth="1"/>
    <col min="2" max="2" width="9.8515625" style="62" customWidth="1"/>
    <col min="3" max="3" width="13.140625" style="62" customWidth="1"/>
    <col min="4" max="4" width="14.28125" style="61" customWidth="1"/>
    <col min="5" max="5" width="10.140625" style="62" bestFit="1" customWidth="1"/>
    <col min="6" max="6" width="12.28125" style="62" customWidth="1"/>
    <col min="7" max="7" width="14.28125" style="61" customWidth="1"/>
    <col min="8" max="8" width="9.140625" style="62" customWidth="1"/>
    <col min="9" max="9" width="12.28125" style="62" customWidth="1"/>
    <col min="10" max="10" width="14.28125" style="61" customWidth="1"/>
  </cols>
  <sheetData>
    <row r="1" spans="1:11" ht="15.75">
      <c r="A1" s="2" t="s">
        <v>15</v>
      </c>
      <c r="B1" s="99"/>
      <c r="C1" s="99"/>
      <c r="D1" s="98"/>
      <c r="E1" s="99"/>
      <c r="F1" s="99"/>
      <c r="G1" s="98"/>
      <c r="H1" s="99"/>
      <c r="I1" s="99"/>
      <c r="J1" s="98"/>
      <c r="K1" s="14"/>
    </row>
    <row r="2" spans="1:11" ht="23.25">
      <c r="A2" s="3" t="s">
        <v>50</v>
      </c>
      <c r="B2" s="99"/>
      <c r="C2" s="99"/>
      <c r="D2" s="98"/>
      <c r="E2" s="99"/>
      <c r="F2" s="99"/>
      <c r="G2" s="98"/>
      <c r="H2" s="99"/>
      <c r="I2" s="99"/>
      <c r="J2" s="98"/>
      <c r="K2" s="14"/>
    </row>
    <row r="3" spans="1:11" ht="13.5" thickBot="1">
      <c r="A3" s="8"/>
      <c r="B3" s="82"/>
      <c r="C3" s="82"/>
      <c r="D3" s="97"/>
      <c r="E3" s="82"/>
      <c r="F3" s="82"/>
      <c r="G3" s="97"/>
      <c r="H3" s="82"/>
      <c r="I3" s="82"/>
      <c r="J3" s="97"/>
      <c r="K3" s="8"/>
    </row>
    <row r="4" spans="1:11" ht="12.75">
      <c r="A4" s="9"/>
      <c r="B4" s="94" t="s">
        <v>17</v>
      </c>
      <c r="C4" s="96"/>
      <c r="D4" s="95"/>
      <c r="E4" s="94" t="s">
        <v>147</v>
      </c>
      <c r="F4" s="93"/>
      <c r="G4" s="92"/>
      <c r="H4" s="94" t="s">
        <v>18</v>
      </c>
      <c r="I4" s="93"/>
      <c r="J4" s="92"/>
      <c r="K4" s="5" t="s">
        <v>19</v>
      </c>
    </row>
    <row r="5" spans="2:11" s="4" customFormat="1" ht="12.75">
      <c r="B5" s="205" t="s">
        <v>288</v>
      </c>
      <c r="C5" s="233"/>
      <c r="D5" s="206"/>
      <c r="E5" s="226" t="s">
        <v>297</v>
      </c>
      <c r="F5" s="226"/>
      <c r="G5" s="227"/>
      <c r="H5" s="437" t="s">
        <v>301</v>
      </c>
      <c r="I5" s="438"/>
      <c r="J5" s="439"/>
      <c r="K5" s="10" t="s">
        <v>20</v>
      </c>
    </row>
    <row r="6" spans="1:11" s="5" customFormat="1" ht="13.5" thickBot="1">
      <c r="A6" s="7"/>
      <c r="B6" s="182" t="s">
        <v>21</v>
      </c>
      <c r="C6" s="183" t="s">
        <v>22</v>
      </c>
      <c r="D6" s="184" t="s">
        <v>23</v>
      </c>
      <c r="E6" s="182" t="s">
        <v>21</v>
      </c>
      <c r="F6" s="183" t="s">
        <v>22</v>
      </c>
      <c r="G6" s="184" t="s">
        <v>23</v>
      </c>
      <c r="H6" s="182" t="s">
        <v>21</v>
      </c>
      <c r="I6" s="183" t="s">
        <v>22</v>
      </c>
      <c r="J6" s="184" t="s">
        <v>23</v>
      </c>
      <c r="K6" s="7" t="s">
        <v>220</v>
      </c>
    </row>
    <row r="7" spans="2:10" s="5" customFormat="1" ht="12.75">
      <c r="B7" s="88"/>
      <c r="C7" s="87"/>
      <c r="D7" s="86"/>
      <c r="E7" s="88"/>
      <c r="F7" s="87"/>
      <c r="G7" s="86"/>
      <c r="H7" s="88"/>
      <c r="I7" s="87"/>
      <c r="J7" s="86"/>
    </row>
    <row r="8" spans="1:11" s="4" customFormat="1" ht="12.75">
      <c r="A8" s="4" t="s">
        <v>51</v>
      </c>
      <c r="B8" s="85">
        <v>2992</v>
      </c>
      <c r="C8" s="84">
        <v>225259</v>
      </c>
      <c r="D8" s="83">
        <v>3715.0373</v>
      </c>
      <c r="E8" s="85">
        <v>2992</v>
      </c>
      <c r="F8" s="84">
        <v>225259</v>
      </c>
      <c r="G8" s="83">
        <v>3715.0373</v>
      </c>
      <c r="H8" s="85">
        <v>2942</v>
      </c>
      <c r="I8" s="84">
        <v>225507</v>
      </c>
      <c r="J8" s="83">
        <v>3717.2238</v>
      </c>
      <c r="K8" s="63">
        <f>(G8-J8)/J8</f>
        <v>-0.0005882077909864482</v>
      </c>
    </row>
    <row r="9" spans="2:11" ht="12.75">
      <c r="B9" s="73"/>
      <c r="C9" s="72"/>
      <c r="D9" s="71"/>
      <c r="E9" s="73"/>
      <c r="F9" s="72"/>
      <c r="G9" s="71"/>
      <c r="H9" s="73"/>
      <c r="I9" s="72"/>
      <c r="J9" s="71"/>
      <c r="K9" s="67" t="s">
        <v>40</v>
      </c>
    </row>
    <row r="10" spans="1:11" ht="12.75">
      <c r="A10" s="15" t="s">
        <v>52</v>
      </c>
      <c r="B10" s="73">
        <v>-2</v>
      </c>
      <c r="C10" s="72">
        <v>-460</v>
      </c>
      <c r="D10" s="71">
        <v>-7.2933</v>
      </c>
      <c r="E10" s="73">
        <v>-2</v>
      </c>
      <c r="F10" s="72">
        <v>-460</v>
      </c>
      <c r="G10" s="71">
        <v>-7.2933</v>
      </c>
      <c r="H10" s="73">
        <v>-3</v>
      </c>
      <c r="I10" s="72">
        <v>-671</v>
      </c>
      <c r="J10" s="71">
        <v>-12.9682</v>
      </c>
      <c r="K10" s="67">
        <f>(G10-J10)/J10</f>
        <v>-0.4376012091115189</v>
      </c>
    </row>
    <row r="11" spans="1:11" ht="12.75">
      <c r="A11" s="15" t="s">
        <v>53</v>
      </c>
      <c r="B11" s="73">
        <v>0</v>
      </c>
      <c r="C11" s="72">
        <v>0</v>
      </c>
      <c r="D11" s="71">
        <v>0</v>
      </c>
      <c r="E11" s="73">
        <v>0</v>
      </c>
      <c r="F11" s="72">
        <v>0</v>
      </c>
      <c r="G11" s="71">
        <v>0</v>
      </c>
      <c r="H11" s="73">
        <v>0</v>
      </c>
      <c r="I11" s="72">
        <v>0</v>
      </c>
      <c r="J11" s="71">
        <v>0</v>
      </c>
      <c r="K11" s="418" t="s">
        <v>44</v>
      </c>
    </row>
    <row r="12" spans="1:11" ht="12.75">
      <c r="A12" s="15" t="s">
        <v>54</v>
      </c>
      <c r="B12" s="73">
        <v>-3</v>
      </c>
      <c r="C12" s="72">
        <v>-225</v>
      </c>
      <c r="D12" s="71">
        <v>-2.6039</v>
      </c>
      <c r="E12" s="73">
        <v>-3</v>
      </c>
      <c r="F12" s="72">
        <v>-225</v>
      </c>
      <c r="G12" s="71">
        <v>-2.6039</v>
      </c>
      <c r="H12" s="73">
        <v>-1</v>
      </c>
      <c r="I12" s="72">
        <v>-234</v>
      </c>
      <c r="J12" s="71">
        <v>-4.6171</v>
      </c>
      <c r="K12" s="67">
        <f>(G12-J12)/J12</f>
        <v>-0.4360312750427758</v>
      </c>
    </row>
    <row r="13" spans="1:11" ht="12.75">
      <c r="A13" s="15" t="s">
        <v>55</v>
      </c>
      <c r="B13" s="73">
        <v>4</v>
      </c>
      <c r="C13" s="72">
        <v>606</v>
      </c>
      <c r="D13" s="71">
        <v>23.3632</v>
      </c>
      <c r="E13" s="73">
        <v>4</v>
      </c>
      <c r="F13" s="72">
        <v>606</v>
      </c>
      <c r="G13" s="71">
        <v>23.3632</v>
      </c>
      <c r="H13" s="73">
        <v>10</v>
      </c>
      <c r="I13" s="72">
        <v>1140</v>
      </c>
      <c r="J13" s="71">
        <v>18.1157</v>
      </c>
      <c r="K13" s="67">
        <f>(G13-J13)/J13</f>
        <v>0.2896658699360223</v>
      </c>
    </row>
    <row r="14" spans="1:11" ht="12.75">
      <c r="A14" s="15"/>
      <c r="B14" s="73"/>
      <c r="C14" s="72"/>
      <c r="D14" s="71"/>
      <c r="E14" s="73"/>
      <c r="F14" s="72"/>
      <c r="G14" s="71"/>
      <c r="H14" s="73"/>
      <c r="I14" s="72"/>
      <c r="J14" s="71"/>
      <c r="K14" s="67" t="s">
        <v>40</v>
      </c>
    </row>
    <row r="15" spans="1:11" ht="13.5" thickBot="1">
      <c r="A15" s="15" t="s">
        <v>56</v>
      </c>
      <c r="B15" s="73"/>
      <c r="C15" s="72"/>
      <c r="D15" s="71"/>
      <c r="E15" s="73"/>
      <c r="F15" s="72"/>
      <c r="G15" s="71"/>
      <c r="H15" s="73"/>
      <c r="I15" s="72"/>
      <c r="J15" s="71"/>
      <c r="K15" s="67" t="s">
        <v>40</v>
      </c>
    </row>
    <row r="16" spans="1:11" s="198" customFormat="1" ht="11.25">
      <c r="A16" s="77" t="s">
        <v>33</v>
      </c>
      <c r="B16" s="261">
        <v>1</v>
      </c>
      <c r="C16" s="262">
        <v>150</v>
      </c>
      <c r="D16" s="263">
        <v>0.8367</v>
      </c>
      <c r="E16" s="261">
        <v>1</v>
      </c>
      <c r="F16" s="262">
        <v>150</v>
      </c>
      <c r="G16" s="263">
        <v>0.8367</v>
      </c>
      <c r="H16" s="261">
        <v>5</v>
      </c>
      <c r="I16" s="262">
        <v>363</v>
      </c>
      <c r="J16" s="264">
        <v>5.9552</v>
      </c>
      <c r="K16" s="265">
        <f>(G16-J16)/J16</f>
        <v>-0.859500940354648</v>
      </c>
    </row>
    <row r="17" spans="1:11" s="198" customFormat="1" ht="11.25" hidden="1">
      <c r="A17" s="185" t="s">
        <v>57</v>
      </c>
      <c r="B17" s="266">
        <v>0</v>
      </c>
      <c r="C17" s="267"/>
      <c r="D17" s="268"/>
      <c r="E17" s="266">
        <v>0</v>
      </c>
      <c r="F17" s="267"/>
      <c r="G17" s="268"/>
      <c r="H17" s="266">
        <v>0</v>
      </c>
      <c r="I17" s="267"/>
      <c r="J17" s="269"/>
      <c r="K17" s="270" t="s">
        <v>44</v>
      </c>
    </row>
    <row r="18" spans="1:11" s="198" customFormat="1" ht="12" thickBot="1">
      <c r="A18" s="186" t="s">
        <v>58</v>
      </c>
      <c r="B18" s="271">
        <v>3</v>
      </c>
      <c r="C18" s="272">
        <v>456</v>
      </c>
      <c r="D18" s="273">
        <v>22.5265</v>
      </c>
      <c r="E18" s="271">
        <v>3</v>
      </c>
      <c r="F18" s="272">
        <v>456</v>
      </c>
      <c r="G18" s="273">
        <v>22.5265</v>
      </c>
      <c r="H18" s="271">
        <v>5</v>
      </c>
      <c r="I18" s="272">
        <v>777</v>
      </c>
      <c r="J18" s="274">
        <v>12.1605</v>
      </c>
      <c r="K18" s="275">
        <f>(G18-J18)/J18</f>
        <v>0.8524320546030177</v>
      </c>
    </row>
    <row r="19" spans="1:11" ht="12.75">
      <c r="A19" s="187"/>
      <c r="B19" s="73"/>
      <c r="C19" s="72"/>
      <c r="D19" s="71"/>
      <c r="E19" s="73"/>
      <c r="F19" s="72"/>
      <c r="G19" s="71"/>
      <c r="H19" s="73"/>
      <c r="I19" s="72"/>
      <c r="J19" s="71"/>
      <c r="K19" s="276" t="s">
        <v>40</v>
      </c>
    </row>
    <row r="20" spans="1:11" ht="12.75">
      <c r="A20" s="188" t="s">
        <v>59</v>
      </c>
      <c r="B20" s="73">
        <f>B22-(B8+B10+B11+B12+B13)</f>
        <v>-3</v>
      </c>
      <c r="C20" s="72">
        <f aca="true" t="shared" si="0" ref="C20:J20">C22-(C8+C10+C11+C12+C13)</f>
        <v>-368</v>
      </c>
      <c r="D20" s="71">
        <f t="shared" si="0"/>
        <v>16.1229000000003</v>
      </c>
      <c r="E20" s="73">
        <f t="shared" si="0"/>
        <v>-3</v>
      </c>
      <c r="F20" s="72">
        <f t="shared" si="0"/>
        <v>-368</v>
      </c>
      <c r="G20" s="71">
        <f t="shared" si="0"/>
        <v>16.1229000000003</v>
      </c>
      <c r="H20" s="73">
        <f t="shared" si="0"/>
        <v>0</v>
      </c>
      <c r="I20" s="72">
        <f t="shared" si="0"/>
        <v>0</v>
      </c>
      <c r="J20" s="71">
        <f t="shared" si="0"/>
        <v>69.26479999999947</v>
      </c>
      <c r="K20" s="276"/>
    </row>
    <row r="21" spans="1:11" ht="12.75">
      <c r="A21" s="188"/>
      <c r="B21" s="73"/>
      <c r="C21" s="72"/>
      <c r="D21" s="71"/>
      <c r="E21" s="73"/>
      <c r="F21" s="72"/>
      <c r="G21" s="71"/>
      <c r="H21" s="73"/>
      <c r="I21" s="72"/>
      <c r="J21" s="71"/>
      <c r="K21" s="67" t="s">
        <v>40</v>
      </c>
    </row>
    <row r="22" spans="1:11" s="4" customFormat="1" ht="12.75">
      <c r="A22" s="4" t="s">
        <v>60</v>
      </c>
      <c r="B22" s="85">
        <v>2988</v>
      </c>
      <c r="C22" s="84">
        <v>224812</v>
      </c>
      <c r="D22" s="83">
        <v>3744.6262</v>
      </c>
      <c r="E22" s="85">
        <v>2988</v>
      </c>
      <c r="F22" s="84">
        <v>224812</v>
      </c>
      <c r="G22" s="83">
        <v>3744.6262</v>
      </c>
      <c r="H22" s="85">
        <v>2948</v>
      </c>
      <c r="I22" s="84">
        <v>225742</v>
      </c>
      <c r="J22" s="83">
        <v>3787.019</v>
      </c>
      <c r="K22" s="63">
        <f>(G22-J22)/J22</f>
        <v>-0.011194240113397801</v>
      </c>
    </row>
    <row r="23" spans="2:11" s="4" customFormat="1" ht="12.75">
      <c r="B23" s="85"/>
      <c r="C23" s="84"/>
      <c r="D23" s="83"/>
      <c r="E23" s="85"/>
      <c r="F23" s="84"/>
      <c r="G23" s="83"/>
      <c r="H23" s="85"/>
      <c r="I23" s="84"/>
      <c r="J23" s="83"/>
      <c r="K23" s="63" t="s">
        <v>40</v>
      </c>
    </row>
    <row r="24" spans="2:11" s="4" customFormat="1" ht="12.75">
      <c r="B24" s="85"/>
      <c r="C24" s="84"/>
      <c r="D24" s="83"/>
      <c r="E24" s="85"/>
      <c r="F24" s="84"/>
      <c r="G24" s="83"/>
      <c r="H24" s="85"/>
      <c r="I24" s="84"/>
      <c r="J24" s="83"/>
      <c r="K24" s="63" t="s">
        <v>40</v>
      </c>
    </row>
    <row r="25" spans="2:11" s="4" customFormat="1" ht="12.75">
      <c r="B25" s="85"/>
      <c r="C25" s="84"/>
      <c r="D25" s="83"/>
      <c r="E25" s="85"/>
      <c r="F25" s="84"/>
      <c r="G25" s="83"/>
      <c r="H25" s="85"/>
      <c r="I25" s="84"/>
      <c r="J25" s="83"/>
      <c r="K25" s="63" t="s">
        <v>40</v>
      </c>
    </row>
    <row r="26" spans="2:11" ht="12" customHeight="1">
      <c r="B26" s="73"/>
      <c r="C26" s="72"/>
      <c r="D26" s="71"/>
      <c r="E26" s="73"/>
      <c r="F26" s="72"/>
      <c r="G26" s="71"/>
      <c r="H26" s="73"/>
      <c r="I26" s="72"/>
      <c r="J26" s="71"/>
      <c r="K26" s="63" t="s">
        <v>40</v>
      </c>
    </row>
    <row r="27" spans="2:11" ht="12.75">
      <c r="B27" s="73"/>
      <c r="C27" s="72"/>
      <c r="D27" s="71"/>
      <c r="E27" s="73"/>
      <c r="F27" s="72"/>
      <c r="G27" s="71"/>
      <c r="H27" s="73"/>
      <c r="I27" s="72"/>
      <c r="J27" s="71"/>
      <c r="K27" s="63" t="s">
        <v>40</v>
      </c>
    </row>
    <row r="28" spans="2:11" ht="12.75">
      <c r="B28" s="73"/>
      <c r="C28" s="72"/>
      <c r="D28" s="71"/>
      <c r="E28" s="73"/>
      <c r="F28" s="72"/>
      <c r="G28" s="71"/>
      <c r="H28" s="73"/>
      <c r="I28" s="72"/>
      <c r="J28" s="71"/>
      <c r="K28" s="63" t="s">
        <v>40</v>
      </c>
    </row>
    <row r="29" spans="1:11" s="4" customFormat="1" ht="12.75">
      <c r="A29" s="4" t="s">
        <v>258</v>
      </c>
      <c r="B29" s="85">
        <v>1</v>
      </c>
      <c r="C29" s="84">
        <v>0</v>
      </c>
      <c r="D29" s="83">
        <v>0</v>
      </c>
      <c r="E29" s="85">
        <v>1</v>
      </c>
      <c r="F29" s="84">
        <v>0</v>
      </c>
      <c r="G29" s="83">
        <v>0</v>
      </c>
      <c r="H29" s="85">
        <v>1</v>
      </c>
      <c r="I29" s="84">
        <v>0</v>
      </c>
      <c r="J29" s="83">
        <v>0</v>
      </c>
      <c r="K29" s="277" t="s">
        <v>44</v>
      </c>
    </row>
    <row r="30" spans="2:11" ht="12.75">
      <c r="B30" s="73"/>
      <c r="C30" s="72"/>
      <c r="D30" s="71"/>
      <c r="E30" s="73"/>
      <c r="F30" s="72"/>
      <c r="G30" s="71"/>
      <c r="H30" s="73"/>
      <c r="I30" s="72"/>
      <c r="J30" s="71"/>
      <c r="K30" s="277"/>
    </row>
    <row r="31" spans="1:11" ht="12.75">
      <c r="A31" s="15" t="s">
        <v>61</v>
      </c>
      <c r="B31" s="73">
        <v>1</v>
      </c>
      <c r="C31" s="72">
        <v>140</v>
      </c>
      <c r="D31" s="71">
        <v>2</v>
      </c>
      <c r="E31" s="73">
        <v>1</v>
      </c>
      <c r="F31" s="72">
        <v>140</v>
      </c>
      <c r="G31" s="71">
        <v>2</v>
      </c>
      <c r="H31" s="73">
        <v>0</v>
      </c>
      <c r="I31" s="72">
        <v>0</v>
      </c>
      <c r="J31" s="71">
        <v>0</v>
      </c>
      <c r="K31" s="419" t="s">
        <v>44</v>
      </c>
    </row>
    <row r="32" spans="1:11" ht="12.75">
      <c r="A32" s="15" t="s">
        <v>62</v>
      </c>
      <c r="B32" s="73">
        <v>-1</v>
      </c>
      <c r="C32" s="72">
        <v>-140</v>
      </c>
      <c r="D32" s="71">
        <v>-2</v>
      </c>
      <c r="E32" s="73">
        <v>-1</v>
      </c>
      <c r="F32" s="72">
        <v>-140</v>
      </c>
      <c r="G32" s="71">
        <v>-2</v>
      </c>
      <c r="H32" s="73">
        <v>0</v>
      </c>
      <c r="I32" s="72">
        <v>0</v>
      </c>
      <c r="J32" s="71">
        <v>0</v>
      </c>
      <c r="K32" s="419" t="s">
        <v>44</v>
      </c>
    </row>
    <row r="33" spans="2:11" ht="12.75">
      <c r="B33" s="73"/>
      <c r="C33" s="72"/>
      <c r="D33" s="71"/>
      <c r="E33" s="73"/>
      <c r="F33" s="72"/>
      <c r="G33" s="71"/>
      <c r="H33" s="73"/>
      <c r="I33" s="72"/>
      <c r="J33" s="71"/>
      <c r="K33" s="277" t="s">
        <v>40</v>
      </c>
    </row>
    <row r="34" spans="1:11" s="4" customFormat="1" ht="13.5" thickBot="1">
      <c r="A34" s="4" t="s">
        <v>63</v>
      </c>
      <c r="B34" s="66">
        <f>B29+B31+B32</f>
        <v>1</v>
      </c>
      <c r="C34" s="65">
        <f>C29+C31+C32</f>
        <v>0</v>
      </c>
      <c r="D34" s="64">
        <v>0</v>
      </c>
      <c r="E34" s="66">
        <f>E29+E31+E32</f>
        <v>1</v>
      </c>
      <c r="F34" s="65">
        <f>F29+F31+F32</f>
        <v>0</v>
      </c>
      <c r="G34" s="64">
        <f>D34</f>
        <v>0</v>
      </c>
      <c r="H34" s="66">
        <f>H29+H31+H32</f>
        <v>1</v>
      </c>
      <c r="I34" s="65">
        <f>I29+I31+I32</f>
        <v>0</v>
      </c>
      <c r="J34" s="64">
        <v>0</v>
      </c>
      <c r="K34" s="277" t="s">
        <v>44</v>
      </c>
    </row>
    <row r="37" ht="12.75">
      <c r="A37" s="15" t="s">
        <v>299</v>
      </c>
    </row>
    <row r="38" ht="12.75">
      <c r="A38" s="15" t="s">
        <v>300</v>
      </c>
    </row>
    <row r="39" ht="12.75">
      <c r="A39" s="15" t="s">
        <v>156</v>
      </c>
    </row>
    <row r="40" ht="12.75">
      <c r="A40" s="126" t="s">
        <v>188</v>
      </c>
    </row>
  </sheetData>
  <mergeCells count="1">
    <mergeCell ref="H5:J5"/>
  </mergeCells>
  <printOptions horizontalCentered="1" verticalCentered="1"/>
  <pageMargins left="0.75" right="0.75" top="1" bottom="1" header="0.5" footer="0.5"/>
  <pageSetup fitToHeight="1" fitToWidth="1" horizontalDpi="300" verticalDpi="300" orientation="landscape" scale="81" r:id="rId1"/>
  <headerFooter alignWithMargins="0">
    <oddFooter>&amp;C&amp;8&amp;D
&amp;F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M39"/>
  <sheetViews>
    <sheetView zoomScale="50" zoomScaleNormal="50" workbookViewId="0" topLeftCell="A1">
      <selection activeCell="A1" sqref="A1"/>
    </sheetView>
  </sheetViews>
  <sheetFormatPr defaultColWidth="9.140625" defaultRowHeight="12.75"/>
  <cols>
    <col min="1" max="1" width="35.421875" style="0" customWidth="1"/>
    <col min="2" max="2" width="15.57421875" style="0" customWidth="1"/>
    <col min="3" max="3" width="16.8515625" style="0" customWidth="1"/>
    <col min="4" max="4" width="2.421875" style="0" customWidth="1"/>
    <col min="5" max="5" width="2.00390625" style="0" customWidth="1"/>
    <col min="6" max="6" width="15.57421875" style="0" customWidth="1"/>
    <col min="7" max="7" width="16.8515625" style="0" customWidth="1"/>
    <col min="8" max="9" width="2.140625" style="0" customWidth="1"/>
    <col min="10" max="10" width="15.57421875" style="0" customWidth="1"/>
    <col min="11" max="11" width="16.8515625" style="0" customWidth="1"/>
    <col min="12" max="12" width="2.00390625" style="0" customWidth="1"/>
    <col min="13" max="13" width="10.28125" style="0" customWidth="1"/>
    <col min="15" max="15" width="11.00390625" style="0" bestFit="1" customWidth="1"/>
    <col min="16" max="16" width="10.00390625" style="0" customWidth="1"/>
  </cols>
  <sheetData>
    <row r="1" spans="1:13" ht="15.75">
      <c r="A1" s="2" t="s">
        <v>15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4"/>
    </row>
    <row r="2" spans="1:13" ht="22.5" customHeight="1">
      <c r="A2" s="3" t="s">
        <v>199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4"/>
    </row>
    <row r="3" spans="1:13" ht="13.5" thickBo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1:13" ht="12.75">
      <c r="A4" s="9"/>
      <c r="B4" s="1" t="s">
        <v>17</v>
      </c>
      <c r="C4" s="1"/>
      <c r="D4" s="31"/>
      <c r="E4" s="4"/>
      <c r="F4" s="1" t="s">
        <v>147</v>
      </c>
      <c r="G4" s="1"/>
      <c r="H4" s="31"/>
      <c r="I4" s="4"/>
      <c r="J4" s="1" t="s">
        <v>18</v>
      </c>
      <c r="K4" s="1"/>
      <c r="L4" s="31"/>
      <c r="M4" s="5" t="s">
        <v>19</v>
      </c>
    </row>
    <row r="5" spans="2:13" s="4" customFormat="1" ht="12.75">
      <c r="B5" s="440" t="s">
        <v>288</v>
      </c>
      <c r="C5" s="440"/>
      <c r="D5" s="1"/>
      <c r="E5" s="22"/>
      <c r="F5" s="440" t="s">
        <v>297</v>
      </c>
      <c r="G5" s="440"/>
      <c r="I5" s="168"/>
      <c r="J5" s="440" t="s">
        <v>289</v>
      </c>
      <c r="K5" s="440"/>
      <c r="L5" s="32"/>
      <c r="M5" s="10" t="s">
        <v>20</v>
      </c>
    </row>
    <row r="6" spans="1:13" s="5" customFormat="1" ht="12.75">
      <c r="A6" s="7"/>
      <c r="B6" s="7" t="s">
        <v>21</v>
      </c>
      <c r="C6" s="7" t="s">
        <v>23</v>
      </c>
      <c r="D6" s="7"/>
      <c r="E6" s="18"/>
      <c r="F6" s="19" t="s">
        <v>21</v>
      </c>
      <c r="G6" s="7" t="s">
        <v>23</v>
      </c>
      <c r="H6" s="7"/>
      <c r="I6" s="18"/>
      <c r="J6" s="19" t="s">
        <v>21</v>
      </c>
      <c r="K6" s="7" t="s">
        <v>23</v>
      </c>
      <c r="L6" s="33"/>
      <c r="M6" s="19" t="s">
        <v>64</v>
      </c>
    </row>
    <row r="7" spans="1:12" s="5" customFormat="1" ht="12.75">
      <c r="A7"/>
      <c r="E7" s="17"/>
      <c r="I7" s="17"/>
      <c r="L7" s="34"/>
    </row>
    <row r="8" spans="1:13" ht="12.75">
      <c r="A8" s="16" t="s">
        <v>65</v>
      </c>
      <c r="B8" s="57">
        <v>3892440</v>
      </c>
      <c r="C8" s="37">
        <v>338565.15589796</v>
      </c>
      <c r="D8" s="44"/>
      <c r="E8" s="45"/>
      <c r="F8" s="57">
        <v>3892440</v>
      </c>
      <c r="G8" s="119">
        <v>338565.15589796</v>
      </c>
      <c r="H8" s="44"/>
      <c r="I8" s="45"/>
      <c r="J8" s="57">
        <v>4239734</v>
      </c>
      <c r="K8" s="119">
        <v>352665.09507628996</v>
      </c>
      <c r="L8" s="46"/>
      <c r="M8" s="54">
        <f>(F8-J8)/J8</f>
        <v>-0.08191410121484037</v>
      </c>
    </row>
    <row r="9" spans="1:13" ht="12.75">
      <c r="A9" s="15" t="s">
        <v>66</v>
      </c>
      <c r="B9" s="36">
        <v>-47797</v>
      </c>
      <c r="C9" s="37">
        <v>-4258.19994651</v>
      </c>
      <c r="D9" s="44"/>
      <c r="E9" s="45"/>
      <c r="F9" s="36">
        <v>-47797</v>
      </c>
      <c r="G9" s="37">
        <v>-4258.19994651</v>
      </c>
      <c r="H9" s="44"/>
      <c r="I9" s="45"/>
      <c r="J9" s="36">
        <v>-80084</v>
      </c>
      <c r="K9" s="37">
        <v>-7518.46337293</v>
      </c>
      <c r="L9" s="46"/>
      <c r="M9" s="54">
        <f>(F9-J9)/J9</f>
        <v>-0.4031641776135058</v>
      </c>
    </row>
    <row r="10" spans="1:13" ht="12.75">
      <c r="A10" s="15" t="s">
        <v>200</v>
      </c>
      <c r="B10" s="36">
        <v>-4681</v>
      </c>
      <c r="C10" s="37">
        <v>-428.77821841</v>
      </c>
      <c r="D10" s="44"/>
      <c r="E10" s="45"/>
      <c r="F10" s="36">
        <v>-4681</v>
      </c>
      <c r="G10" s="37">
        <v>-428.77821841</v>
      </c>
      <c r="H10" s="44"/>
      <c r="I10" s="45"/>
      <c r="J10" s="36">
        <v>-4943</v>
      </c>
      <c r="K10" s="37">
        <v>-434.14198788</v>
      </c>
      <c r="L10" s="46"/>
      <c r="M10" s="58">
        <f>(F10-J10)/J10</f>
        <v>-0.05300424843212624</v>
      </c>
    </row>
    <row r="11" spans="1:13" ht="12.75">
      <c r="A11" s="15" t="s">
        <v>201</v>
      </c>
      <c r="B11" s="36">
        <f>SUM(B14:B15)</f>
        <v>36037</v>
      </c>
      <c r="C11" s="37">
        <f>SUM(C14:C15)</f>
        <v>4857.511202590001</v>
      </c>
      <c r="D11" s="44"/>
      <c r="E11" s="45"/>
      <c r="F11" s="36">
        <f>SUM(F14:F15)</f>
        <v>36037</v>
      </c>
      <c r="G11" s="37">
        <f>SUM(G14:G15)</f>
        <v>4857.511202590001</v>
      </c>
      <c r="H11" s="44"/>
      <c r="I11" s="45"/>
      <c r="J11" s="36">
        <f>SUM(J14:J15)</f>
        <v>37846</v>
      </c>
      <c r="K11" s="37">
        <f>SUM(K14:K15)</f>
        <v>4632.379547119999</v>
      </c>
      <c r="L11" s="46"/>
      <c r="M11" s="58">
        <f>(F11-J11)/J11</f>
        <v>-0.04779897479258046</v>
      </c>
    </row>
    <row r="12" spans="1:13" ht="12.75">
      <c r="A12" s="15"/>
      <c r="B12" s="36"/>
      <c r="C12" s="36"/>
      <c r="D12" s="44"/>
      <c r="E12" s="45"/>
      <c r="F12" s="36"/>
      <c r="G12" s="36"/>
      <c r="H12" s="13"/>
      <c r="J12" s="36"/>
      <c r="K12" s="36"/>
      <c r="L12" s="46"/>
      <c r="M12" s="54"/>
    </row>
    <row r="13" spans="1:13" ht="12.75">
      <c r="A13" s="234" t="s">
        <v>202</v>
      </c>
      <c r="B13" s="36"/>
      <c r="C13" s="37"/>
      <c r="D13" s="44"/>
      <c r="E13" s="45"/>
      <c r="F13" s="36"/>
      <c r="G13" s="37"/>
      <c r="H13" s="44"/>
      <c r="I13" s="45"/>
      <c r="J13" s="36"/>
      <c r="K13" s="37"/>
      <c r="L13" s="46"/>
      <c r="M13" s="54"/>
    </row>
    <row r="14" spans="1:13" ht="12.75">
      <c r="A14" s="235" t="s">
        <v>203</v>
      </c>
      <c r="B14" s="289">
        <v>33942</v>
      </c>
      <c r="C14" s="290">
        <v>4559.6125442600005</v>
      </c>
      <c r="D14" s="291"/>
      <c r="E14" s="292"/>
      <c r="F14" s="289">
        <v>33942</v>
      </c>
      <c r="G14" s="290">
        <v>4559.6125442600005</v>
      </c>
      <c r="H14" s="291"/>
      <c r="I14" s="292"/>
      <c r="J14" s="289">
        <v>35344</v>
      </c>
      <c r="K14" s="290">
        <v>4303.3591371699995</v>
      </c>
      <c r="L14" s="293"/>
      <c r="M14" s="236">
        <f>(F14-J14)/J14</f>
        <v>-0.03966727025803531</v>
      </c>
    </row>
    <row r="15" spans="1:13" ht="12.75">
      <c r="A15" s="12" t="s">
        <v>204</v>
      </c>
      <c r="B15" s="294">
        <f>SUM(B16:B18)</f>
        <v>2095</v>
      </c>
      <c r="C15" s="295">
        <f>SUM(C16:C18)</f>
        <v>297.89865833</v>
      </c>
      <c r="D15" s="47"/>
      <c r="E15" s="45"/>
      <c r="F15" s="294">
        <f>SUM(F16:F18)</f>
        <v>2095</v>
      </c>
      <c r="G15" s="295">
        <f>SUM(G16:G18)</f>
        <v>297.89865833</v>
      </c>
      <c r="H15" s="47"/>
      <c r="I15" s="45"/>
      <c r="J15" s="294">
        <f>SUM(J16:J18)</f>
        <v>2502</v>
      </c>
      <c r="K15" s="295">
        <f>SUM(K16:K18)</f>
        <v>329.02040995000004</v>
      </c>
      <c r="L15" s="46"/>
      <c r="M15" s="236">
        <f>(F15-J15)/J15</f>
        <v>-0.16266986410871304</v>
      </c>
    </row>
    <row r="16" spans="1:13" ht="12.75">
      <c r="A16" s="237" t="s">
        <v>205</v>
      </c>
      <c r="B16" s="238">
        <v>1747</v>
      </c>
      <c r="C16" s="239">
        <v>250.94529479</v>
      </c>
      <c r="D16" s="240"/>
      <c r="E16" s="241"/>
      <c r="F16" s="238">
        <v>1747</v>
      </c>
      <c r="G16" s="239">
        <v>250.94529479</v>
      </c>
      <c r="H16" s="47"/>
      <c r="I16" s="45"/>
      <c r="J16" s="238">
        <v>2175</v>
      </c>
      <c r="K16" s="239">
        <v>285.45829230000004</v>
      </c>
      <c r="L16" s="46"/>
      <c r="M16" s="236">
        <f>(F16-J16)/J16</f>
        <v>-0.1967816091954023</v>
      </c>
    </row>
    <row r="17" spans="1:13" ht="12.75">
      <c r="A17" s="237" t="s">
        <v>206</v>
      </c>
      <c r="B17" s="238">
        <v>285</v>
      </c>
      <c r="C17" s="239">
        <v>37.91891982</v>
      </c>
      <c r="D17" s="240"/>
      <c r="E17" s="241"/>
      <c r="F17" s="238">
        <v>285</v>
      </c>
      <c r="G17" s="239">
        <v>37.91891982</v>
      </c>
      <c r="H17" s="47"/>
      <c r="I17" s="45"/>
      <c r="J17" s="238">
        <v>256</v>
      </c>
      <c r="K17" s="239">
        <v>35.45219228</v>
      </c>
      <c r="L17" s="46"/>
      <c r="M17" s="236">
        <f>(F17-J17)/J17</f>
        <v>0.11328125</v>
      </c>
    </row>
    <row r="18" spans="1:13" ht="12.75">
      <c r="A18" s="242" t="s">
        <v>207</v>
      </c>
      <c r="B18" s="296">
        <v>63</v>
      </c>
      <c r="C18" s="297">
        <v>9.034443719999999</v>
      </c>
      <c r="D18" s="298"/>
      <c r="E18" s="299"/>
      <c r="F18" s="296">
        <v>63</v>
      </c>
      <c r="G18" s="297">
        <v>9.034443719999999</v>
      </c>
      <c r="H18" s="300"/>
      <c r="I18" s="243"/>
      <c r="J18" s="296">
        <v>71</v>
      </c>
      <c r="K18" s="297">
        <v>8.10992537</v>
      </c>
      <c r="L18" s="244"/>
      <c r="M18" s="236">
        <f>(F18-J18)/J18</f>
        <v>-0.11267605633802817</v>
      </c>
    </row>
    <row r="19" spans="1:13" ht="12.75">
      <c r="A19" s="245"/>
      <c r="C19" s="238"/>
      <c r="D19" s="240"/>
      <c r="E19" s="241"/>
      <c r="F19" s="238"/>
      <c r="G19" s="239"/>
      <c r="H19" s="47"/>
      <c r="I19" s="45"/>
      <c r="J19" s="238"/>
      <c r="K19" s="239"/>
      <c r="L19" s="46"/>
      <c r="M19" s="236"/>
    </row>
    <row r="20" spans="1:13" ht="12.75">
      <c r="A20" s="246" t="s">
        <v>222</v>
      </c>
      <c r="B20" s="36"/>
      <c r="C20" s="37"/>
      <c r="D20" s="44"/>
      <c r="E20" s="45"/>
      <c r="F20" s="36"/>
      <c r="G20" s="37"/>
      <c r="H20" s="44"/>
      <c r="I20" s="45"/>
      <c r="J20" s="36"/>
      <c r="K20" s="37"/>
      <c r="L20" s="46"/>
      <c r="M20" s="54"/>
    </row>
    <row r="21" spans="1:13" ht="12.75">
      <c r="A21" s="235" t="s">
        <v>208</v>
      </c>
      <c r="B21" s="289">
        <v>611</v>
      </c>
      <c r="C21" s="290">
        <v>100.21325820000001</v>
      </c>
      <c r="D21" s="291"/>
      <c r="E21" s="292"/>
      <c r="F21" s="289">
        <v>611</v>
      </c>
      <c r="G21" s="290">
        <v>100.21325820000001</v>
      </c>
      <c r="H21" s="291"/>
      <c r="I21" s="292"/>
      <c r="J21" s="289">
        <v>1719</v>
      </c>
      <c r="K21" s="290">
        <v>258.66785412</v>
      </c>
      <c r="L21" s="293"/>
      <c r="M21" s="236">
        <f>(F21-J21)/J21</f>
        <v>-0.6445607911576497</v>
      </c>
    </row>
    <row r="22" spans="1:13" ht="12.75">
      <c r="A22" s="247" t="s">
        <v>209</v>
      </c>
      <c r="B22" s="301">
        <v>35426</v>
      </c>
      <c r="C22" s="302">
        <v>4757.29794439</v>
      </c>
      <c r="D22" s="300"/>
      <c r="E22" s="243"/>
      <c r="F22" s="301">
        <v>35426</v>
      </c>
      <c r="G22" s="303">
        <v>4757.29794439</v>
      </c>
      <c r="H22" s="300"/>
      <c r="I22" s="243"/>
      <c r="J22" s="301">
        <v>36127</v>
      </c>
      <c r="K22" s="304">
        <v>4373.711693</v>
      </c>
      <c r="L22" s="244"/>
      <c r="M22" s="236">
        <f>(F22-J22)/J22</f>
        <v>-0.019403770033492956</v>
      </c>
    </row>
    <row r="23" spans="1:13" ht="12.75">
      <c r="A23" s="245"/>
      <c r="B23" s="238"/>
      <c r="C23" s="239"/>
      <c r="D23" s="305"/>
      <c r="E23" s="306"/>
      <c r="F23" s="238"/>
      <c r="G23" s="239"/>
      <c r="H23" s="307"/>
      <c r="I23" s="308"/>
      <c r="J23" s="238"/>
      <c r="K23" s="239"/>
      <c r="L23" s="46"/>
      <c r="M23" s="236"/>
    </row>
    <row r="24" spans="1:13" ht="12.75">
      <c r="A24" s="246" t="s">
        <v>210</v>
      </c>
      <c r="B24" s="36"/>
      <c r="C24" s="37"/>
      <c r="D24" s="44"/>
      <c r="E24" s="45"/>
      <c r="F24" s="36"/>
      <c r="G24" s="37"/>
      <c r="H24" s="44"/>
      <c r="I24" s="45"/>
      <c r="J24" s="36"/>
      <c r="K24" s="37"/>
      <c r="L24" s="46"/>
      <c r="M24" s="54"/>
    </row>
    <row r="25" spans="1:13" ht="12.75">
      <c r="A25" s="235" t="s">
        <v>211</v>
      </c>
      <c r="B25" s="289">
        <v>9770</v>
      </c>
      <c r="C25" s="290">
        <v>1437.42055249</v>
      </c>
      <c r="D25" s="293"/>
      <c r="E25" s="291"/>
      <c r="F25" s="289">
        <v>9770</v>
      </c>
      <c r="G25" s="290">
        <v>1437.42055249</v>
      </c>
      <c r="H25" s="293"/>
      <c r="I25" s="291"/>
      <c r="J25" s="289">
        <v>9678</v>
      </c>
      <c r="K25" s="290">
        <v>1191.4264049300002</v>
      </c>
      <c r="L25" s="293"/>
      <c r="M25" s="236">
        <f>(F25-J25)/J25</f>
        <v>0.009506096300888613</v>
      </c>
    </row>
    <row r="26" spans="1:13" ht="12.75">
      <c r="A26" s="247" t="s">
        <v>212</v>
      </c>
      <c r="B26" s="366">
        <v>26267</v>
      </c>
      <c r="C26" s="304">
        <v>3420.0906501000004</v>
      </c>
      <c r="D26" s="248"/>
      <c r="E26" s="249"/>
      <c r="F26" s="366">
        <v>26267</v>
      </c>
      <c r="G26" s="304">
        <v>3420.0906501000004</v>
      </c>
      <c r="H26" s="250"/>
      <c r="I26" s="55"/>
      <c r="J26" s="366">
        <v>28168</v>
      </c>
      <c r="K26" s="304">
        <v>3440.9531421899997</v>
      </c>
      <c r="L26" s="244"/>
      <c r="M26" s="236">
        <f>(F26-J26)/J26</f>
        <v>-0.06748792956546436</v>
      </c>
    </row>
    <row r="27" spans="1:13" ht="12.75">
      <c r="A27" s="245"/>
      <c r="B27" s="238"/>
      <c r="C27" s="239"/>
      <c r="D27" s="240"/>
      <c r="E27" s="241"/>
      <c r="F27" s="238"/>
      <c r="G27" s="239"/>
      <c r="H27" s="47"/>
      <c r="I27" s="45"/>
      <c r="J27" s="238"/>
      <c r="K27" s="239"/>
      <c r="L27" s="46"/>
      <c r="M27" s="236"/>
    </row>
    <row r="28" spans="1:13" ht="12.75">
      <c r="A28" s="251" t="s">
        <v>40</v>
      </c>
      <c r="B28" s="296"/>
      <c r="C28" s="297"/>
      <c r="D28" s="298"/>
      <c r="E28" s="299"/>
      <c r="F28" s="296"/>
      <c r="G28" s="297"/>
      <c r="H28" s="300"/>
      <c r="I28" s="243"/>
      <c r="J28" s="296"/>
      <c r="K28" s="297"/>
      <c r="L28" s="244"/>
      <c r="M28" s="236"/>
    </row>
    <row r="29" spans="1:13" ht="12.75">
      <c r="A29" s="252" t="s">
        <v>213</v>
      </c>
      <c r="B29" s="289">
        <v>8346</v>
      </c>
      <c r="C29" s="290">
        <v>1277.40027619</v>
      </c>
      <c r="D29" s="293"/>
      <c r="E29" s="291"/>
      <c r="F29" s="289">
        <v>8346</v>
      </c>
      <c r="G29" s="290">
        <v>1277.40027619</v>
      </c>
      <c r="H29" s="293"/>
      <c r="I29" s="291"/>
      <c r="J29" s="289">
        <v>4826</v>
      </c>
      <c r="K29" s="290">
        <v>741.182933</v>
      </c>
      <c r="L29" s="46"/>
      <c r="M29" s="236">
        <f>(F29-J29)/J29</f>
        <v>0.7293825113966017</v>
      </c>
    </row>
    <row r="30" spans="1:13" ht="12.75">
      <c r="A30" s="253" t="s">
        <v>214</v>
      </c>
      <c r="B30" s="294">
        <v>510</v>
      </c>
      <c r="C30" s="295">
        <v>79.18309100000012</v>
      </c>
      <c r="D30" s="46"/>
      <c r="E30" s="47"/>
      <c r="F30" s="57">
        <v>510</v>
      </c>
      <c r="G30" s="119">
        <v>79.18309100000012</v>
      </c>
      <c r="H30" s="46"/>
      <c r="I30" s="47"/>
      <c r="J30" s="294">
        <v>301</v>
      </c>
      <c r="K30" s="295">
        <v>44.70816112000002</v>
      </c>
      <c r="L30" s="46"/>
      <c r="M30" s="236">
        <f>(F30-J30)/J30</f>
        <v>0.6943521594684385</v>
      </c>
    </row>
    <row r="31" spans="1:13" ht="12.75">
      <c r="A31" s="243" t="s">
        <v>215</v>
      </c>
      <c r="B31" s="366">
        <v>188627</v>
      </c>
      <c r="C31" s="304">
        <v>19672.89193814</v>
      </c>
      <c r="D31" s="248"/>
      <c r="E31" s="249"/>
      <c r="F31" s="366">
        <v>188627</v>
      </c>
      <c r="G31" s="304">
        <v>19672.89193814</v>
      </c>
      <c r="H31" s="250"/>
      <c r="I31" s="55"/>
      <c r="J31" s="366">
        <v>109671</v>
      </c>
      <c r="K31" s="304">
        <v>11314.6119943</v>
      </c>
      <c r="L31" s="244"/>
      <c r="M31" s="236">
        <f>(F31-J31)/J31</f>
        <v>0.7199350785531271</v>
      </c>
    </row>
    <row r="32" spans="1:13" ht="12.75">
      <c r="A32" s="245"/>
      <c r="B32" s="238"/>
      <c r="C32" s="239"/>
      <c r="D32" s="240"/>
      <c r="E32" s="241"/>
      <c r="F32" s="238"/>
      <c r="G32" s="239"/>
      <c r="H32" s="47"/>
      <c r="I32" s="45"/>
      <c r="J32" s="238"/>
      <c r="K32" s="239"/>
      <c r="L32" s="46"/>
      <c r="M32" s="236"/>
    </row>
    <row r="33" spans="1:13" ht="12.75">
      <c r="A33" s="15" t="s">
        <v>67</v>
      </c>
      <c r="B33" s="57">
        <f>B34-(B8+B9+B10+B11)</f>
        <v>1354</v>
      </c>
      <c r="C33" s="119">
        <f>C34-(C8+C9+C10+C11)</f>
        <v>-454.7604484600597</v>
      </c>
      <c r="D33" s="44"/>
      <c r="E33" s="45"/>
      <c r="F33" s="57">
        <f>F34-(F8+F9+F10+F11)</f>
        <v>1354</v>
      </c>
      <c r="G33" s="119">
        <f>G34-(G8+G9+G10+G11)</f>
        <v>-454.7604484600597</v>
      </c>
      <c r="H33" s="44"/>
      <c r="I33" s="45"/>
      <c r="J33" s="57">
        <f>J34-(J8+J9+J10+J11)</f>
        <v>1141</v>
      </c>
      <c r="K33" s="37">
        <f>K34-(K8+K9+K10+K11)</f>
        <v>-434.0511182699702</v>
      </c>
      <c r="L33" s="46"/>
      <c r="M33" s="236"/>
    </row>
    <row r="34" spans="1:13" ht="12.75">
      <c r="A34" s="16" t="s">
        <v>216</v>
      </c>
      <c r="B34" s="57">
        <v>3877353</v>
      </c>
      <c r="C34" s="37">
        <v>338280.92848716996</v>
      </c>
      <c r="D34" s="44"/>
      <c r="E34" s="45"/>
      <c r="F34" s="57">
        <v>3877353</v>
      </c>
      <c r="G34" s="119">
        <v>338280.92848716996</v>
      </c>
      <c r="H34" s="44"/>
      <c r="I34" s="45"/>
      <c r="J34" s="57">
        <v>4193694</v>
      </c>
      <c r="K34" s="119">
        <v>348910.81814433</v>
      </c>
      <c r="L34" s="46"/>
      <c r="M34" s="58">
        <f>(F34-J34)/J34</f>
        <v>-0.07543254228849315</v>
      </c>
    </row>
    <row r="35" spans="2:13" ht="12.75">
      <c r="B35" s="53"/>
      <c r="C35" s="59"/>
      <c r="D35" s="47"/>
      <c r="E35" s="45"/>
      <c r="H35" s="47"/>
      <c r="I35" s="45"/>
      <c r="J35" s="53"/>
      <c r="K35" s="59"/>
      <c r="L35" s="46"/>
      <c r="M35" s="44"/>
    </row>
    <row r="36" ht="12.75">
      <c r="A36" s="15" t="s">
        <v>217</v>
      </c>
    </row>
    <row r="37" ht="12.75">
      <c r="A37" s="126" t="s">
        <v>284</v>
      </c>
    </row>
    <row r="38" ht="12.75">
      <c r="A38" s="126" t="s">
        <v>218</v>
      </c>
    </row>
    <row r="39" spans="1:10" ht="12.75">
      <c r="A39" t="s">
        <v>40</v>
      </c>
      <c r="J39" s="254"/>
    </row>
  </sheetData>
  <mergeCells count="3">
    <mergeCell ref="B5:C5"/>
    <mergeCell ref="F5:G5"/>
    <mergeCell ref="J5:K5"/>
  </mergeCells>
  <printOptions horizontalCentered="1"/>
  <pageMargins left="0.75" right="0.54" top="1" bottom="1" header="0.5" footer="0.5"/>
  <pageSetup fitToHeight="1" fitToWidth="1" horizontalDpi="300" verticalDpi="300" orientation="landscape" scale="77" r:id="rId1"/>
  <headerFooter alignWithMargins="0">
    <oddFooter>&amp;C&amp;8&amp;D
&amp;F 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M38"/>
  <sheetViews>
    <sheetView zoomScale="50" zoomScaleNormal="50" workbookViewId="0" topLeftCell="A1">
      <selection activeCell="A1" sqref="A1"/>
    </sheetView>
  </sheetViews>
  <sheetFormatPr defaultColWidth="9.140625" defaultRowHeight="12.75"/>
  <cols>
    <col min="1" max="1" width="62.140625" style="0" customWidth="1"/>
    <col min="2" max="2" width="11.57421875" style="0" customWidth="1"/>
    <col min="3" max="3" width="16.00390625" style="0" customWidth="1"/>
    <col min="4" max="4" width="2.28125" style="0" customWidth="1"/>
    <col min="5" max="5" width="2.00390625" style="0" customWidth="1"/>
    <col min="6" max="6" width="10.421875" style="0" customWidth="1"/>
    <col min="7" max="7" width="15.421875" style="0" customWidth="1"/>
    <col min="8" max="9" width="2.140625" style="0" customWidth="1"/>
    <col min="10" max="10" width="10.140625" style="0" customWidth="1"/>
    <col min="11" max="11" width="15.421875" style="0" customWidth="1"/>
    <col min="12" max="12" width="2.00390625" style="0" customWidth="1"/>
    <col min="13" max="13" width="10.28125" style="0" customWidth="1"/>
    <col min="16" max="16" width="10.00390625" style="0" customWidth="1"/>
  </cols>
  <sheetData>
    <row r="1" spans="1:13" ht="15.75">
      <c r="A1" s="2" t="s">
        <v>15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4"/>
    </row>
    <row r="2" spans="1:13" ht="22.5" customHeight="1">
      <c r="A2" s="3" t="s">
        <v>68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4"/>
    </row>
    <row r="3" spans="1:13" ht="13.5" thickBo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1:13" ht="12.75">
      <c r="A4" s="9"/>
      <c r="B4" s="1" t="s">
        <v>17</v>
      </c>
      <c r="C4" s="1"/>
      <c r="D4" s="31"/>
      <c r="E4" s="4"/>
      <c r="F4" s="1" t="s">
        <v>147</v>
      </c>
      <c r="G4" s="1"/>
      <c r="H4" s="31"/>
      <c r="I4" s="4"/>
      <c r="J4" s="1" t="s">
        <v>18</v>
      </c>
      <c r="K4" s="1"/>
      <c r="L4" s="31"/>
      <c r="M4" s="5" t="s">
        <v>19</v>
      </c>
    </row>
    <row r="5" spans="2:13" s="4" customFormat="1" ht="12.75">
      <c r="B5" s="440" t="s">
        <v>288</v>
      </c>
      <c r="C5" s="440"/>
      <c r="D5" s="1"/>
      <c r="E5" s="22"/>
      <c r="F5" s="440" t="s">
        <v>288</v>
      </c>
      <c r="G5" s="440"/>
      <c r="I5" s="168"/>
      <c r="J5" s="440" t="s">
        <v>289</v>
      </c>
      <c r="K5" s="440"/>
      <c r="L5" s="32"/>
      <c r="M5" s="10" t="s">
        <v>20</v>
      </c>
    </row>
    <row r="6" spans="1:13" s="5" customFormat="1" ht="12.75">
      <c r="A6" s="7"/>
      <c r="B6" s="7" t="s">
        <v>21</v>
      </c>
      <c r="C6" s="7" t="s">
        <v>23</v>
      </c>
      <c r="D6" s="7"/>
      <c r="E6" s="18"/>
      <c r="F6" s="7" t="s">
        <v>21</v>
      </c>
      <c r="G6" s="7" t="s">
        <v>23</v>
      </c>
      <c r="H6" s="7"/>
      <c r="I6" s="18"/>
      <c r="J6" s="7" t="s">
        <v>21</v>
      </c>
      <c r="K6" s="7" t="s">
        <v>23</v>
      </c>
      <c r="L6" s="33"/>
      <c r="M6" s="19" t="s">
        <v>64</v>
      </c>
    </row>
    <row r="7" spans="1:12" s="5" customFormat="1" ht="12.75">
      <c r="A7"/>
      <c r="E7" s="17"/>
      <c r="I7" s="17"/>
      <c r="L7" s="34"/>
    </row>
    <row r="8" spans="2:13" ht="12.75">
      <c r="B8" s="53"/>
      <c r="C8" s="59"/>
      <c r="D8" s="47"/>
      <c r="E8" s="45"/>
      <c r="F8" s="53"/>
      <c r="G8" s="59"/>
      <c r="H8" s="47"/>
      <c r="I8" s="45"/>
      <c r="J8" s="53"/>
      <c r="K8" s="59"/>
      <c r="L8" s="46"/>
      <c r="M8" s="44"/>
    </row>
    <row r="9" spans="1:13" ht="12.75">
      <c r="A9" s="16" t="s">
        <v>69</v>
      </c>
      <c r="B9" s="115">
        <v>284</v>
      </c>
      <c r="C9" s="37">
        <f>9952595.13/1000000</f>
        <v>9.95259513</v>
      </c>
      <c r="D9" s="113"/>
      <c r="E9" s="114"/>
      <c r="F9" s="115">
        <v>284</v>
      </c>
      <c r="G9" s="37">
        <f>9952595.13/1000000</f>
        <v>9.95259513</v>
      </c>
      <c r="H9" s="47"/>
      <c r="I9" s="12"/>
      <c r="J9" s="115">
        <v>318</v>
      </c>
      <c r="K9" s="179">
        <f>11664680.86/1000000</f>
        <v>11.664680859999999</v>
      </c>
      <c r="L9" s="46"/>
      <c r="M9" s="54">
        <f>(F9-J9)/J9</f>
        <v>-0.1069182389937107</v>
      </c>
    </row>
    <row r="10" spans="1:13" ht="12.75">
      <c r="A10" s="15" t="s">
        <v>70</v>
      </c>
      <c r="B10" s="115">
        <v>-5</v>
      </c>
      <c r="C10" s="37">
        <f>115171.83/-1000000</f>
        <v>-0.11517183</v>
      </c>
      <c r="D10" s="46"/>
      <c r="F10" s="115">
        <v>-5</v>
      </c>
      <c r="G10" s="37">
        <f>115171.83/-1000000</f>
        <v>-0.11517183</v>
      </c>
      <c r="H10" s="46"/>
      <c r="J10" s="115">
        <f>-3</f>
        <v>-3</v>
      </c>
      <c r="K10" s="214">
        <f>79679.37/-1000000</f>
        <v>-0.07967937</v>
      </c>
      <c r="L10" s="46"/>
      <c r="M10" s="58">
        <f>(F10-J10)/J10</f>
        <v>0.6666666666666666</v>
      </c>
    </row>
    <row r="11" spans="1:13" ht="12.75">
      <c r="A11" s="15" t="s">
        <v>71</v>
      </c>
      <c r="B11" s="199">
        <v>-2</v>
      </c>
      <c r="C11" s="37">
        <v>0</v>
      </c>
      <c r="D11" s="46"/>
      <c r="F11" s="199">
        <v>-2</v>
      </c>
      <c r="G11" s="37">
        <v>0</v>
      </c>
      <c r="H11" s="46"/>
      <c r="J11" s="115">
        <f>-2</f>
        <v>-2</v>
      </c>
      <c r="K11" s="204">
        <v>0</v>
      </c>
      <c r="L11" s="46"/>
      <c r="M11" s="54">
        <f>(F11-J11)/J11</f>
        <v>0</v>
      </c>
    </row>
    <row r="12" spans="1:13" ht="12.75">
      <c r="A12" s="15" t="s">
        <v>72</v>
      </c>
      <c r="B12" s="199">
        <v>0</v>
      </c>
      <c r="C12" s="37">
        <v>0</v>
      </c>
      <c r="D12" s="46"/>
      <c r="F12" s="199">
        <v>0</v>
      </c>
      <c r="G12" s="37">
        <v>0</v>
      </c>
      <c r="H12" s="189">
        <v>0</v>
      </c>
      <c r="I12" s="179">
        <v>0</v>
      </c>
      <c r="J12" s="199">
        <v>0</v>
      </c>
      <c r="K12" s="37">
        <v>0</v>
      </c>
      <c r="L12" s="46"/>
      <c r="M12" s="54"/>
    </row>
    <row r="13" spans="1:13" ht="12.75">
      <c r="A13" s="15" t="s">
        <v>73</v>
      </c>
      <c r="B13" s="199">
        <v>0</v>
      </c>
      <c r="C13" s="37">
        <v>0</v>
      </c>
      <c r="D13" s="46"/>
      <c r="F13" s="199">
        <v>0</v>
      </c>
      <c r="G13" s="37">
        <v>0</v>
      </c>
      <c r="H13" s="46"/>
      <c r="J13" s="199">
        <v>6</v>
      </c>
      <c r="K13" s="37">
        <f>128311.95/1000000</f>
        <v>0.12831195</v>
      </c>
      <c r="L13" s="46"/>
      <c r="M13" s="54">
        <f>(F13-J13)/J13</f>
        <v>-1</v>
      </c>
    </row>
    <row r="14" spans="1:13" ht="12.75">
      <c r="A14" s="15" t="s">
        <v>74</v>
      </c>
      <c r="B14" s="199">
        <v>12</v>
      </c>
      <c r="C14" s="37">
        <f>424416.5/1000000</f>
        <v>0.4244165</v>
      </c>
      <c r="D14" s="46"/>
      <c r="F14" s="199">
        <v>12</v>
      </c>
      <c r="G14" s="37">
        <f>424416.5/1000000</f>
        <v>0.4244165</v>
      </c>
      <c r="H14" s="46"/>
      <c r="J14" s="199">
        <v>0</v>
      </c>
      <c r="K14" s="37">
        <v>0</v>
      </c>
      <c r="L14" s="46"/>
      <c r="M14" s="54"/>
    </row>
    <row r="15" spans="1:13" ht="12.75">
      <c r="A15" s="15" t="s">
        <v>67</v>
      </c>
      <c r="B15" s="199">
        <v>2</v>
      </c>
      <c r="C15" s="37">
        <f>-95200.87/1000000</f>
        <v>-0.09520086999999999</v>
      </c>
      <c r="D15" s="47"/>
      <c r="E15" s="12"/>
      <c r="F15" s="199">
        <v>2</v>
      </c>
      <c r="G15" s="37">
        <f>-95200.87/1000000</f>
        <v>-0.09520086999999999</v>
      </c>
      <c r="H15" s="47"/>
      <c r="I15" s="12"/>
      <c r="J15" s="115">
        <f>J16-J9-J10-J11-J13-J14</f>
        <v>1</v>
      </c>
      <c r="K15" s="179">
        <f>K16-K9-K10-K13-K14</f>
        <v>-0.07798358000000014</v>
      </c>
      <c r="L15" s="46"/>
      <c r="M15" s="54"/>
    </row>
    <row r="16" spans="1:13" ht="12.75">
      <c r="A16" s="16" t="s">
        <v>75</v>
      </c>
      <c r="B16" s="115">
        <v>291</v>
      </c>
      <c r="C16" s="37">
        <f>10166638.93/1000000</f>
        <v>10.16663893</v>
      </c>
      <c r="D16" s="113"/>
      <c r="E16" s="114"/>
      <c r="F16" s="115">
        <v>291</v>
      </c>
      <c r="G16" s="37">
        <f>10166638.93/1000000</f>
        <v>10.16663893</v>
      </c>
      <c r="H16" s="113"/>
      <c r="I16" s="114"/>
      <c r="J16" s="115">
        <v>320</v>
      </c>
      <c r="K16" s="179">
        <f>11635329.86/1000000</f>
        <v>11.635329859999999</v>
      </c>
      <c r="L16" s="46"/>
      <c r="M16" s="58">
        <f>(F16-J16)/J16</f>
        <v>-0.090625</v>
      </c>
    </row>
    <row r="17" spans="1:13" ht="12.75">
      <c r="A17" s="16"/>
      <c r="B17" s="115"/>
      <c r="C17" s="113"/>
      <c r="D17" s="113"/>
      <c r="E17" s="114"/>
      <c r="F17" s="115"/>
      <c r="G17" s="113"/>
      <c r="H17" s="113"/>
      <c r="I17" s="114"/>
      <c r="J17" s="115"/>
      <c r="K17" s="113"/>
      <c r="L17" s="46"/>
      <c r="M17" s="58"/>
    </row>
    <row r="18" spans="1:13" ht="12.75">
      <c r="A18" s="16"/>
      <c r="B18" s="115"/>
      <c r="C18" s="113"/>
      <c r="D18" s="113"/>
      <c r="E18" s="114"/>
      <c r="F18" s="115"/>
      <c r="G18" s="113"/>
      <c r="H18" s="113"/>
      <c r="I18" s="114"/>
      <c r="J18" s="115"/>
      <c r="K18" s="113"/>
      <c r="L18" s="46"/>
      <c r="M18" s="58"/>
    </row>
    <row r="19" spans="1:13" ht="12.75">
      <c r="A19" t="s">
        <v>76</v>
      </c>
      <c r="E19" s="45"/>
      <c r="I19" s="45"/>
      <c r="L19" s="46"/>
      <c r="M19" s="44"/>
    </row>
    <row r="20" spans="1:13" ht="12.75">
      <c r="A20" s="40" t="s">
        <v>219</v>
      </c>
      <c r="B20" s="120">
        <v>3029</v>
      </c>
      <c r="C20" s="37">
        <f>317167529/1000000</f>
        <v>317.167529</v>
      </c>
      <c r="E20" s="45"/>
      <c r="F20" s="120">
        <v>3029</v>
      </c>
      <c r="G20" s="37">
        <f>317167529/1000000</f>
        <v>317.167529</v>
      </c>
      <c r="I20" s="45"/>
      <c r="J20" s="199">
        <v>5431</v>
      </c>
      <c r="K20" s="37">
        <v>582.3</v>
      </c>
      <c r="L20" s="46"/>
      <c r="M20" s="58">
        <f aca="true" t="shared" si="0" ref="M20:M25">(F20-J20)/J20</f>
        <v>-0.4422758239734855</v>
      </c>
    </row>
    <row r="21" spans="1:13" ht="12.75">
      <c r="A21" s="44" t="s">
        <v>182</v>
      </c>
      <c r="B21" s="115">
        <v>-163</v>
      </c>
      <c r="C21" s="37">
        <v>-16.7</v>
      </c>
      <c r="E21" s="45"/>
      <c r="F21" s="115">
        <v>-163</v>
      </c>
      <c r="G21" s="37">
        <v>-16.7</v>
      </c>
      <c r="I21" s="45"/>
      <c r="J21" s="115">
        <v>-183</v>
      </c>
      <c r="K21" s="37">
        <v>-15.9</v>
      </c>
      <c r="L21" s="46"/>
      <c r="M21" s="58">
        <f t="shared" si="0"/>
        <v>-0.1092896174863388</v>
      </c>
    </row>
    <row r="22" spans="1:13" ht="12.75">
      <c r="A22" t="s">
        <v>183</v>
      </c>
      <c r="B22" s="115">
        <v>-40</v>
      </c>
      <c r="C22" s="37">
        <v>-4.6</v>
      </c>
      <c r="E22" s="45"/>
      <c r="F22" s="115">
        <v>-40</v>
      </c>
      <c r="G22" s="37">
        <v>-4.6</v>
      </c>
      <c r="I22" s="45"/>
      <c r="J22" s="115">
        <v>-80</v>
      </c>
      <c r="K22" s="37">
        <v>-9.6</v>
      </c>
      <c r="L22" s="46"/>
      <c r="M22" s="58">
        <f t="shared" si="0"/>
        <v>-0.5</v>
      </c>
    </row>
    <row r="23" spans="1:13" ht="12.75">
      <c r="A23" t="s">
        <v>184</v>
      </c>
      <c r="B23" s="199">
        <f>-22711+22711</f>
        <v>0</v>
      </c>
      <c r="C23" s="37">
        <f>(-2276928240+2276928240)/1000000</f>
        <v>0</v>
      </c>
      <c r="E23" s="45"/>
      <c r="F23" s="199">
        <f>-22711+22711</f>
        <v>0</v>
      </c>
      <c r="G23" s="37">
        <f>(-2276928240+2276928240)/1000000</f>
        <v>0</v>
      </c>
      <c r="I23" s="45"/>
      <c r="J23" s="21">
        <f>J25-J20-J21-J22-J24</f>
        <v>301</v>
      </c>
      <c r="K23" s="37">
        <v>31.8</v>
      </c>
      <c r="L23" s="46"/>
      <c r="M23" s="58">
        <f t="shared" si="0"/>
        <v>-1</v>
      </c>
    </row>
    <row r="24" spans="1:13" ht="12.75">
      <c r="A24" t="s">
        <v>185</v>
      </c>
      <c r="B24" s="199">
        <f>-22711+22711</f>
        <v>0</v>
      </c>
      <c r="C24" s="37">
        <f>(-2276928240+2276928240)/1000000</f>
        <v>0</v>
      </c>
      <c r="E24" s="45"/>
      <c r="F24" s="199">
        <f>-22711+22711</f>
        <v>0</v>
      </c>
      <c r="G24" s="37">
        <f>(-2276928240+2276928240)/1000000</f>
        <v>0</v>
      </c>
      <c r="I24" s="45"/>
      <c r="J24" s="199">
        <f>-22711+22711</f>
        <v>0</v>
      </c>
      <c r="K24" s="37">
        <f>(-2276928240+2276928240)/1000000</f>
        <v>0</v>
      </c>
      <c r="L24" s="46"/>
      <c r="M24" s="58"/>
    </row>
    <row r="25" spans="1:13" ht="12.75">
      <c r="A25" t="s">
        <v>186</v>
      </c>
      <c r="B25" s="120">
        <v>2826</v>
      </c>
      <c r="C25" s="37">
        <v>295.8</v>
      </c>
      <c r="E25" s="45"/>
      <c r="F25" s="120">
        <v>2826</v>
      </c>
      <c r="G25" s="37">
        <v>295.8</v>
      </c>
      <c r="I25" s="45"/>
      <c r="J25" s="225">
        <v>5469</v>
      </c>
      <c r="K25" s="37">
        <v>588.5</v>
      </c>
      <c r="L25" s="46"/>
      <c r="M25" s="58">
        <f t="shared" si="0"/>
        <v>-0.4832693362589139</v>
      </c>
    </row>
    <row r="26" spans="5:13" ht="12.75">
      <c r="E26" s="45"/>
      <c r="I26" s="45"/>
      <c r="L26" s="46"/>
      <c r="M26" s="44"/>
    </row>
    <row r="27" spans="5:13" ht="12.75">
      <c r="E27" s="45"/>
      <c r="I27" s="45"/>
      <c r="L27" s="46"/>
      <c r="M27" s="44"/>
    </row>
    <row r="28" spans="5:13" ht="12.75">
      <c r="E28" s="45"/>
      <c r="I28" s="45"/>
      <c r="L28" s="46"/>
      <c r="M28" s="44"/>
    </row>
    <row r="29" spans="1:13" ht="12.75">
      <c r="A29" s="140" t="s">
        <v>77</v>
      </c>
      <c r="B29" s="120">
        <v>29750</v>
      </c>
      <c r="C29" s="37">
        <v>3027.09225</v>
      </c>
      <c r="D29" s="44"/>
      <c r="E29" s="45"/>
      <c r="F29" s="120">
        <v>29750</v>
      </c>
      <c r="G29" s="37">
        <v>3027.09225</v>
      </c>
      <c r="H29" s="44"/>
      <c r="I29" s="45"/>
      <c r="J29" s="120">
        <v>28888</v>
      </c>
      <c r="K29" s="37">
        <f>(J29*99023)/1000000</f>
        <v>2860.576424</v>
      </c>
      <c r="L29" s="46"/>
      <c r="M29" s="54">
        <f>(F29-J29)/J29</f>
        <v>0.029839379673220714</v>
      </c>
    </row>
    <row r="30" spans="1:13" ht="12.75">
      <c r="A30" s="15" t="s">
        <v>72</v>
      </c>
      <c r="B30" s="36">
        <f>-5078</f>
        <v>-5078</v>
      </c>
      <c r="C30" s="37">
        <f>(102224*B30)/1000000</f>
        <v>-519.093472</v>
      </c>
      <c r="D30" s="44"/>
      <c r="E30" s="45"/>
      <c r="F30" s="36">
        <f>-5078</f>
        <v>-5078</v>
      </c>
      <c r="G30" s="37">
        <f>(102224*F30)/1000000</f>
        <v>-519.093472</v>
      </c>
      <c r="H30" s="44"/>
      <c r="I30" s="45"/>
      <c r="J30" s="36">
        <f>-4196</f>
        <v>-4196</v>
      </c>
      <c r="K30" s="37">
        <f>-416.826444</f>
        <v>-416.826444</v>
      </c>
      <c r="L30" s="46"/>
      <c r="M30" s="54">
        <f>(F30-J30)/J30</f>
        <v>0.2102001906577693</v>
      </c>
    </row>
    <row r="31" spans="1:13" ht="12.75">
      <c r="A31" s="15" t="s">
        <v>78</v>
      </c>
      <c r="B31" s="115">
        <f>B11*-1</f>
        <v>2</v>
      </c>
      <c r="C31" s="37">
        <f>C11*-1</f>
        <v>0</v>
      </c>
      <c r="D31" s="44"/>
      <c r="E31" s="45"/>
      <c r="F31" s="115">
        <f>F11*-1</f>
        <v>2</v>
      </c>
      <c r="G31" s="37">
        <f>G11*-1</f>
        <v>0</v>
      </c>
      <c r="H31" s="44"/>
      <c r="I31" s="45"/>
      <c r="J31" s="115">
        <f>J11*-1</f>
        <v>2</v>
      </c>
      <c r="K31" s="37">
        <f>K11*-1</f>
        <v>0</v>
      </c>
      <c r="L31" s="46"/>
      <c r="M31" s="54">
        <f>(F31-J31)/J31</f>
        <v>0</v>
      </c>
    </row>
    <row r="32" spans="1:13" ht="12.75">
      <c r="A32" s="15" t="s">
        <v>79</v>
      </c>
      <c r="B32" s="36">
        <f>4283-B31</f>
        <v>4281</v>
      </c>
      <c r="C32" s="37">
        <v>437.825392</v>
      </c>
      <c r="D32" s="44"/>
      <c r="E32" s="45"/>
      <c r="F32" s="36">
        <f>4283-F31</f>
        <v>4281</v>
      </c>
      <c r="G32" s="37">
        <v>437.825392</v>
      </c>
      <c r="H32" s="44"/>
      <c r="I32" s="45"/>
      <c r="J32" s="36">
        <f>4165-J31</f>
        <v>4163</v>
      </c>
      <c r="K32" s="37">
        <f>(J31+J32)*99339/1000000</f>
        <v>413.746935</v>
      </c>
      <c r="L32" s="46"/>
      <c r="M32" s="54">
        <f>(F32-J32)/J32</f>
        <v>0.028344943550324287</v>
      </c>
    </row>
    <row r="33" spans="1:13" ht="12.75">
      <c r="A33" s="15" t="s">
        <v>67</v>
      </c>
      <c r="B33" s="199">
        <f>B34-(B29+B30+B31+B32)</f>
        <v>-35</v>
      </c>
      <c r="C33" s="37">
        <f>C34-(C29+C30+C31+C32)</f>
        <v>10.493909999999687</v>
      </c>
      <c r="D33" s="60"/>
      <c r="E33" s="36"/>
      <c r="F33" s="199">
        <f>F34-(F29+F30+F31+F32)</f>
        <v>-35</v>
      </c>
      <c r="G33" s="37">
        <f>G34-(G29+G30+G31+G32)</f>
        <v>10.493909999999687</v>
      </c>
      <c r="H33" s="60"/>
      <c r="I33" s="36"/>
      <c r="J33" s="36">
        <f>J34-(J29+J30+J31+J32)</f>
        <v>126</v>
      </c>
      <c r="K33" s="37">
        <f>K34-(K29+K30+K31+K32)</f>
        <v>21.64532199999985</v>
      </c>
      <c r="L33" s="46"/>
      <c r="M33" s="54"/>
    </row>
    <row r="34" spans="1:13" ht="12.75">
      <c r="A34" s="16" t="s">
        <v>80</v>
      </c>
      <c r="B34" s="120">
        <v>28920</v>
      </c>
      <c r="C34" s="37">
        <v>2956.31808</v>
      </c>
      <c r="D34" s="44"/>
      <c r="E34" s="45"/>
      <c r="F34" s="120">
        <v>28920</v>
      </c>
      <c r="G34" s="37">
        <v>2956.31808</v>
      </c>
      <c r="H34" s="44"/>
      <c r="I34" s="45"/>
      <c r="J34" s="120">
        <v>28983</v>
      </c>
      <c r="K34" s="37">
        <v>2879.142237</v>
      </c>
      <c r="L34" s="46"/>
      <c r="M34" s="58">
        <f>(F34-J34)/J34</f>
        <v>-0.002173688024014077</v>
      </c>
    </row>
    <row r="35" spans="2:11" ht="12.75">
      <c r="B35" s="21"/>
      <c r="C35" s="37"/>
      <c r="D35" s="21"/>
      <c r="E35" s="21"/>
      <c r="F35" s="21"/>
      <c r="G35" s="21"/>
      <c r="H35" s="21"/>
      <c r="I35" s="21"/>
      <c r="J35" s="21"/>
      <c r="K35" s="180"/>
    </row>
    <row r="36" spans="2:11" ht="12.75">
      <c r="B36" s="21"/>
      <c r="C36" s="37"/>
      <c r="F36" s="21"/>
      <c r="G36" s="21"/>
      <c r="J36" s="21"/>
      <c r="K36" s="21"/>
    </row>
    <row r="37" ht="12.75">
      <c r="A37" s="15" t="s">
        <v>81</v>
      </c>
    </row>
    <row r="38" ht="12.75">
      <c r="A38" s="15"/>
    </row>
  </sheetData>
  <mergeCells count="3">
    <mergeCell ref="B5:C5"/>
    <mergeCell ref="F5:G5"/>
    <mergeCell ref="J5:K5"/>
  </mergeCells>
  <printOptions horizontalCentered="1"/>
  <pageMargins left="0.75" right="0.54" top="1" bottom="1" header="0.5" footer="0.5"/>
  <pageSetup fitToHeight="1" fitToWidth="1" horizontalDpi="300" verticalDpi="300" orientation="landscape" scale="66" r:id="rId1"/>
  <headerFooter alignWithMargins="0">
    <oddFooter>&amp;C&amp;8&amp;D
&amp;F 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N51"/>
  <sheetViews>
    <sheetView zoomScale="50" zoomScaleNormal="50" workbookViewId="0" topLeftCell="A1">
      <selection activeCell="A1" sqref="A1"/>
    </sheetView>
  </sheetViews>
  <sheetFormatPr defaultColWidth="9.140625" defaultRowHeight="12.75"/>
  <cols>
    <col min="1" max="1" width="35.8515625" style="0" customWidth="1"/>
    <col min="2" max="2" width="3.00390625" style="0" customWidth="1"/>
    <col min="3" max="3" width="18.7109375" style="0" customWidth="1"/>
    <col min="4" max="4" width="5.140625" style="0" customWidth="1"/>
    <col min="5" max="5" width="1.57421875" style="0" customWidth="1"/>
    <col min="6" max="6" width="4.140625" style="0" customWidth="1"/>
    <col min="7" max="7" width="18.7109375" style="0" customWidth="1"/>
    <col min="8" max="8" width="5.140625" style="0" customWidth="1"/>
    <col min="9" max="9" width="1.57421875" style="0" customWidth="1"/>
    <col min="10" max="10" width="3.8515625" style="0" customWidth="1"/>
    <col min="11" max="11" width="18.7109375" style="0" customWidth="1"/>
    <col min="12" max="12" width="4.8515625" style="0" customWidth="1"/>
    <col min="13" max="13" width="0.71875" style="0" customWidth="1"/>
    <col min="14" max="14" width="13.8515625" style="0" bestFit="1" customWidth="1"/>
  </cols>
  <sheetData>
    <row r="1" spans="1:14" ht="21" customHeight="1">
      <c r="A1" s="2" t="s">
        <v>15</v>
      </c>
      <c r="B1" s="2"/>
      <c r="C1" s="1"/>
      <c r="D1" s="1"/>
      <c r="E1" s="1"/>
      <c r="F1" s="1"/>
      <c r="G1" s="1"/>
      <c r="H1" s="1"/>
      <c r="I1" s="1"/>
      <c r="J1" s="1"/>
      <c r="K1" s="1"/>
      <c r="L1" s="14"/>
      <c r="M1" s="14"/>
      <c r="N1" s="14"/>
    </row>
    <row r="2" spans="1:14" ht="23.25" customHeight="1">
      <c r="A2" s="3" t="s">
        <v>160</v>
      </c>
      <c r="B2" s="3"/>
      <c r="C2" s="1"/>
      <c r="D2" s="1"/>
      <c r="E2" s="1"/>
      <c r="F2" s="1"/>
      <c r="G2" s="1"/>
      <c r="H2" s="1"/>
      <c r="I2" s="1"/>
      <c r="J2" s="1"/>
      <c r="K2" s="1"/>
      <c r="L2" s="14"/>
      <c r="M2" s="14"/>
      <c r="N2" s="14"/>
    </row>
    <row r="3" spans="1:14" ht="30" customHeight="1" thickBo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</row>
    <row r="4" spans="2:14" s="4" customFormat="1" ht="12.75">
      <c r="B4" s="38"/>
      <c r="C4" s="1" t="s">
        <v>17</v>
      </c>
      <c r="D4" s="1"/>
      <c r="E4" s="31"/>
      <c r="G4" s="5" t="s">
        <v>147</v>
      </c>
      <c r="H4" s="1"/>
      <c r="I4" s="22"/>
      <c r="K4" s="5" t="s">
        <v>18</v>
      </c>
      <c r="L4" s="1"/>
      <c r="M4" s="23"/>
      <c r="N4"/>
    </row>
    <row r="5" spans="2:14" s="4" customFormat="1" ht="12.75">
      <c r="B5" s="208"/>
      <c r="C5" s="440" t="s">
        <v>288</v>
      </c>
      <c r="D5" s="440"/>
      <c r="E5" s="149"/>
      <c r="F5" s="23"/>
      <c r="G5" s="440" t="s">
        <v>297</v>
      </c>
      <c r="H5" s="440"/>
      <c r="I5" s="22"/>
      <c r="J5" s="38"/>
      <c r="K5" s="446" t="s">
        <v>301</v>
      </c>
      <c r="L5" s="447"/>
      <c r="M5" s="209"/>
      <c r="N5" s="10" t="s">
        <v>19</v>
      </c>
    </row>
    <row r="6" spans="1:14" s="5" customFormat="1" ht="12.75">
      <c r="A6" s="7"/>
      <c r="B6" s="7"/>
      <c r="C6" s="441" t="s">
        <v>21</v>
      </c>
      <c r="D6" s="441"/>
      <c r="E6" s="442"/>
      <c r="F6" s="443" t="s">
        <v>21</v>
      </c>
      <c r="G6" s="444"/>
      <c r="H6" s="445"/>
      <c r="I6" s="443" t="s">
        <v>21</v>
      </c>
      <c r="J6" s="444"/>
      <c r="K6" s="444"/>
      <c r="L6" s="445"/>
      <c r="M6" s="18"/>
      <c r="N6" s="7" t="s">
        <v>20</v>
      </c>
    </row>
    <row r="7" spans="4:14" s="5" customFormat="1" ht="12.75">
      <c r="D7" s="10"/>
      <c r="E7" s="10"/>
      <c r="F7" s="17"/>
      <c r="I7" s="17"/>
      <c r="J7" s="10"/>
      <c r="K7" s="10"/>
      <c r="M7" s="17"/>
      <c r="N7" s="210"/>
    </row>
    <row r="8" spans="1:14" ht="12.75">
      <c r="A8" s="16" t="s">
        <v>161</v>
      </c>
      <c r="B8" s="4"/>
      <c r="C8" s="27"/>
      <c r="D8" s="9"/>
      <c r="E8" s="9"/>
      <c r="F8" s="12"/>
      <c r="I8" s="12"/>
      <c r="M8" s="12"/>
      <c r="N8" s="44"/>
    </row>
    <row r="9" spans="1:14" ht="12.75">
      <c r="A9" t="s">
        <v>162</v>
      </c>
      <c r="C9" s="48">
        <f>C11-C10</f>
        <v>3632093</v>
      </c>
      <c r="D9" s="56"/>
      <c r="E9" s="56"/>
      <c r="F9" s="50"/>
      <c r="G9" s="48">
        <f>G11-G10</f>
        <v>3632093</v>
      </c>
      <c r="H9" s="6"/>
      <c r="I9" s="50"/>
      <c r="J9" s="6"/>
      <c r="K9" s="48">
        <f>K11-K10</f>
        <v>3958874</v>
      </c>
      <c r="M9" s="12"/>
      <c r="N9" s="211">
        <f>(G9-K9)/K9</f>
        <v>-0.08254392536867806</v>
      </c>
    </row>
    <row r="10" spans="1:14" ht="12.75">
      <c r="A10" s="15" t="s">
        <v>163</v>
      </c>
      <c r="C10" s="309">
        <v>260347</v>
      </c>
      <c r="D10" s="56"/>
      <c r="E10" s="56"/>
      <c r="F10" s="50"/>
      <c r="G10" s="309">
        <v>260347</v>
      </c>
      <c r="H10" s="6"/>
      <c r="I10" s="50"/>
      <c r="J10" s="6"/>
      <c r="K10" s="309">
        <v>280860</v>
      </c>
      <c r="M10" s="12"/>
      <c r="N10" s="211">
        <f>(G10-K10)/K10</f>
        <v>-0.07303638823613189</v>
      </c>
    </row>
    <row r="11" spans="1:14" ht="12.75">
      <c r="A11" s="15" t="s">
        <v>164</v>
      </c>
      <c r="C11" s="310">
        <v>3892440</v>
      </c>
      <c r="D11" s="56"/>
      <c r="E11" s="56"/>
      <c r="F11" s="50"/>
      <c r="G11" s="310">
        <v>3892440</v>
      </c>
      <c r="H11" s="51"/>
      <c r="I11" s="56"/>
      <c r="J11" s="6"/>
      <c r="K11" s="310">
        <v>4239734</v>
      </c>
      <c r="M11" s="12"/>
      <c r="N11" s="211">
        <f>(G11-K11)/K11</f>
        <v>-0.08191410121484037</v>
      </c>
    </row>
    <row r="12" spans="1:14" ht="12.75">
      <c r="A12" t="s">
        <v>165</v>
      </c>
      <c r="C12" s="311">
        <f>C10/C11</f>
        <v>0.06688529559864763</v>
      </c>
      <c r="D12" s="312"/>
      <c r="E12" s="312"/>
      <c r="F12" s="313"/>
      <c r="G12" s="311">
        <f>G10/G11</f>
        <v>0.06688529559864763</v>
      </c>
      <c r="H12" s="314"/>
      <c r="I12" s="313"/>
      <c r="J12" s="314"/>
      <c r="K12" s="311">
        <f>K10/K11</f>
        <v>0.06624472195661332</v>
      </c>
      <c r="M12" s="12"/>
      <c r="N12" s="211">
        <f>(G12-K12)/K12</f>
        <v>0.00966980648592422</v>
      </c>
    </row>
    <row r="13" spans="3:14" ht="12.75">
      <c r="C13" s="315"/>
      <c r="D13" s="56"/>
      <c r="E13" s="56"/>
      <c r="F13" s="50"/>
      <c r="G13" s="6"/>
      <c r="H13" s="6"/>
      <c r="I13" s="50"/>
      <c r="J13" s="6"/>
      <c r="K13" s="6"/>
      <c r="M13" s="12"/>
      <c r="N13" s="211"/>
    </row>
    <row r="14" spans="1:14" ht="12.75">
      <c r="A14" s="16" t="s">
        <v>166</v>
      </c>
      <c r="B14" s="4"/>
      <c r="C14" s="48"/>
      <c r="D14" s="56"/>
      <c r="E14" s="56"/>
      <c r="F14" s="50"/>
      <c r="G14" s="6"/>
      <c r="H14" s="6"/>
      <c r="I14" s="50"/>
      <c r="J14" s="6"/>
      <c r="K14" s="6"/>
      <c r="M14" s="12"/>
      <c r="N14" s="211"/>
    </row>
    <row r="15" spans="1:14" ht="12.75">
      <c r="A15" s="15" t="s">
        <v>167</v>
      </c>
      <c r="C15" s="48">
        <v>2160</v>
      </c>
      <c r="D15" s="56"/>
      <c r="E15" s="56"/>
      <c r="F15" s="50"/>
      <c r="G15" s="48">
        <v>2160</v>
      </c>
      <c r="H15" s="6"/>
      <c r="I15" s="50"/>
      <c r="J15" s="6"/>
      <c r="K15" s="48">
        <v>1995</v>
      </c>
      <c r="M15" s="12"/>
      <c r="N15" s="211">
        <f>(G15-K15)/K15</f>
        <v>0.08270676691729323</v>
      </c>
    </row>
    <row r="16" spans="1:14" ht="12.75">
      <c r="A16" t="s">
        <v>168</v>
      </c>
      <c r="C16" s="48">
        <v>3992</v>
      </c>
      <c r="D16" s="56"/>
      <c r="E16" s="56"/>
      <c r="F16" s="50"/>
      <c r="G16" s="48">
        <v>3992</v>
      </c>
      <c r="H16" s="6"/>
      <c r="I16" s="50"/>
      <c r="J16" s="6"/>
      <c r="K16" s="48">
        <v>2346</v>
      </c>
      <c r="M16" s="12"/>
      <c r="N16" s="211">
        <f>(G16-K16)/K16</f>
        <v>0.7016197783461211</v>
      </c>
    </row>
    <row r="17" spans="1:14" ht="12.75">
      <c r="A17" t="s">
        <v>169</v>
      </c>
      <c r="C17" s="48">
        <v>1306</v>
      </c>
      <c r="D17" s="56"/>
      <c r="E17" s="56"/>
      <c r="F17" s="50"/>
      <c r="G17" s="48">
        <v>1306</v>
      </c>
      <c r="H17" s="6"/>
      <c r="I17" s="50"/>
      <c r="J17" s="6"/>
      <c r="K17" s="48">
        <v>840</v>
      </c>
      <c r="M17" s="12"/>
      <c r="N17" s="211">
        <f>(G17-K17)/K17</f>
        <v>0.5547619047619048</v>
      </c>
    </row>
    <row r="18" spans="1:14" ht="12.75">
      <c r="A18" t="s">
        <v>170</v>
      </c>
      <c r="C18" s="48">
        <v>7458</v>
      </c>
      <c r="D18" s="56"/>
      <c r="E18" s="56"/>
      <c r="F18" s="50"/>
      <c r="G18" s="48">
        <v>7458</v>
      </c>
      <c r="H18" s="6"/>
      <c r="I18" s="50"/>
      <c r="J18" s="6"/>
      <c r="K18" s="48">
        <v>5181</v>
      </c>
      <c r="M18" s="12"/>
      <c r="N18" s="211">
        <f>(G18-K18)/K18</f>
        <v>0.4394904458598726</v>
      </c>
    </row>
    <row r="19" spans="3:14" ht="12.75">
      <c r="C19" s="48"/>
      <c r="D19" s="56"/>
      <c r="E19" s="56"/>
      <c r="F19" s="50"/>
      <c r="G19" s="6"/>
      <c r="H19" s="6"/>
      <c r="I19" s="50"/>
      <c r="J19" s="6"/>
      <c r="K19" s="48"/>
      <c r="M19" s="12"/>
      <c r="N19" s="211"/>
    </row>
    <row r="20" spans="1:14" ht="12.75">
      <c r="A20" s="16" t="s">
        <v>223</v>
      </c>
      <c r="B20" s="4"/>
      <c r="C20" s="48"/>
      <c r="D20" s="56"/>
      <c r="E20" s="56"/>
      <c r="F20" s="50"/>
      <c r="G20" s="48"/>
      <c r="H20" s="6"/>
      <c r="I20" s="50"/>
      <c r="J20" s="6"/>
      <c r="K20" s="48"/>
      <c r="M20" s="12"/>
      <c r="N20" s="211"/>
    </row>
    <row r="21" spans="1:14" ht="12.75">
      <c r="A21" s="15" t="s">
        <v>171</v>
      </c>
      <c r="C21" s="316">
        <v>4252</v>
      </c>
      <c r="D21" s="56"/>
      <c r="E21" s="56"/>
      <c r="F21" s="50"/>
      <c r="G21" s="316">
        <v>4252</v>
      </c>
      <c r="H21" s="6"/>
      <c r="I21" s="50"/>
      <c r="J21" s="6"/>
      <c r="K21" s="48">
        <v>4109</v>
      </c>
      <c r="M21" s="12"/>
      <c r="N21" s="211">
        <f>(G21-K21)/K21</f>
        <v>0.03480165490386956</v>
      </c>
    </row>
    <row r="22" spans="1:14" ht="12.75">
      <c r="A22" t="s">
        <v>172</v>
      </c>
      <c r="C22" s="316">
        <v>406</v>
      </c>
      <c r="D22" s="56"/>
      <c r="E22" s="56"/>
      <c r="F22" s="50"/>
      <c r="G22" s="316">
        <v>406</v>
      </c>
      <c r="H22" s="6"/>
      <c r="I22" s="50"/>
      <c r="J22" s="6"/>
      <c r="K22" s="48">
        <v>434</v>
      </c>
      <c r="M22" s="12"/>
      <c r="N22" s="211">
        <f>(G22-K22)/K22</f>
        <v>-0.06451612903225806</v>
      </c>
    </row>
    <row r="23" spans="1:14" ht="12.75">
      <c r="A23" s="15" t="s">
        <v>173</v>
      </c>
      <c r="C23" s="48">
        <v>22</v>
      </c>
      <c r="D23" s="56"/>
      <c r="E23" s="56"/>
      <c r="F23" s="50"/>
      <c r="G23" s="48">
        <v>22</v>
      </c>
      <c r="H23" s="6"/>
      <c r="I23" s="50"/>
      <c r="J23" s="6"/>
      <c r="K23" s="48">
        <v>23</v>
      </c>
      <c r="M23" s="12"/>
      <c r="N23" s="211">
        <f>(G23-K23)/K23</f>
        <v>-0.043478260869565216</v>
      </c>
    </row>
    <row r="24" spans="1:14" ht="12.75">
      <c r="A24" t="s">
        <v>174</v>
      </c>
      <c r="C24" s="48">
        <v>1</v>
      </c>
      <c r="D24" s="56"/>
      <c r="E24" s="56"/>
      <c r="F24" s="50"/>
      <c r="G24" s="48">
        <v>1</v>
      </c>
      <c r="H24" s="6"/>
      <c r="I24" s="50"/>
      <c r="J24" s="6"/>
      <c r="K24" s="48">
        <v>377</v>
      </c>
      <c r="M24" s="12"/>
      <c r="N24" s="211">
        <f>(G24-K24)/K24</f>
        <v>-0.9973474801061007</v>
      </c>
    </row>
    <row r="25" spans="1:14" ht="12.75">
      <c r="A25" t="s">
        <v>175</v>
      </c>
      <c r="C25" s="48">
        <v>4681</v>
      </c>
      <c r="D25" s="56"/>
      <c r="E25" s="56"/>
      <c r="F25" s="50"/>
      <c r="G25" s="48">
        <v>4681</v>
      </c>
      <c r="H25" s="6"/>
      <c r="I25" s="50"/>
      <c r="J25" s="6"/>
      <c r="K25" s="48">
        <v>4943</v>
      </c>
      <c r="M25" s="12"/>
      <c r="N25" s="211">
        <f>(G25-K25)/K25</f>
        <v>-0.05300424843212624</v>
      </c>
    </row>
    <row r="26" spans="1:14" ht="12.75">
      <c r="A26" s="6"/>
      <c r="B26" s="6"/>
      <c r="G26" s="27"/>
      <c r="K26" s="27"/>
      <c r="N26" s="212"/>
    </row>
    <row r="27" spans="1:11" ht="12.75">
      <c r="A27" s="213" t="s">
        <v>40</v>
      </c>
      <c r="B27" s="6"/>
      <c r="K27" s="27"/>
    </row>
    <row r="28" spans="1:11" ht="12.75">
      <c r="A28" s="213" t="s">
        <v>310</v>
      </c>
      <c r="B28" s="6"/>
      <c r="K28" s="27"/>
    </row>
    <row r="29" spans="1:2" ht="12.75">
      <c r="A29" s="213" t="s">
        <v>176</v>
      </c>
      <c r="B29" s="4"/>
    </row>
    <row r="30" spans="1:2" ht="12.75">
      <c r="A30" s="6" t="s">
        <v>177</v>
      </c>
      <c r="B30" s="6"/>
    </row>
    <row r="31" spans="1:2" ht="12.75">
      <c r="A31" s="6"/>
      <c r="B31" s="6"/>
    </row>
    <row r="32" spans="1:2" ht="12.75">
      <c r="A32" s="6"/>
      <c r="B32" s="6"/>
    </row>
    <row r="33" spans="1:2" ht="12.75">
      <c r="A33" s="6"/>
      <c r="B33" s="6"/>
    </row>
    <row r="34" spans="1:2" ht="12.75">
      <c r="A34" s="4"/>
      <c r="B34" s="4"/>
    </row>
    <row r="35" spans="1:2" ht="12.75">
      <c r="A35" s="4"/>
      <c r="B35" s="4"/>
    </row>
    <row r="36" spans="1:2" ht="12.75">
      <c r="A36" s="6"/>
      <c r="B36" s="6"/>
    </row>
    <row r="37" spans="1:2" ht="12.75">
      <c r="A37" s="6"/>
      <c r="B37" s="6"/>
    </row>
    <row r="38" spans="1:2" ht="12.75">
      <c r="A38" s="6"/>
      <c r="B38" s="6"/>
    </row>
    <row r="39" spans="1:2" ht="12.75">
      <c r="A39" s="4"/>
      <c r="B39" s="4"/>
    </row>
    <row r="40" spans="1:2" ht="12.75">
      <c r="A40" s="6"/>
      <c r="B40" s="6"/>
    </row>
    <row r="41" spans="1:2" ht="12.75">
      <c r="A41" s="6"/>
      <c r="B41" s="6"/>
    </row>
    <row r="42" spans="1:2" ht="12.75">
      <c r="A42" s="6"/>
      <c r="B42" s="6"/>
    </row>
    <row r="43" spans="1:2" ht="12.75">
      <c r="A43" s="6"/>
      <c r="B43" s="6"/>
    </row>
    <row r="44" spans="1:2" ht="12.75">
      <c r="A44" s="4"/>
      <c r="B44" s="4"/>
    </row>
    <row r="45" spans="1:2" ht="12.75">
      <c r="A45" s="6"/>
      <c r="B45" s="6"/>
    </row>
    <row r="46" spans="1:2" ht="12.75">
      <c r="A46" s="6"/>
      <c r="B46" s="6"/>
    </row>
    <row r="47" spans="1:2" ht="12.75">
      <c r="A47" s="6"/>
      <c r="B47" s="6"/>
    </row>
    <row r="48" spans="1:2" ht="12.75">
      <c r="A48" s="4"/>
      <c r="B48" s="4"/>
    </row>
    <row r="49" spans="1:2" ht="12.75">
      <c r="A49" s="6"/>
      <c r="B49" s="6"/>
    </row>
    <row r="50" spans="1:2" ht="12.75">
      <c r="A50" s="6"/>
      <c r="B50" s="6"/>
    </row>
    <row r="51" spans="1:2" ht="12.75">
      <c r="A51" s="6"/>
      <c r="B51" s="6"/>
    </row>
  </sheetData>
  <mergeCells count="6">
    <mergeCell ref="C6:E6"/>
    <mergeCell ref="F6:H6"/>
    <mergeCell ref="I6:L6"/>
    <mergeCell ref="C5:D5"/>
    <mergeCell ref="G5:H5"/>
    <mergeCell ref="K5:L5"/>
  </mergeCells>
  <printOptions/>
  <pageMargins left="0.75" right="0.75" top="1" bottom="1" header="0.5" footer="0.5"/>
  <pageSetup fitToHeight="1" fitToWidth="1" horizontalDpi="600" verticalDpi="600" orientation="landscape" scale="9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7"/>
  <dimension ref="A1:O69"/>
  <sheetViews>
    <sheetView zoomScale="50" zoomScaleNormal="50" workbookViewId="0" topLeftCell="A1">
      <selection activeCell="A1" sqref="A1"/>
    </sheetView>
  </sheetViews>
  <sheetFormatPr defaultColWidth="9.140625" defaultRowHeight="12.75"/>
  <cols>
    <col min="1" max="1" width="15.8515625" style="9" bestFit="1" customWidth="1"/>
    <col min="2" max="2" width="38.28125" style="9" customWidth="1"/>
    <col min="3" max="4" width="7.28125" style="9" bestFit="1" customWidth="1"/>
    <col min="5" max="5" width="6.421875" style="9" bestFit="1" customWidth="1"/>
    <col min="6" max="7" width="5.7109375" style="9" customWidth="1"/>
    <col min="8" max="8" width="7.00390625" style="9" customWidth="1"/>
    <col min="9" max="9" width="10.421875" style="9" bestFit="1" customWidth="1"/>
    <col min="10" max="10" width="11.140625" style="9" bestFit="1" customWidth="1"/>
    <col min="11" max="11" width="7.57421875" style="9" bestFit="1" customWidth="1"/>
    <col min="12" max="12" width="9.7109375" style="9" bestFit="1" customWidth="1"/>
    <col min="13" max="13" width="10.00390625" style="9" bestFit="1" customWidth="1"/>
    <col min="14" max="14" width="7.57421875" style="9" bestFit="1" customWidth="1"/>
    <col min="15" max="16384" width="9.140625" style="9" customWidth="1"/>
  </cols>
  <sheetData>
    <row r="1" spans="1:14" ht="12.75">
      <c r="A1" s="169" t="s">
        <v>15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</row>
    <row r="2" spans="1:14" s="191" customFormat="1" ht="20.25">
      <c r="A2" s="190" t="s">
        <v>146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</row>
    <row r="3" spans="1:14" ht="12.75">
      <c r="A3" s="169"/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</row>
    <row r="4" spans="1:14" ht="12.75">
      <c r="A4" s="169" t="s">
        <v>82</v>
      </c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</row>
    <row r="5" spans="1:14" ht="12.75">
      <c r="A5" s="169" t="s">
        <v>290</v>
      </c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</row>
    <row r="6" spans="1:14" ht="12.75">
      <c r="A6" s="169"/>
      <c r="B6" s="169"/>
      <c r="C6" s="169"/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</row>
    <row r="7" spans="1:14" ht="12.75">
      <c r="A7" s="169"/>
      <c r="B7" s="169"/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</row>
    <row r="8" spans="1:14" s="192" customFormat="1" ht="12">
      <c r="A8" s="172"/>
      <c r="B8" s="172"/>
      <c r="C8" s="173" t="s">
        <v>83</v>
      </c>
      <c r="D8" s="174"/>
      <c r="E8" s="174"/>
      <c r="F8" s="174"/>
      <c r="G8" s="174"/>
      <c r="H8" s="175"/>
      <c r="I8" s="173" t="s">
        <v>84</v>
      </c>
      <c r="J8" s="174"/>
      <c r="K8" s="175"/>
      <c r="L8" s="173" t="s">
        <v>85</v>
      </c>
      <c r="M8" s="174"/>
      <c r="N8" s="175"/>
    </row>
    <row r="9" spans="1:14" s="192" customFormat="1" ht="12">
      <c r="A9" s="176"/>
      <c r="B9" s="365"/>
      <c r="C9" s="415" t="s">
        <v>86</v>
      </c>
      <c r="D9" s="416"/>
      <c r="E9" s="417"/>
      <c r="F9" s="416" t="s">
        <v>87</v>
      </c>
      <c r="G9" s="416"/>
      <c r="H9" s="417"/>
      <c r="I9" s="177" t="s">
        <v>88</v>
      </c>
      <c r="J9" s="177" t="s">
        <v>89</v>
      </c>
      <c r="K9" s="177"/>
      <c r="L9" s="177" t="s">
        <v>88</v>
      </c>
      <c r="M9" s="177" t="s">
        <v>89</v>
      </c>
      <c r="N9" s="172"/>
    </row>
    <row r="10" spans="1:14" s="192" customFormat="1" ht="12">
      <c r="A10" s="176"/>
      <c r="B10" s="176"/>
      <c r="C10" s="448" t="s">
        <v>282</v>
      </c>
      <c r="D10" s="449"/>
      <c r="E10" s="450"/>
      <c r="F10" s="448" t="s">
        <v>291</v>
      </c>
      <c r="G10" s="449"/>
      <c r="H10" s="450"/>
      <c r="I10" s="193" t="s">
        <v>224</v>
      </c>
      <c r="J10" s="193" t="s">
        <v>224</v>
      </c>
      <c r="K10" s="193" t="s">
        <v>19</v>
      </c>
      <c r="L10" s="193" t="s">
        <v>224</v>
      </c>
      <c r="M10" s="193" t="s">
        <v>224</v>
      </c>
      <c r="N10" s="193" t="s">
        <v>19</v>
      </c>
    </row>
    <row r="11" spans="1:14" s="195" customFormat="1" ht="12">
      <c r="A11" s="178" t="s">
        <v>90</v>
      </c>
      <c r="B11" s="317" t="s">
        <v>225</v>
      </c>
      <c r="C11" s="318" t="s">
        <v>91</v>
      </c>
      <c r="D11" s="319" t="s">
        <v>226</v>
      </c>
      <c r="E11" s="320" t="s">
        <v>227</v>
      </c>
      <c r="F11" s="321" t="s">
        <v>91</v>
      </c>
      <c r="G11" s="322" t="s">
        <v>226</v>
      </c>
      <c r="H11" s="323" t="s">
        <v>227</v>
      </c>
      <c r="I11" s="325" t="s">
        <v>282</v>
      </c>
      <c r="J11" s="325" t="s">
        <v>291</v>
      </c>
      <c r="K11" s="324" t="s">
        <v>20</v>
      </c>
      <c r="L11" s="325" t="s">
        <v>282</v>
      </c>
      <c r="M11" s="326" t="s">
        <v>291</v>
      </c>
      <c r="N11" s="194" t="s">
        <v>20</v>
      </c>
    </row>
    <row r="12" spans="1:14" s="196" customFormat="1" ht="12.75">
      <c r="A12" s="47">
        <v>1</v>
      </c>
      <c r="B12" s="423" t="s">
        <v>228</v>
      </c>
      <c r="C12" s="224">
        <v>20.72</v>
      </c>
      <c r="D12" s="224">
        <v>20.536</v>
      </c>
      <c r="E12" s="224">
        <v>29.979</v>
      </c>
      <c r="F12" s="224">
        <v>10.988</v>
      </c>
      <c r="G12" s="224">
        <v>10.913</v>
      </c>
      <c r="H12" s="224">
        <v>14.861</v>
      </c>
      <c r="I12" s="229">
        <v>24986</v>
      </c>
      <c r="J12" s="229">
        <v>33672</v>
      </c>
      <c r="K12" s="424">
        <f aca="true" t="shared" si="0" ref="K12:K43">(I12-J12)/J12</f>
        <v>-0.2579591351865051</v>
      </c>
      <c r="L12" s="229">
        <v>5177</v>
      </c>
      <c r="M12" s="229">
        <v>3700</v>
      </c>
      <c r="N12" s="424">
        <f aca="true" t="shared" si="1" ref="N12:N43">(L12-M12)/M12</f>
        <v>0.39918918918918916</v>
      </c>
    </row>
    <row r="13" spans="1:14" s="196" customFormat="1" ht="12.75">
      <c r="A13" s="47">
        <v>2</v>
      </c>
      <c r="B13" s="425" t="s">
        <v>230</v>
      </c>
      <c r="C13" s="224">
        <v>15.167</v>
      </c>
      <c r="D13" s="224">
        <v>14.78</v>
      </c>
      <c r="E13" s="224">
        <v>43.75</v>
      </c>
      <c r="F13" s="224">
        <v>8.845</v>
      </c>
      <c r="G13" s="224">
        <v>8.856</v>
      </c>
      <c r="H13" s="224">
        <v>8.333</v>
      </c>
      <c r="I13" s="229">
        <v>1200</v>
      </c>
      <c r="J13" s="229">
        <v>1108</v>
      </c>
      <c r="K13" s="424">
        <f t="shared" si="0"/>
        <v>0.08303249097472924</v>
      </c>
      <c r="L13" s="229">
        <v>182</v>
      </c>
      <c r="M13" s="36">
        <v>98</v>
      </c>
      <c r="N13" s="424">
        <f t="shared" si="1"/>
        <v>0.8571428571428571</v>
      </c>
    </row>
    <row r="14" spans="1:14" s="196" customFormat="1" ht="12.75">
      <c r="A14" s="47">
        <v>3</v>
      </c>
      <c r="B14" s="425" t="s">
        <v>229</v>
      </c>
      <c r="C14" s="224">
        <v>14.408</v>
      </c>
      <c r="D14" s="224">
        <v>14.171</v>
      </c>
      <c r="E14" s="224">
        <v>21.951</v>
      </c>
      <c r="F14" s="224">
        <v>10.316</v>
      </c>
      <c r="G14" s="224">
        <v>10.364</v>
      </c>
      <c r="H14" s="224">
        <v>8.955</v>
      </c>
      <c r="I14" s="229">
        <v>5372</v>
      </c>
      <c r="J14" s="229">
        <v>5884</v>
      </c>
      <c r="K14" s="424">
        <f t="shared" si="0"/>
        <v>-0.08701563562202583</v>
      </c>
      <c r="L14" s="229">
        <v>774</v>
      </c>
      <c r="M14" s="36">
        <v>607</v>
      </c>
      <c r="N14" s="424">
        <f t="shared" si="1"/>
        <v>0.2751235584843493</v>
      </c>
    </row>
    <row r="15" spans="1:14" s="196" customFormat="1" ht="12.75">
      <c r="A15" s="47">
        <v>4</v>
      </c>
      <c r="B15" s="425" t="s">
        <v>233</v>
      </c>
      <c r="C15" s="224">
        <v>12.844</v>
      </c>
      <c r="D15" s="224">
        <v>12.819</v>
      </c>
      <c r="E15" s="224">
        <v>15.385</v>
      </c>
      <c r="F15" s="224">
        <v>7.566</v>
      </c>
      <c r="G15" s="224">
        <v>7.648</v>
      </c>
      <c r="H15" s="224">
        <v>0</v>
      </c>
      <c r="I15" s="229">
        <v>1308</v>
      </c>
      <c r="J15" s="229">
        <v>1401</v>
      </c>
      <c r="K15" s="424">
        <f t="shared" si="0"/>
        <v>-0.06638115631691649</v>
      </c>
      <c r="L15" s="229">
        <v>168</v>
      </c>
      <c r="M15" s="36">
        <v>106</v>
      </c>
      <c r="N15" s="424">
        <f t="shared" si="1"/>
        <v>0.5849056603773585</v>
      </c>
    </row>
    <row r="16" spans="1:14" s="196" customFormat="1" ht="12.75">
      <c r="A16" s="47">
        <v>5</v>
      </c>
      <c r="B16" s="425" t="s">
        <v>234</v>
      </c>
      <c r="C16" s="224">
        <v>12.709</v>
      </c>
      <c r="D16" s="224">
        <v>12.66</v>
      </c>
      <c r="E16" s="224">
        <v>14.599</v>
      </c>
      <c r="F16" s="224">
        <v>8.728</v>
      </c>
      <c r="G16" s="224">
        <v>8.72</v>
      </c>
      <c r="H16" s="224">
        <v>8.986</v>
      </c>
      <c r="I16" s="229">
        <v>10961</v>
      </c>
      <c r="J16" s="229">
        <v>11549</v>
      </c>
      <c r="K16" s="424">
        <f t="shared" si="0"/>
        <v>-0.050913499004242795</v>
      </c>
      <c r="L16" s="229">
        <v>1393</v>
      </c>
      <c r="M16" s="36">
        <v>1008</v>
      </c>
      <c r="N16" s="424">
        <f t="shared" si="1"/>
        <v>0.3819444444444444</v>
      </c>
    </row>
    <row r="17" spans="1:14" s="196" customFormat="1" ht="12.75">
      <c r="A17" s="47">
        <v>6</v>
      </c>
      <c r="B17" s="425" t="s">
        <v>231</v>
      </c>
      <c r="C17" s="224">
        <v>12.196</v>
      </c>
      <c r="D17" s="224">
        <v>12.235</v>
      </c>
      <c r="E17" s="224">
        <v>6.452</v>
      </c>
      <c r="F17" s="224">
        <v>7.553</v>
      </c>
      <c r="G17" s="224">
        <v>7.589</v>
      </c>
      <c r="H17" s="224">
        <v>2.857</v>
      </c>
      <c r="I17" s="229">
        <v>4600</v>
      </c>
      <c r="J17" s="229">
        <v>4594</v>
      </c>
      <c r="K17" s="424">
        <f t="shared" si="0"/>
        <v>0.00130605137135394</v>
      </c>
      <c r="L17" s="229">
        <v>561</v>
      </c>
      <c r="M17" s="36">
        <v>347</v>
      </c>
      <c r="N17" s="424">
        <f t="shared" si="1"/>
        <v>0.6167146974063401</v>
      </c>
    </row>
    <row r="18" spans="1:14" s="196" customFormat="1" ht="12.75">
      <c r="A18" s="47">
        <v>7</v>
      </c>
      <c r="B18" s="425" t="s">
        <v>236</v>
      </c>
      <c r="C18" s="224">
        <v>12.192</v>
      </c>
      <c r="D18" s="224">
        <v>11.942</v>
      </c>
      <c r="E18" s="224">
        <v>15.846</v>
      </c>
      <c r="F18" s="224">
        <v>12.726</v>
      </c>
      <c r="G18" s="224">
        <v>12.641</v>
      </c>
      <c r="H18" s="224">
        <v>13.78</v>
      </c>
      <c r="I18" s="229">
        <v>32013</v>
      </c>
      <c r="J18" s="229">
        <v>32617</v>
      </c>
      <c r="K18" s="424">
        <f t="shared" si="0"/>
        <v>-0.018517950761872643</v>
      </c>
      <c r="L18" s="229">
        <v>3903</v>
      </c>
      <c r="M18" s="36">
        <v>4151</v>
      </c>
      <c r="N18" s="424">
        <f t="shared" si="1"/>
        <v>-0.059744639845820284</v>
      </c>
    </row>
    <row r="19" spans="1:14" s="196" customFormat="1" ht="12.75">
      <c r="A19" s="47">
        <v>8</v>
      </c>
      <c r="B19" s="425" t="s">
        <v>241</v>
      </c>
      <c r="C19" s="224">
        <v>12.152</v>
      </c>
      <c r="D19" s="224">
        <v>12.011</v>
      </c>
      <c r="E19" s="224">
        <v>16.038</v>
      </c>
      <c r="F19" s="224">
        <v>11.98</v>
      </c>
      <c r="G19" s="224">
        <v>11.991</v>
      </c>
      <c r="H19" s="224">
        <v>11.694</v>
      </c>
      <c r="I19" s="229">
        <v>6040</v>
      </c>
      <c r="J19" s="229">
        <v>6244</v>
      </c>
      <c r="K19" s="424">
        <f t="shared" si="0"/>
        <v>-0.03267136450992953</v>
      </c>
      <c r="L19" s="229">
        <v>734</v>
      </c>
      <c r="M19" s="36">
        <v>748</v>
      </c>
      <c r="N19" s="424">
        <f t="shared" si="1"/>
        <v>-0.01871657754010695</v>
      </c>
    </row>
    <row r="20" spans="1:14" s="196" customFormat="1" ht="12.75">
      <c r="A20" s="47">
        <v>9</v>
      </c>
      <c r="B20" s="425" t="s">
        <v>242</v>
      </c>
      <c r="C20" s="224">
        <v>12.112</v>
      </c>
      <c r="D20" s="224">
        <v>12.245</v>
      </c>
      <c r="E20" s="224">
        <v>11.178</v>
      </c>
      <c r="F20" s="224">
        <v>11.719</v>
      </c>
      <c r="G20" s="224">
        <v>12.22</v>
      </c>
      <c r="H20" s="224">
        <v>8.71</v>
      </c>
      <c r="I20" s="229">
        <v>63960</v>
      </c>
      <c r="J20" s="229">
        <v>67394</v>
      </c>
      <c r="K20" s="424">
        <f t="shared" si="0"/>
        <v>-0.05095409086862332</v>
      </c>
      <c r="L20" s="229">
        <v>7747</v>
      </c>
      <c r="M20" s="36">
        <v>7898</v>
      </c>
      <c r="N20" s="424">
        <f t="shared" si="1"/>
        <v>-0.019118764244112435</v>
      </c>
    </row>
    <row r="21" spans="1:14" s="196" customFormat="1" ht="12.75">
      <c r="A21" s="47">
        <v>10</v>
      </c>
      <c r="B21" s="425" t="s">
        <v>239</v>
      </c>
      <c r="C21" s="224">
        <v>12.112</v>
      </c>
      <c r="D21" s="224">
        <v>12.034</v>
      </c>
      <c r="E21" s="224">
        <v>13.714</v>
      </c>
      <c r="F21" s="224">
        <v>12.726</v>
      </c>
      <c r="G21" s="224">
        <v>12.707</v>
      </c>
      <c r="H21" s="224">
        <v>13.087</v>
      </c>
      <c r="I21" s="229">
        <v>49654</v>
      </c>
      <c r="J21" s="229">
        <v>54493</v>
      </c>
      <c r="K21" s="424">
        <f t="shared" si="0"/>
        <v>-0.08880039638118657</v>
      </c>
      <c r="L21" s="229">
        <v>6014</v>
      </c>
      <c r="M21" s="36">
        <v>6935</v>
      </c>
      <c r="N21" s="424">
        <f t="shared" si="1"/>
        <v>-0.13280461427541457</v>
      </c>
    </row>
    <row r="22" spans="1:14" s="196" customFormat="1" ht="12.75">
      <c r="A22" s="47">
        <v>11</v>
      </c>
      <c r="B22" s="425" t="s">
        <v>238</v>
      </c>
      <c r="C22" s="224">
        <v>11.756</v>
      </c>
      <c r="D22" s="224">
        <v>11.726</v>
      </c>
      <c r="E22" s="224">
        <v>12.288</v>
      </c>
      <c r="F22" s="224">
        <v>11.928</v>
      </c>
      <c r="G22" s="224">
        <v>11.871</v>
      </c>
      <c r="H22" s="224">
        <v>12.799</v>
      </c>
      <c r="I22" s="229">
        <v>13278</v>
      </c>
      <c r="J22" s="229">
        <v>13800</v>
      </c>
      <c r="K22" s="424">
        <f t="shared" si="0"/>
        <v>-0.03782608695652174</v>
      </c>
      <c r="L22" s="229">
        <v>1561</v>
      </c>
      <c r="M22" s="36">
        <v>1646</v>
      </c>
      <c r="N22" s="424">
        <f t="shared" si="1"/>
        <v>-0.05164034021871203</v>
      </c>
    </row>
    <row r="23" spans="1:14" s="196" customFormat="1" ht="12.75">
      <c r="A23" s="47">
        <v>12</v>
      </c>
      <c r="B23" s="425" t="s">
        <v>243</v>
      </c>
      <c r="C23" s="224">
        <v>11.339</v>
      </c>
      <c r="D23" s="224">
        <v>11.298</v>
      </c>
      <c r="E23" s="224">
        <v>11.921</v>
      </c>
      <c r="F23" s="224">
        <v>11.895</v>
      </c>
      <c r="G23" s="224">
        <v>12.079</v>
      </c>
      <c r="H23" s="224">
        <v>9.632</v>
      </c>
      <c r="I23" s="229">
        <v>4533</v>
      </c>
      <c r="J23" s="229">
        <v>4691</v>
      </c>
      <c r="K23" s="424">
        <f t="shared" si="0"/>
        <v>-0.03368151780004264</v>
      </c>
      <c r="L23" s="229">
        <v>514</v>
      </c>
      <c r="M23" s="36">
        <v>558</v>
      </c>
      <c r="N23" s="424">
        <f t="shared" si="1"/>
        <v>-0.07885304659498207</v>
      </c>
    </row>
    <row r="24" spans="1:14" s="196" customFormat="1" ht="12.75">
      <c r="A24" s="47">
        <v>13</v>
      </c>
      <c r="B24" s="425" t="s">
        <v>237</v>
      </c>
      <c r="C24" s="224">
        <v>11.175</v>
      </c>
      <c r="D24" s="224">
        <v>10.967</v>
      </c>
      <c r="E24" s="224">
        <v>16.667</v>
      </c>
      <c r="F24" s="224">
        <v>12.262</v>
      </c>
      <c r="G24" s="224">
        <v>12.206</v>
      </c>
      <c r="H24" s="224">
        <v>13.636</v>
      </c>
      <c r="I24" s="229">
        <v>2962</v>
      </c>
      <c r="J24" s="229">
        <v>3368</v>
      </c>
      <c r="K24" s="424">
        <f t="shared" si="0"/>
        <v>-0.12054631828978622</v>
      </c>
      <c r="L24" s="229">
        <v>331</v>
      </c>
      <c r="M24" s="36">
        <v>413</v>
      </c>
      <c r="N24" s="424">
        <f t="shared" si="1"/>
        <v>-0.19854721549636803</v>
      </c>
    </row>
    <row r="25" spans="1:14" s="196" customFormat="1" ht="12.75">
      <c r="A25" s="47">
        <v>14</v>
      </c>
      <c r="B25" s="425" t="s">
        <v>249</v>
      </c>
      <c r="C25" s="224">
        <v>10.994</v>
      </c>
      <c r="D25" s="224">
        <v>10.809</v>
      </c>
      <c r="E25" s="224">
        <v>13.725</v>
      </c>
      <c r="F25" s="224">
        <v>8.817</v>
      </c>
      <c r="G25" s="224">
        <v>8.941</v>
      </c>
      <c r="H25" s="224">
        <v>7.08</v>
      </c>
      <c r="I25" s="229">
        <v>1610</v>
      </c>
      <c r="J25" s="229">
        <v>1690</v>
      </c>
      <c r="K25" s="424">
        <f t="shared" si="0"/>
        <v>-0.047337278106508875</v>
      </c>
      <c r="L25" s="229">
        <v>177</v>
      </c>
      <c r="M25" s="36">
        <v>149</v>
      </c>
      <c r="N25" s="424">
        <f t="shared" si="1"/>
        <v>0.18791946308724833</v>
      </c>
    </row>
    <row r="26" spans="1:14" s="196" customFormat="1" ht="12.75">
      <c r="A26" s="47">
        <v>15</v>
      </c>
      <c r="B26" s="425" t="s">
        <v>245</v>
      </c>
      <c r="C26" s="224">
        <v>10.98</v>
      </c>
      <c r="D26" s="224">
        <v>10.979</v>
      </c>
      <c r="E26" s="224">
        <v>10.997</v>
      </c>
      <c r="F26" s="224">
        <v>10.691</v>
      </c>
      <c r="G26" s="224">
        <v>10.694</v>
      </c>
      <c r="H26" s="224">
        <v>10.646</v>
      </c>
      <c r="I26" s="229">
        <v>19791</v>
      </c>
      <c r="J26" s="229">
        <v>21391</v>
      </c>
      <c r="K26" s="424">
        <f t="shared" si="0"/>
        <v>-0.0747978121639942</v>
      </c>
      <c r="L26" s="229">
        <v>2173</v>
      </c>
      <c r="M26" s="36">
        <v>2287</v>
      </c>
      <c r="N26" s="424">
        <f t="shared" si="1"/>
        <v>-0.04984696108439003</v>
      </c>
    </row>
    <row r="27" spans="1:14" s="196" customFormat="1" ht="12.75">
      <c r="A27" s="47">
        <v>16</v>
      </c>
      <c r="B27" s="425" t="s">
        <v>248</v>
      </c>
      <c r="C27" s="224">
        <v>10.618</v>
      </c>
      <c r="D27" s="224">
        <v>10.604</v>
      </c>
      <c r="E27" s="224">
        <v>10.848</v>
      </c>
      <c r="F27" s="224">
        <v>9.995</v>
      </c>
      <c r="G27" s="224">
        <v>10.033</v>
      </c>
      <c r="H27" s="224">
        <v>9.412</v>
      </c>
      <c r="I27" s="229">
        <v>9145</v>
      </c>
      <c r="J27" s="229">
        <v>9635</v>
      </c>
      <c r="K27" s="424">
        <f t="shared" si="0"/>
        <v>-0.0508562532433835</v>
      </c>
      <c r="L27" s="229">
        <v>971</v>
      </c>
      <c r="M27" s="36">
        <v>963</v>
      </c>
      <c r="N27" s="424">
        <f t="shared" si="1"/>
        <v>0.008307372793354102</v>
      </c>
    </row>
    <row r="28" spans="1:14" s="196" customFormat="1" ht="12.75">
      <c r="A28" s="47">
        <v>17</v>
      </c>
      <c r="B28" s="425" t="s">
        <v>235</v>
      </c>
      <c r="C28" s="224">
        <v>10.589</v>
      </c>
      <c r="D28" s="224">
        <v>10.592</v>
      </c>
      <c r="E28" s="224">
        <v>10.427</v>
      </c>
      <c r="F28" s="224">
        <v>9.606</v>
      </c>
      <c r="G28" s="224">
        <v>9.611</v>
      </c>
      <c r="H28" s="224">
        <v>9.302</v>
      </c>
      <c r="I28" s="229">
        <v>13079</v>
      </c>
      <c r="J28" s="229">
        <v>14002</v>
      </c>
      <c r="K28" s="424">
        <f t="shared" si="0"/>
        <v>-0.06591915440651336</v>
      </c>
      <c r="L28" s="229">
        <v>1385</v>
      </c>
      <c r="M28" s="36">
        <v>1345</v>
      </c>
      <c r="N28" s="424">
        <f t="shared" si="1"/>
        <v>0.02973977695167286</v>
      </c>
    </row>
    <row r="29" spans="1:14" s="196" customFormat="1" ht="12.75">
      <c r="A29" s="47">
        <v>18</v>
      </c>
      <c r="B29" s="425" t="s">
        <v>246</v>
      </c>
      <c r="C29" s="224">
        <v>10.343</v>
      </c>
      <c r="D29" s="224">
        <v>10.242</v>
      </c>
      <c r="E29" s="224">
        <v>12.349</v>
      </c>
      <c r="F29" s="224">
        <v>11.354</v>
      </c>
      <c r="G29" s="224">
        <v>11.303</v>
      </c>
      <c r="H29" s="224">
        <v>12.22</v>
      </c>
      <c r="I29" s="229">
        <v>74439</v>
      </c>
      <c r="J29" s="229">
        <v>85062</v>
      </c>
      <c r="K29" s="424">
        <f t="shared" si="0"/>
        <v>-0.12488537772448331</v>
      </c>
      <c r="L29" s="229">
        <v>7699</v>
      </c>
      <c r="M29" s="36">
        <v>9658</v>
      </c>
      <c r="N29" s="424">
        <f t="shared" si="1"/>
        <v>-0.20283702629944086</v>
      </c>
    </row>
    <row r="30" spans="1:14" s="196" customFormat="1" ht="12.75">
      <c r="A30" s="47">
        <v>19</v>
      </c>
      <c r="B30" s="425" t="s">
        <v>232</v>
      </c>
      <c r="C30" s="224">
        <v>10.302</v>
      </c>
      <c r="D30" s="224">
        <v>10.152</v>
      </c>
      <c r="E30" s="224">
        <v>15.556</v>
      </c>
      <c r="F30" s="224">
        <v>8.696</v>
      </c>
      <c r="G30" s="224">
        <v>8.772</v>
      </c>
      <c r="H30" s="224">
        <v>6.25</v>
      </c>
      <c r="I30" s="229">
        <v>1621</v>
      </c>
      <c r="J30" s="229">
        <v>1587</v>
      </c>
      <c r="K30" s="424">
        <f t="shared" si="0"/>
        <v>0.02142407057340895</v>
      </c>
      <c r="L30" s="229">
        <v>167</v>
      </c>
      <c r="M30" s="36">
        <v>138</v>
      </c>
      <c r="N30" s="424">
        <f t="shared" si="1"/>
        <v>0.21014492753623187</v>
      </c>
    </row>
    <row r="31" spans="1:14" s="196" customFormat="1" ht="12.75">
      <c r="A31" s="47">
        <v>20</v>
      </c>
      <c r="B31" s="425" t="s">
        <v>244</v>
      </c>
      <c r="C31" s="224">
        <v>10.079</v>
      </c>
      <c r="D31" s="224">
        <v>10.208</v>
      </c>
      <c r="E31" s="224">
        <v>5.128</v>
      </c>
      <c r="F31" s="224">
        <v>11.014</v>
      </c>
      <c r="G31" s="224">
        <v>11.211</v>
      </c>
      <c r="H31" s="224">
        <v>4.762</v>
      </c>
      <c r="I31" s="229">
        <v>1528</v>
      </c>
      <c r="J31" s="229">
        <v>1380</v>
      </c>
      <c r="K31" s="424">
        <f t="shared" si="0"/>
        <v>0.1072463768115942</v>
      </c>
      <c r="L31" s="307">
        <v>154</v>
      </c>
      <c r="M31" s="307">
        <v>152</v>
      </c>
      <c r="N31" s="424">
        <f t="shared" si="1"/>
        <v>0.013157894736842105</v>
      </c>
    </row>
    <row r="32" spans="1:14" s="196" customFormat="1" ht="12.75">
      <c r="A32" s="47">
        <v>21</v>
      </c>
      <c r="B32" s="425" t="s">
        <v>191</v>
      </c>
      <c r="C32" s="224">
        <v>10.078</v>
      </c>
      <c r="D32" s="224">
        <v>10.003</v>
      </c>
      <c r="E32" s="224">
        <v>14.65</v>
      </c>
      <c r="F32" s="224">
        <v>9.391</v>
      </c>
      <c r="G32" s="224">
        <v>9.393</v>
      </c>
      <c r="H32" s="224">
        <v>9.259</v>
      </c>
      <c r="I32" s="229">
        <v>9754</v>
      </c>
      <c r="J32" s="229">
        <v>10489</v>
      </c>
      <c r="K32" s="424">
        <f t="shared" si="0"/>
        <v>-0.0700734102392983</v>
      </c>
      <c r="L32" s="229">
        <v>983</v>
      </c>
      <c r="M32" s="229">
        <v>985</v>
      </c>
      <c r="N32" s="424">
        <f t="shared" si="1"/>
        <v>-0.0020304568527918783</v>
      </c>
    </row>
    <row r="33" spans="1:14" s="196" customFormat="1" ht="12.75">
      <c r="A33" s="47">
        <v>22</v>
      </c>
      <c r="B33" s="425" t="s">
        <v>189</v>
      </c>
      <c r="C33" s="224">
        <v>10.037</v>
      </c>
      <c r="D33" s="224">
        <v>9.825</v>
      </c>
      <c r="E33" s="224">
        <v>11.738</v>
      </c>
      <c r="F33" s="224">
        <v>9.729</v>
      </c>
      <c r="G33" s="224">
        <v>9.849</v>
      </c>
      <c r="H33" s="224">
        <v>8.899</v>
      </c>
      <c r="I33" s="229">
        <v>135902</v>
      </c>
      <c r="J33" s="229">
        <v>144273</v>
      </c>
      <c r="K33" s="424">
        <f t="shared" si="0"/>
        <v>-0.0580219445079814</v>
      </c>
      <c r="L33" s="229">
        <v>13641</v>
      </c>
      <c r="M33" s="229">
        <v>14037</v>
      </c>
      <c r="N33" s="424">
        <f t="shared" si="1"/>
        <v>-0.028211156229963667</v>
      </c>
    </row>
    <row r="34" spans="1:14" s="196" customFormat="1" ht="12.75">
      <c r="A34" s="47">
        <v>23</v>
      </c>
      <c r="B34" s="425" t="s">
        <v>250</v>
      </c>
      <c r="C34" s="224">
        <v>9.959</v>
      </c>
      <c r="D34" s="224">
        <v>9.981</v>
      </c>
      <c r="E34" s="224">
        <v>9.738</v>
      </c>
      <c r="F34" s="224">
        <v>8.858</v>
      </c>
      <c r="G34" s="224">
        <v>8.892</v>
      </c>
      <c r="H34" s="224">
        <v>8.502</v>
      </c>
      <c r="I34" s="229">
        <v>2962</v>
      </c>
      <c r="J34" s="229">
        <v>2811</v>
      </c>
      <c r="K34" s="424">
        <f t="shared" si="0"/>
        <v>0.05371753824261829</v>
      </c>
      <c r="L34" s="426">
        <v>295</v>
      </c>
      <c r="M34" s="426">
        <v>249</v>
      </c>
      <c r="N34" s="424">
        <f t="shared" si="1"/>
        <v>0.18473895582329317</v>
      </c>
    </row>
    <row r="35" spans="1:14" s="196" customFormat="1" ht="12.75">
      <c r="A35" s="47">
        <v>24</v>
      </c>
      <c r="B35" s="425" t="s">
        <v>155</v>
      </c>
      <c r="C35" s="224">
        <v>9.58</v>
      </c>
      <c r="D35" s="224">
        <v>9.443</v>
      </c>
      <c r="E35" s="224">
        <v>11.024</v>
      </c>
      <c r="F35" s="224">
        <v>9.637</v>
      </c>
      <c r="G35" s="224">
        <v>9.595</v>
      </c>
      <c r="H35" s="224">
        <v>10.016</v>
      </c>
      <c r="I35" s="229">
        <v>44302</v>
      </c>
      <c r="J35" s="229">
        <v>45504</v>
      </c>
      <c r="K35" s="424">
        <f t="shared" si="0"/>
        <v>-0.026415260196905765</v>
      </c>
      <c r="L35" s="229">
        <v>4244</v>
      </c>
      <c r="M35" s="229">
        <v>4385</v>
      </c>
      <c r="N35" s="424">
        <f t="shared" si="1"/>
        <v>-0.03215507411630559</v>
      </c>
    </row>
    <row r="36" spans="1:14" s="196" customFormat="1" ht="12.75">
      <c r="A36" s="47">
        <v>25</v>
      </c>
      <c r="B36" s="425" t="s">
        <v>247</v>
      </c>
      <c r="C36" s="224">
        <v>9.552</v>
      </c>
      <c r="D36" s="224">
        <v>9.196</v>
      </c>
      <c r="E36" s="224">
        <v>15.24</v>
      </c>
      <c r="F36" s="224">
        <v>10.68</v>
      </c>
      <c r="G36" s="224">
        <v>10.679</v>
      </c>
      <c r="H36" s="224">
        <v>10.69</v>
      </c>
      <c r="I36" s="229">
        <v>8124</v>
      </c>
      <c r="J36" s="229">
        <v>8137</v>
      </c>
      <c r="K36" s="424">
        <f t="shared" si="0"/>
        <v>-0.0015976404080127811</v>
      </c>
      <c r="L36" s="229">
        <v>776</v>
      </c>
      <c r="M36" s="229">
        <v>869</v>
      </c>
      <c r="N36" s="424">
        <f t="shared" si="1"/>
        <v>-0.10701956271576525</v>
      </c>
    </row>
    <row r="37" spans="1:14" s="196" customFormat="1" ht="12.75">
      <c r="A37" s="47">
        <v>26</v>
      </c>
      <c r="B37" s="425" t="s">
        <v>240</v>
      </c>
      <c r="C37" s="224">
        <v>9.516</v>
      </c>
      <c r="D37" s="224">
        <v>9.364</v>
      </c>
      <c r="E37" s="224">
        <v>15.493</v>
      </c>
      <c r="F37" s="224">
        <v>8.159</v>
      </c>
      <c r="G37" s="224">
        <v>8.078</v>
      </c>
      <c r="H37" s="224">
        <v>11.064</v>
      </c>
      <c r="I37" s="229">
        <v>17118</v>
      </c>
      <c r="J37" s="229">
        <v>17330</v>
      </c>
      <c r="K37" s="424">
        <f t="shared" si="0"/>
        <v>-0.012233121754183496</v>
      </c>
      <c r="L37" s="229">
        <v>1629</v>
      </c>
      <c r="M37" s="229">
        <v>1414</v>
      </c>
      <c r="N37" s="424">
        <f t="shared" si="1"/>
        <v>0.15205091937765206</v>
      </c>
    </row>
    <row r="38" spans="1:14" s="196" customFormat="1" ht="12.75">
      <c r="A38" s="47">
        <v>27</v>
      </c>
      <c r="B38" s="425" t="s">
        <v>281</v>
      </c>
      <c r="C38" s="224">
        <v>9.494</v>
      </c>
      <c r="D38" s="224">
        <v>9.367</v>
      </c>
      <c r="E38" s="224">
        <v>11.111</v>
      </c>
      <c r="F38" s="224">
        <v>9.067</v>
      </c>
      <c r="G38" s="224">
        <v>9.344</v>
      </c>
      <c r="H38" s="224">
        <v>6.338</v>
      </c>
      <c r="I38" s="229">
        <v>1601</v>
      </c>
      <c r="J38" s="229">
        <v>1544</v>
      </c>
      <c r="K38" s="424">
        <f t="shared" si="0"/>
        <v>0.036917098445595854</v>
      </c>
      <c r="L38" s="229">
        <v>152</v>
      </c>
      <c r="M38" s="229">
        <v>140</v>
      </c>
      <c r="N38" s="424">
        <f t="shared" si="1"/>
        <v>0.08571428571428572</v>
      </c>
    </row>
    <row r="39" spans="1:14" s="196" customFormat="1" ht="12.75">
      <c r="A39" s="47">
        <v>28</v>
      </c>
      <c r="B39" s="425" t="s">
        <v>179</v>
      </c>
      <c r="C39" s="224">
        <v>9.405</v>
      </c>
      <c r="D39" s="224">
        <v>9.142</v>
      </c>
      <c r="E39" s="224">
        <v>13.992</v>
      </c>
      <c r="F39" s="224">
        <v>9.851</v>
      </c>
      <c r="G39" s="224">
        <v>9.644</v>
      </c>
      <c r="H39" s="224">
        <v>12.821</v>
      </c>
      <c r="I39" s="229">
        <v>4487</v>
      </c>
      <c r="J39" s="229">
        <v>5380</v>
      </c>
      <c r="K39" s="424">
        <f t="shared" si="0"/>
        <v>-0.16598513011152416</v>
      </c>
      <c r="L39" s="229">
        <v>422</v>
      </c>
      <c r="M39" s="229">
        <v>530</v>
      </c>
      <c r="N39" s="424">
        <f t="shared" si="1"/>
        <v>-0.2037735849056604</v>
      </c>
    </row>
    <row r="40" spans="1:14" s="196" customFormat="1" ht="12.75">
      <c r="A40" s="47">
        <v>29</v>
      </c>
      <c r="B40" s="425" t="s">
        <v>152</v>
      </c>
      <c r="C40" s="224">
        <v>9.358</v>
      </c>
      <c r="D40" s="224">
        <v>9.105</v>
      </c>
      <c r="E40" s="224">
        <v>11.673</v>
      </c>
      <c r="F40" s="224">
        <v>10.001</v>
      </c>
      <c r="G40" s="224">
        <v>9.987</v>
      </c>
      <c r="H40" s="224">
        <v>10.111</v>
      </c>
      <c r="I40" s="229">
        <v>59946</v>
      </c>
      <c r="J40" s="229">
        <v>61761</v>
      </c>
      <c r="K40" s="424">
        <f t="shared" si="0"/>
        <v>-0.02938747753436635</v>
      </c>
      <c r="L40" s="229">
        <v>5610</v>
      </c>
      <c r="M40" s="229">
        <v>6177</v>
      </c>
      <c r="N40" s="424">
        <f t="shared" si="1"/>
        <v>-0.09179213210296261</v>
      </c>
    </row>
    <row r="41" spans="1:14" s="196" customFormat="1" ht="12.75">
      <c r="A41" s="47">
        <v>30</v>
      </c>
      <c r="B41" s="425" t="s">
        <v>94</v>
      </c>
      <c r="C41" s="224">
        <v>9.35</v>
      </c>
      <c r="D41" s="224">
        <v>9.148</v>
      </c>
      <c r="E41" s="224">
        <v>11.092</v>
      </c>
      <c r="F41" s="224">
        <v>9.669</v>
      </c>
      <c r="G41" s="224">
        <v>9.681</v>
      </c>
      <c r="H41" s="224">
        <v>9.589</v>
      </c>
      <c r="I41" s="229">
        <v>5658</v>
      </c>
      <c r="J41" s="229">
        <v>5740</v>
      </c>
      <c r="K41" s="424">
        <f t="shared" si="0"/>
        <v>-0.014285714285714285</v>
      </c>
      <c r="L41" s="229">
        <v>529</v>
      </c>
      <c r="M41" s="229">
        <v>555</v>
      </c>
      <c r="N41" s="424">
        <f t="shared" si="1"/>
        <v>-0.04684684684684685</v>
      </c>
    </row>
    <row r="42" spans="1:14" s="196" customFormat="1" ht="12.75">
      <c r="A42" s="47">
        <v>31</v>
      </c>
      <c r="B42" s="425" t="s">
        <v>158</v>
      </c>
      <c r="C42" s="224">
        <v>9.341</v>
      </c>
      <c r="D42" s="224">
        <v>9.117</v>
      </c>
      <c r="E42" s="224">
        <v>11.701</v>
      </c>
      <c r="F42" s="224">
        <v>9.194</v>
      </c>
      <c r="G42" s="224">
        <v>9.168</v>
      </c>
      <c r="H42" s="224">
        <v>9.414</v>
      </c>
      <c r="I42" s="229">
        <v>25447</v>
      </c>
      <c r="J42" s="229">
        <v>25583</v>
      </c>
      <c r="K42" s="424">
        <f t="shared" si="0"/>
        <v>-0.005316030176288942</v>
      </c>
      <c r="L42" s="229">
        <v>2377</v>
      </c>
      <c r="M42" s="229">
        <v>2352</v>
      </c>
      <c r="N42" s="424">
        <f t="shared" si="1"/>
        <v>0.010629251700680272</v>
      </c>
    </row>
    <row r="43" spans="1:14" s="196" customFormat="1" ht="12.75">
      <c r="A43" s="47">
        <v>32</v>
      </c>
      <c r="B43" s="425" t="s">
        <v>153</v>
      </c>
      <c r="C43" s="224">
        <v>9.34</v>
      </c>
      <c r="D43" s="224">
        <v>9.45</v>
      </c>
      <c r="E43" s="224">
        <v>6.557</v>
      </c>
      <c r="F43" s="224">
        <v>9.886</v>
      </c>
      <c r="G43" s="224">
        <v>10.125</v>
      </c>
      <c r="H43" s="224">
        <v>4.938</v>
      </c>
      <c r="I43" s="229">
        <v>1606</v>
      </c>
      <c r="J43" s="229">
        <v>1760</v>
      </c>
      <c r="K43" s="424">
        <f t="shared" si="0"/>
        <v>-0.0875</v>
      </c>
      <c r="L43" s="229">
        <v>150</v>
      </c>
      <c r="M43" s="229">
        <v>174</v>
      </c>
      <c r="N43" s="424">
        <f t="shared" si="1"/>
        <v>-0.13793103448275862</v>
      </c>
    </row>
    <row r="44" spans="1:14" s="196" customFormat="1" ht="12.75">
      <c r="A44" s="47">
        <v>33</v>
      </c>
      <c r="B44" s="425" t="s">
        <v>190</v>
      </c>
      <c r="C44" s="224">
        <v>9.332</v>
      </c>
      <c r="D44" s="224">
        <v>9.242</v>
      </c>
      <c r="E44" s="224">
        <v>10.826</v>
      </c>
      <c r="F44" s="224">
        <v>9.864</v>
      </c>
      <c r="G44" s="224">
        <v>9.957</v>
      </c>
      <c r="H44" s="224">
        <v>8.633</v>
      </c>
      <c r="I44" s="229">
        <v>6140</v>
      </c>
      <c r="J44" s="229">
        <v>5971</v>
      </c>
      <c r="K44" s="424">
        <f aca="true" t="shared" si="2" ref="K44:K61">(I44-J44)/J44</f>
        <v>0.028303466755987272</v>
      </c>
      <c r="L44" s="229">
        <v>573</v>
      </c>
      <c r="M44" s="229">
        <v>589</v>
      </c>
      <c r="N44" s="424">
        <f aca="true" t="shared" si="3" ref="N44:N61">(L44-M44)/M44</f>
        <v>-0.027164685908319185</v>
      </c>
    </row>
    <row r="45" spans="1:14" s="196" customFormat="1" ht="12.75">
      <c r="A45" s="47">
        <v>34</v>
      </c>
      <c r="B45" s="425" t="s">
        <v>154</v>
      </c>
      <c r="C45" s="224">
        <v>9.252</v>
      </c>
      <c r="D45" s="224">
        <v>9.292</v>
      </c>
      <c r="E45" s="224">
        <v>7.917</v>
      </c>
      <c r="F45" s="224">
        <v>9.377</v>
      </c>
      <c r="G45" s="224">
        <v>9.402</v>
      </c>
      <c r="H45" s="224">
        <v>8.651</v>
      </c>
      <c r="I45" s="229">
        <v>8387</v>
      </c>
      <c r="J45" s="229">
        <v>8755</v>
      </c>
      <c r="K45" s="424">
        <f t="shared" si="2"/>
        <v>-0.042033123929183326</v>
      </c>
      <c r="L45" s="229">
        <v>776</v>
      </c>
      <c r="M45" s="229">
        <v>821</v>
      </c>
      <c r="N45" s="424">
        <f t="shared" si="3"/>
        <v>-0.05481120584652863</v>
      </c>
    </row>
    <row r="46" spans="1:14" s="196" customFormat="1" ht="12.75">
      <c r="A46" s="47">
        <v>35</v>
      </c>
      <c r="B46" s="425" t="s">
        <v>285</v>
      </c>
      <c r="C46" s="224">
        <v>9.069</v>
      </c>
      <c r="D46" s="224">
        <v>8.761</v>
      </c>
      <c r="E46" s="224">
        <v>10.669</v>
      </c>
      <c r="F46" s="224">
        <v>8.204</v>
      </c>
      <c r="G46" s="224">
        <v>8.375</v>
      </c>
      <c r="H46" s="224">
        <v>7.525</v>
      </c>
      <c r="I46" s="229">
        <v>2955</v>
      </c>
      <c r="J46" s="229">
        <v>2974</v>
      </c>
      <c r="K46" s="424">
        <f t="shared" si="2"/>
        <v>-0.006388702084734364</v>
      </c>
      <c r="L46" s="229">
        <v>268</v>
      </c>
      <c r="M46" s="229">
        <v>244</v>
      </c>
      <c r="N46" s="424">
        <f t="shared" si="3"/>
        <v>0.09836065573770492</v>
      </c>
    </row>
    <row r="47" spans="1:14" s="196" customFormat="1" ht="12.75">
      <c r="A47" s="47">
        <v>36</v>
      </c>
      <c r="B47" s="425" t="s">
        <v>92</v>
      </c>
      <c r="C47" s="224">
        <v>9.044</v>
      </c>
      <c r="D47" s="224">
        <v>8.891</v>
      </c>
      <c r="E47" s="224">
        <v>10.994</v>
      </c>
      <c r="F47" s="224">
        <v>10.084</v>
      </c>
      <c r="G47" s="224">
        <v>10.11</v>
      </c>
      <c r="H47" s="224">
        <v>9.796</v>
      </c>
      <c r="I47" s="229">
        <v>14374</v>
      </c>
      <c r="J47" s="229">
        <v>17563</v>
      </c>
      <c r="K47" s="424">
        <f t="shared" si="2"/>
        <v>-0.18157490178215566</v>
      </c>
      <c r="L47" s="229">
        <v>1300</v>
      </c>
      <c r="M47" s="229">
        <v>1771</v>
      </c>
      <c r="N47" s="424">
        <f t="shared" si="3"/>
        <v>-0.26595143986448333</v>
      </c>
    </row>
    <row r="48" spans="1:14" s="196" customFormat="1" ht="12.75">
      <c r="A48" s="47">
        <v>37</v>
      </c>
      <c r="B48" s="425" t="s">
        <v>251</v>
      </c>
      <c r="C48" s="427">
        <v>9.027</v>
      </c>
      <c r="D48" s="427">
        <v>8.77</v>
      </c>
      <c r="E48" s="427">
        <v>13.063</v>
      </c>
      <c r="F48" s="427">
        <v>10.353</v>
      </c>
      <c r="G48" s="427">
        <v>10.213</v>
      </c>
      <c r="H48" s="427">
        <v>12.162</v>
      </c>
      <c r="I48" s="428">
        <v>3711</v>
      </c>
      <c r="J48" s="428">
        <v>4105</v>
      </c>
      <c r="K48" s="424">
        <f t="shared" si="2"/>
        <v>-0.09598051157125456</v>
      </c>
      <c r="L48" s="428">
        <v>335</v>
      </c>
      <c r="M48" s="428">
        <v>425</v>
      </c>
      <c r="N48" s="424">
        <f t="shared" si="3"/>
        <v>-0.21176470588235294</v>
      </c>
    </row>
    <row r="49" spans="1:14" s="196" customFormat="1" ht="12.75">
      <c r="A49" s="47">
        <v>38</v>
      </c>
      <c r="B49" s="425" t="s">
        <v>157</v>
      </c>
      <c r="C49" s="427">
        <v>8.998</v>
      </c>
      <c r="D49" s="427">
        <v>8.854</v>
      </c>
      <c r="E49" s="427">
        <v>11.201</v>
      </c>
      <c r="F49" s="427">
        <v>9.152</v>
      </c>
      <c r="G49" s="427">
        <v>9.146</v>
      </c>
      <c r="H49" s="427">
        <v>9.229</v>
      </c>
      <c r="I49" s="428">
        <v>10036</v>
      </c>
      <c r="J49" s="428">
        <v>9976</v>
      </c>
      <c r="K49" s="424">
        <f t="shared" si="2"/>
        <v>0.006014434643143544</v>
      </c>
      <c r="L49" s="428">
        <v>903</v>
      </c>
      <c r="M49" s="428">
        <v>913</v>
      </c>
      <c r="N49" s="424">
        <f t="shared" si="3"/>
        <v>-0.01095290251916758</v>
      </c>
    </row>
    <row r="50" spans="1:14" s="196" customFormat="1" ht="12.75">
      <c r="A50" s="47">
        <v>39</v>
      </c>
      <c r="B50" s="425" t="s">
        <v>292</v>
      </c>
      <c r="C50" s="224">
        <v>8.911</v>
      </c>
      <c r="D50" s="224">
        <v>8.807</v>
      </c>
      <c r="E50" s="224">
        <v>10.28</v>
      </c>
      <c r="F50" s="224">
        <v>8.096</v>
      </c>
      <c r="G50" s="224">
        <v>8.157</v>
      </c>
      <c r="H50" s="224">
        <v>7.463</v>
      </c>
      <c r="I50" s="229">
        <v>1515</v>
      </c>
      <c r="J50" s="229">
        <v>1507</v>
      </c>
      <c r="K50" s="424">
        <f t="shared" si="2"/>
        <v>0.0053085600530856005</v>
      </c>
      <c r="L50" s="229">
        <v>135</v>
      </c>
      <c r="M50" s="229">
        <v>122</v>
      </c>
      <c r="N50" s="424">
        <f t="shared" si="3"/>
        <v>0.10655737704918032</v>
      </c>
    </row>
    <row r="51" spans="1:14" s="196" customFormat="1" ht="12.75">
      <c r="A51" s="47">
        <v>40</v>
      </c>
      <c r="B51" s="425" t="s">
        <v>277</v>
      </c>
      <c r="C51" s="224">
        <v>8.907</v>
      </c>
      <c r="D51" s="224">
        <v>8.718</v>
      </c>
      <c r="E51" s="224">
        <v>12.644</v>
      </c>
      <c r="F51" s="224">
        <v>8.561</v>
      </c>
      <c r="G51" s="224">
        <v>8.712</v>
      </c>
      <c r="H51" s="224">
        <v>6.091</v>
      </c>
      <c r="I51" s="229">
        <v>3615</v>
      </c>
      <c r="J51" s="229">
        <v>3411</v>
      </c>
      <c r="K51" s="424">
        <f t="shared" si="2"/>
        <v>0.05980650835532102</v>
      </c>
      <c r="L51" s="229">
        <v>322</v>
      </c>
      <c r="M51" s="229">
        <v>292</v>
      </c>
      <c r="N51" s="424">
        <f t="shared" si="3"/>
        <v>0.10273972602739725</v>
      </c>
    </row>
    <row r="52" spans="1:14" s="196" customFormat="1" ht="12.75">
      <c r="A52" s="47">
        <v>41</v>
      </c>
      <c r="B52" s="425" t="s">
        <v>151</v>
      </c>
      <c r="C52" s="427">
        <v>8.9</v>
      </c>
      <c r="D52" s="427">
        <v>8.563</v>
      </c>
      <c r="E52" s="427">
        <v>12.883</v>
      </c>
      <c r="F52" s="427">
        <v>9.491</v>
      </c>
      <c r="G52" s="427">
        <v>9.552</v>
      </c>
      <c r="H52" s="427">
        <v>8.901</v>
      </c>
      <c r="I52" s="428">
        <v>2090</v>
      </c>
      <c r="J52" s="428">
        <v>2044</v>
      </c>
      <c r="K52" s="424">
        <f t="shared" si="2"/>
        <v>0.022504892367906065</v>
      </c>
      <c r="L52" s="428">
        <v>186</v>
      </c>
      <c r="M52" s="428">
        <v>194</v>
      </c>
      <c r="N52" s="424">
        <f t="shared" si="3"/>
        <v>-0.041237113402061855</v>
      </c>
    </row>
    <row r="53" spans="1:14" s="196" customFormat="1" ht="12.75">
      <c r="A53" s="47">
        <v>42</v>
      </c>
      <c r="B53" s="425" t="s">
        <v>197</v>
      </c>
      <c r="C53" s="224">
        <v>8.837</v>
      </c>
      <c r="D53" s="224">
        <v>8.555</v>
      </c>
      <c r="E53" s="224">
        <v>11.538</v>
      </c>
      <c r="F53" s="224">
        <v>8.316</v>
      </c>
      <c r="G53" s="224">
        <v>8.474</v>
      </c>
      <c r="H53" s="224">
        <v>7.025</v>
      </c>
      <c r="I53" s="229">
        <v>4685</v>
      </c>
      <c r="J53" s="229">
        <v>4449</v>
      </c>
      <c r="K53" s="424">
        <f t="shared" si="2"/>
        <v>0.05304562823106316</v>
      </c>
      <c r="L53" s="229">
        <v>414</v>
      </c>
      <c r="M53" s="229">
        <v>370</v>
      </c>
      <c r="N53" s="424">
        <f t="shared" si="3"/>
        <v>0.11891891891891893</v>
      </c>
    </row>
    <row r="54" spans="1:14" s="196" customFormat="1" ht="12.75">
      <c r="A54" s="47">
        <v>43</v>
      </c>
      <c r="B54" s="425" t="s">
        <v>178</v>
      </c>
      <c r="C54" s="224">
        <v>8.787</v>
      </c>
      <c r="D54" s="224">
        <v>8.511</v>
      </c>
      <c r="E54" s="224">
        <v>12.294</v>
      </c>
      <c r="F54" s="224">
        <v>9.194</v>
      </c>
      <c r="G54" s="224">
        <v>9.062</v>
      </c>
      <c r="H54" s="224">
        <v>10.574</v>
      </c>
      <c r="I54" s="229">
        <v>19949</v>
      </c>
      <c r="J54" s="229">
        <v>20034</v>
      </c>
      <c r="K54" s="424">
        <f t="shared" si="2"/>
        <v>-0.004242787261655186</v>
      </c>
      <c r="L54" s="429">
        <v>1753</v>
      </c>
      <c r="M54" s="429">
        <v>1842</v>
      </c>
      <c r="N54" s="424">
        <f t="shared" si="3"/>
        <v>-0.048317046688382194</v>
      </c>
    </row>
    <row r="55" spans="1:14" s="196" customFormat="1" ht="12.75">
      <c r="A55" s="47">
        <v>44</v>
      </c>
      <c r="B55" s="425" t="s">
        <v>286</v>
      </c>
      <c r="C55" s="224">
        <v>8.68</v>
      </c>
      <c r="D55" s="224">
        <v>8.704</v>
      </c>
      <c r="E55" s="224">
        <v>7.826</v>
      </c>
      <c r="F55" s="224">
        <v>8.87</v>
      </c>
      <c r="G55" s="224">
        <v>9.049</v>
      </c>
      <c r="H55" s="224">
        <v>3.2</v>
      </c>
      <c r="I55" s="229">
        <v>4297</v>
      </c>
      <c r="J55" s="229">
        <v>4070</v>
      </c>
      <c r="K55" s="424">
        <f t="shared" si="2"/>
        <v>0.055773955773955775</v>
      </c>
      <c r="L55" s="429">
        <v>373</v>
      </c>
      <c r="M55" s="429">
        <v>361</v>
      </c>
      <c r="N55" s="424">
        <f t="shared" si="3"/>
        <v>0.0332409972299169</v>
      </c>
    </row>
    <row r="56" spans="1:14" s="196" customFormat="1" ht="12.75">
      <c r="A56" s="47">
        <v>45</v>
      </c>
      <c r="B56" s="425" t="s">
        <v>293</v>
      </c>
      <c r="C56" s="224">
        <v>8.663</v>
      </c>
      <c r="D56" s="224">
        <v>8.232</v>
      </c>
      <c r="E56" s="224">
        <v>11.149</v>
      </c>
      <c r="F56" s="224">
        <v>8.958</v>
      </c>
      <c r="G56" s="224">
        <v>8.809</v>
      </c>
      <c r="H56" s="224">
        <v>9.662</v>
      </c>
      <c r="I56" s="429">
        <v>86574</v>
      </c>
      <c r="J56" s="429">
        <v>99493</v>
      </c>
      <c r="K56" s="424">
        <f t="shared" si="2"/>
        <v>-0.12984833103836452</v>
      </c>
      <c r="L56" s="429">
        <v>7500</v>
      </c>
      <c r="M56" s="429">
        <v>8913</v>
      </c>
      <c r="N56" s="424">
        <f t="shared" si="3"/>
        <v>-0.15853248064624706</v>
      </c>
    </row>
    <row r="57" spans="1:14" s="196" customFormat="1" ht="12.75">
      <c r="A57" s="47">
        <v>46</v>
      </c>
      <c r="B57" s="425" t="s">
        <v>294</v>
      </c>
      <c r="C57" s="224">
        <v>8.608</v>
      </c>
      <c r="D57" s="224">
        <v>8.666</v>
      </c>
      <c r="E57" s="224">
        <v>7.353</v>
      </c>
      <c r="F57" s="224">
        <v>9.014</v>
      </c>
      <c r="G57" s="224">
        <v>9.122</v>
      </c>
      <c r="H57" s="224">
        <v>7.143</v>
      </c>
      <c r="I57" s="430">
        <v>1545</v>
      </c>
      <c r="J57" s="430">
        <v>1531</v>
      </c>
      <c r="K57" s="424">
        <f t="shared" si="2"/>
        <v>0.009144350097975179</v>
      </c>
      <c r="L57" s="430">
        <v>133</v>
      </c>
      <c r="M57" s="430">
        <v>138</v>
      </c>
      <c r="N57" s="424">
        <f t="shared" si="3"/>
        <v>-0.036231884057971016</v>
      </c>
    </row>
    <row r="58" spans="1:14" s="196" customFormat="1" ht="12.75">
      <c r="A58" s="47">
        <v>47</v>
      </c>
      <c r="B58" s="425" t="s">
        <v>287</v>
      </c>
      <c r="C58" s="224">
        <v>8.553</v>
      </c>
      <c r="D58" s="224">
        <v>8.553</v>
      </c>
      <c r="E58" s="224">
        <v>0</v>
      </c>
      <c r="F58" s="224">
        <v>3.922</v>
      </c>
      <c r="G58" s="224">
        <v>3.922</v>
      </c>
      <c r="H58" s="224">
        <v>0</v>
      </c>
      <c r="I58" s="430">
        <v>152</v>
      </c>
      <c r="J58" s="430">
        <v>204</v>
      </c>
      <c r="K58" s="424">
        <f t="shared" si="2"/>
        <v>-0.2549019607843137</v>
      </c>
      <c r="L58" s="430">
        <v>13</v>
      </c>
      <c r="M58" s="430">
        <v>8</v>
      </c>
      <c r="N58" s="424">
        <f t="shared" si="3"/>
        <v>0.625</v>
      </c>
    </row>
    <row r="59" spans="1:14" s="196" customFormat="1" ht="12.75">
      <c r="A59" s="47">
        <v>48</v>
      </c>
      <c r="B59" s="425" t="s">
        <v>93</v>
      </c>
      <c r="C59" s="224">
        <v>8.496</v>
      </c>
      <c r="D59" s="224">
        <v>8.276</v>
      </c>
      <c r="E59" s="224">
        <v>12.994</v>
      </c>
      <c r="F59" s="224">
        <v>9.331</v>
      </c>
      <c r="G59" s="224">
        <v>9.181</v>
      </c>
      <c r="H59" s="224">
        <v>12.093</v>
      </c>
      <c r="I59" s="430">
        <v>3790</v>
      </c>
      <c r="J59" s="430">
        <v>4169</v>
      </c>
      <c r="K59" s="424">
        <f t="shared" si="2"/>
        <v>-0.09090909090909091</v>
      </c>
      <c r="L59" s="430">
        <v>322</v>
      </c>
      <c r="M59" s="430">
        <v>389</v>
      </c>
      <c r="N59" s="424">
        <f t="shared" si="3"/>
        <v>-0.17223650385604114</v>
      </c>
    </row>
    <row r="60" spans="1:14" s="196" customFormat="1" ht="12.75">
      <c r="A60" s="47">
        <v>49</v>
      </c>
      <c r="B60" s="425" t="s">
        <v>295</v>
      </c>
      <c r="C60" s="224">
        <v>8.441</v>
      </c>
      <c r="D60" s="224">
        <v>7.762</v>
      </c>
      <c r="E60" s="224">
        <v>15.663</v>
      </c>
      <c r="F60" s="224">
        <v>6.813</v>
      </c>
      <c r="G60" s="224">
        <v>6.586</v>
      </c>
      <c r="H60" s="224">
        <v>9.15</v>
      </c>
      <c r="I60" s="430">
        <v>1931</v>
      </c>
      <c r="J60" s="430">
        <v>1732</v>
      </c>
      <c r="K60" s="424">
        <f t="shared" si="2"/>
        <v>0.11489607390300231</v>
      </c>
      <c r="L60" s="430">
        <v>163</v>
      </c>
      <c r="M60" s="430">
        <v>118</v>
      </c>
      <c r="N60" s="424">
        <f t="shared" si="3"/>
        <v>0.3813559322033898</v>
      </c>
    </row>
    <row r="61" spans="1:14" s="196" customFormat="1" ht="12.75">
      <c r="A61" s="47">
        <v>50</v>
      </c>
      <c r="B61" s="425" t="s">
        <v>196</v>
      </c>
      <c r="C61" s="224">
        <v>8.427</v>
      </c>
      <c r="D61" s="224">
        <v>8.388</v>
      </c>
      <c r="E61" s="224">
        <v>10.049</v>
      </c>
      <c r="F61" s="224">
        <v>7.935</v>
      </c>
      <c r="G61" s="224">
        <v>7.952</v>
      </c>
      <c r="H61" s="224">
        <v>7.295</v>
      </c>
      <c r="I61" s="430">
        <v>86895</v>
      </c>
      <c r="J61" s="430">
        <v>90405</v>
      </c>
      <c r="K61" s="424">
        <f t="shared" si="2"/>
        <v>-0.03882528621204579</v>
      </c>
      <c r="L61" s="430">
        <v>7323</v>
      </c>
      <c r="M61" s="430">
        <v>7174</v>
      </c>
      <c r="N61" s="424">
        <f t="shared" si="3"/>
        <v>0.02076944521884583</v>
      </c>
    </row>
    <row r="62" spans="1:15" ht="12.75">
      <c r="A62" s="197" t="s">
        <v>148</v>
      </c>
      <c r="B62" s="425"/>
      <c r="C62" s="224"/>
      <c r="D62" s="224"/>
      <c r="E62" s="224"/>
      <c r="F62" s="224"/>
      <c r="G62" s="224"/>
      <c r="H62" s="224"/>
      <c r="I62" s="430"/>
      <c r="J62" s="430"/>
      <c r="K62" s="424"/>
      <c r="L62" s="430"/>
      <c r="M62" s="430"/>
      <c r="N62" s="424"/>
      <c r="O62" s="47"/>
    </row>
    <row r="63" spans="1:15" ht="12.75">
      <c r="A63" s="197" t="s">
        <v>296</v>
      </c>
      <c r="B63" s="425"/>
      <c r="C63" s="224"/>
      <c r="D63" s="224"/>
      <c r="E63" s="224"/>
      <c r="F63" s="224"/>
      <c r="G63" s="224"/>
      <c r="H63" s="224"/>
      <c r="I63" s="430"/>
      <c r="J63" s="430"/>
      <c r="K63" s="424"/>
      <c r="L63" s="430"/>
      <c r="M63" s="430"/>
      <c r="N63" s="424"/>
      <c r="O63" s="47"/>
    </row>
    <row r="64" spans="1:15" ht="12.75">
      <c r="A64" s="197"/>
      <c r="B64" s="425"/>
      <c r="C64" s="224"/>
      <c r="D64" s="224"/>
      <c r="E64" s="224"/>
      <c r="F64" s="224"/>
      <c r="G64" s="224"/>
      <c r="H64" s="224"/>
      <c r="I64" s="430"/>
      <c r="J64" s="430"/>
      <c r="K64" s="424"/>
      <c r="L64" s="430"/>
      <c r="M64" s="430"/>
      <c r="N64" s="424"/>
      <c r="O64" s="47"/>
    </row>
    <row r="65" spans="1:15" ht="12.75">
      <c r="A65" s="47"/>
      <c r="B65" s="425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24"/>
      <c r="O65" s="47"/>
    </row>
    <row r="66" spans="1:15" ht="12.75">
      <c r="A66" s="431"/>
      <c r="B66" s="425"/>
      <c r="C66" s="432"/>
      <c r="D66" s="432"/>
      <c r="E66" s="432"/>
      <c r="F66" s="432"/>
      <c r="G66" s="432"/>
      <c r="H66" s="432"/>
      <c r="I66" s="432"/>
      <c r="J66" s="432"/>
      <c r="K66" s="432"/>
      <c r="L66" s="432"/>
      <c r="M66" s="432"/>
      <c r="N66" s="432"/>
      <c r="O66" s="47"/>
    </row>
    <row r="67" spans="1:15" s="220" customFormat="1" ht="12.75">
      <c r="A67" s="433"/>
      <c r="B67" s="425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32"/>
    </row>
    <row r="68" spans="1:15" s="220" customFormat="1" ht="12.75">
      <c r="A68" s="432"/>
      <c r="B68" s="425"/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32"/>
    </row>
    <row r="69" spans="1:15" ht="12.75">
      <c r="A69" s="47"/>
      <c r="B69" s="47"/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</row>
  </sheetData>
  <mergeCells count="2">
    <mergeCell ref="C10:E10"/>
    <mergeCell ref="F10:H10"/>
  </mergeCells>
  <printOptions horizontalCentered="1"/>
  <pageMargins left="0.25" right="0.33" top="0.75" bottom="0.5" header="0.5" footer="0.5"/>
  <pageSetup horizontalDpi="600" verticalDpi="600" orientation="landscape" scale="79" r:id="rId1"/>
  <rowBreaks count="1" manualBreakCount="1">
    <brk id="36" max="13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Q41"/>
  <sheetViews>
    <sheetView zoomScale="50" zoomScaleNormal="50" workbookViewId="0" topLeftCell="A1">
      <selection activeCell="A1" sqref="A1"/>
    </sheetView>
  </sheetViews>
  <sheetFormatPr defaultColWidth="9.140625" defaultRowHeight="12.75"/>
  <cols>
    <col min="1" max="1" width="40.140625" style="0" customWidth="1"/>
    <col min="2" max="2" width="11.28125" style="0" customWidth="1"/>
    <col min="3" max="3" width="17.00390625" style="0" customWidth="1"/>
    <col min="4" max="5" width="2.140625" style="0" customWidth="1"/>
    <col min="6" max="6" width="11.28125" style="0" customWidth="1"/>
    <col min="7" max="7" width="17.00390625" style="0" customWidth="1"/>
    <col min="8" max="8" width="2.7109375" style="0" customWidth="1"/>
    <col min="9" max="9" width="2.140625" style="0" customWidth="1"/>
    <col min="10" max="10" width="11.28125" style="0" customWidth="1"/>
    <col min="11" max="11" width="17.00390625" style="0" customWidth="1"/>
    <col min="12" max="12" width="2.28125" style="0" customWidth="1"/>
    <col min="13" max="13" width="10.421875" style="0" customWidth="1"/>
  </cols>
  <sheetData>
    <row r="1" spans="1:13" ht="18.75" customHeight="1">
      <c r="A1" s="2" t="s">
        <v>15</v>
      </c>
      <c r="B1" s="1"/>
      <c r="C1" s="1"/>
      <c r="D1" s="1"/>
      <c r="E1" s="1"/>
      <c r="F1" s="1"/>
      <c r="G1" s="1"/>
      <c r="H1" s="1"/>
      <c r="I1" s="1"/>
      <c r="J1" s="1"/>
      <c r="K1" s="1"/>
      <c r="L1" s="14"/>
      <c r="M1" s="14"/>
    </row>
    <row r="2" spans="1:13" ht="23.25">
      <c r="A2" s="3" t="s">
        <v>95</v>
      </c>
      <c r="B2" s="1"/>
      <c r="C2" s="1"/>
      <c r="D2" s="1"/>
      <c r="E2" s="1"/>
      <c r="F2" s="1"/>
      <c r="G2" s="1"/>
      <c r="H2" s="1"/>
      <c r="I2" s="1"/>
      <c r="J2" s="1"/>
      <c r="K2" s="1"/>
      <c r="L2" s="14"/>
      <c r="M2" s="14"/>
    </row>
    <row r="3" spans="1:13" ht="6.75" customHeight="1">
      <c r="A3" s="3" t="s">
        <v>76</v>
      </c>
      <c r="B3" s="1"/>
      <c r="C3" s="1"/>
      <c r="D3" s="1"/>
      <c r="E3" s="1"/>
      <c r="F3" s="1"/>
      <c r="G3" s="1"/>
      <c r="H3" s="1"/>
      <c r="I3" s="1"/>
      <c r="J3" s="1"/>
      <c r="K3" s="1"/>
      <c r="L3" s="14"/>
      <c r="M3" s="14"/>
    </row>
    <row r="4" spans="1:13" ht="13.5" thickBo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</row>
    <row r="5" spans="1:13" ht="12.75">
      <c r="A5" s="9"/>
      <c r="B5" s="1" t="s">
        <v>17</v>
      </c>
      <c r="C5" s="1"/>
      <c r="D5" s="1"/>
      <c r="E5" s="22"/>
      <c r="F5" s="1" t="s">
        <v>147</v>
      </c>
      <c r="G5" s="1"/>
      <c r="H5" s="149"/>
      <c r="I5" s="22"/>
      <c r="J5" s="1" t="s">
        <v>18</v>
      </c>
      <c r="K5" s="1"/>
      <c r="L5" s="13"/>
      <c r="M5" s="5" t="s">
        <v>19</v>
      </c>
    </row>
    <row r="6" spans="2:13" s="4" customFormat="1" ht="12.75">
      <c r="B6" s="127" t="s">
        <v>288</v>
      </c>
      <c r="C6" s="260"/>
      <c r="D6" s="1"/>
      <c r="E6" s="22"/>
      <c r="F6" s="446" t="s">
        <v>288</v>
      </c>
      <c r="G6" s="446"/>
      <c r="H6" s="38"/>
      <c r="I6" s="22"/>
      <c r="J6" s="440" t="s">
        <v>289</v>
      </c>
      <c r="K6" s="440"/>
      <c r="L6" s="13"/>
      <c r="M6" s="10" t="s">
        <v>20</v>
      </c>
    </row>
    <row r="7" spans="1:15" s="5" customFormat="1" ht="14.25">
      <c r="A7" s="7"/>
      <c r="B7" s="7" t="s">
        <v>21</v>
      </c>
      <c r="C7" s="7" t="s">
        <v>275</v>
      </c>
      <c r="D7" s="7"/>
      <c r="E7" s="18"/>
      <c r="F7" s="7" t="s">
        <v>21</v>
      </c>
      <c r="G7" s="7" t="s">
        <v>23</v>
      </c>
      <c r="H7" s="7"/>
      <c r="I7" s="18"/>
      <c r="J7" s="7" t="s">
        <v>21</v>
      </c>
      <c r="K7" s="7" t="s">
        <v>23</v>
      </c>
      <c r="L7" s="33"/>
      <c r="M7" s="19" t="s">
        <v>64</v>
      </c>
      <c r="O7"/>
    </row>
    <row r="8" spans="5:15" s="5" customFormat="1" ht="12.75">
      <c r="E8" s="17"/>
      <c r="I8" s="17"/>
      <c r="L8" s="13"/>
      <c r="O8" s="121"/>
    </row>
    <row r="9" spans="1:12" ht="12.75">
      <c r="A9" s="16" t="s">
        <v>65</v>
      </c>
      <c r="B9" s="27"/>
      <c r="C9" s="28"/>
      <c r="D9" s="26"/>
      <c r="E9" s="29"/>
      <c r="F9" s="27"/>
      <c r="G9" s="28"/>
      <c r="H9" s="26"/>
      <c r="I9" s="29"/>
      <c r="J9" s="27"/>
      <c r="K9" s="28"/>
      <c r="L9" s="13"/>
    </row>
    <row r="10" spans="1:13" ht="12.75">
      <c r="A10" t="s">
        <v>96</v>
      </c>
      <c r="B10" s="115">
        <v>30085</v>
      </c>
      <c r="C10" s="37">
        <v>438.89596925</v>
      </c>
      <c r="D10" s="113"/>
      <c r="E10" s="114"/>
      <c r="F10" s="115">
        <v>30085</v>
      </c>
      <c r="G10" s="37">
        <v>438.89596925</v>
      </c>
      <c r="H10" s="47"/>
      <c r="I10" s="12"/>
      <c r="J10" s="115">
        <v>39873</v>
      </c>
      <c r="K10" s="179">
        <v>574.62595607</v>
      </c>
      <c r="L10" s="46"/>
      <c r="M10" s="52">
        <f>(F10-J10)/J10</f>
        <v>-0.24547939708574726</v>
      </c>
    </row>
    <row r="11" spans="1:13" ht="12.75">
      <c r="A11" t="s">
        <v>97</v>
      </c>
      <c r="B11" s="115">
        <v>24724</v>
      </c>
      <c r="C11" s="37">
        <v>724.78935254</v>
      </c>
      <c r="D11" s="46"/>
      <c r="F11" s="115">
        <v>24724</v>
      </c>
      <c r="G11" s="37">
        <v>724.78935254</v>
      </c>
      <c r="H11" s="46"/>
      <c r="J11" s="115">
        <v>28269</v>
      </c>
      <c r="K11" s="214">
        <v>791.6824119500001</v>
      </c>
      <c r="L11" s="46"/>
      <c r="M11" s="52">
        <f>(F11-J11)/J11</f>
        <v>-0.12540238423715022</v>
      </c>
    </row>
    <row r="12" spans="1:13" ht="12.75">
      <c r="A12" s="15" t="s">
        <v>66</v>
      </c>
      <c r="B12" s="199"/>
      <c r="C12" s="37"/>
      <c r="D12" s="46"/>
      <c r="F12" s="199"/>
      <c r="G12" s="37"/>
      <c r="H12" s="46"/>
      <c r="J12" s="115"/>
      <c r="K12" s="204"/>
      <c r="L12" s="46"/>
      <c r="M12" s="6"/>
    </row>
    <row r="13" spans="1:13" ht="12.75">
      <c r="A13" t="s">
        <v>96</v>
      </c>
      <c r="B13" s="350">
        <v>-757</v>
      </c>
      <c r="C13" s="350">
        <v>-9.45329536</v>
      </c>
      <c r="D13" s="6"/>
      <c r="E13" s="50"/>
      <c r="F13" s="350">
        <v>-757</v>
      </c>
      <c r="G13" s="350">
        <v>-9.45329536</v>
      </c>
      <c r="H13" s="6"/>
      <c r="I13" s="50"/>
      <c r="J13" s="48">
        <v>-1297</v>
      </c>
      <c r="K13" s="49">
        <v>-17.33425155</v>
      </c>
      <c r="L13" s="46"/>
      <c r="M13" s="52">
        <f>(F13-J13)/J13</f>
        <v>-0.4163454124903624</v>
      </c>
    </row>
    <row r="14" spans="1:13" ht="12.75">
      <c r="A14" t="s">
        <v>97</v>
      </c>
      <c r="B14" s="350">
        <v>-360</v>
      </c>
      <c r="C14" s="350">
        <v>-9.01274571</v>
      </c>
      <c r="D14" s="6"/>
      <c r="E14" s="50"/>
      <c r="F14" s="350">
        <v>-360</v>
      </c>
      <c r="G14" s="350">
        <v>-9.01274571</v>
      </c>
      <c r="H14" s="6"/>
      <c r="I14" s="50"/>
      <c r="J14" s="48">
        <v>-506</v>
      </c>
      <c r="K14" s="49">
        <v>-12.04362731</v>
      </c>
      <c r="L14" s="46"/>
      <c r="M14" s="52">
        <f>(F14-J14)/J14</f>
        <v>-0.2885375494071146</v>
      </c>
    </row>
    <row r="15" spans="1:13" ht="12.75">
      <c r="A15" s="15" t="s">
        <v>98</v>
      </c>
      <c r="B15" s="48"/>
      <c r="C15" s="49"/>
      <c r="D15" s="6"/>
      <c r="E15" s="50"/>
      <c r="F15" s="48"/>
      <c r="G15" s="49"/>
      <c r="H15" s="6"/>
      <c r="I15" s="50"/>
      <c r="J15" s="48"/>
      <c r="K15" s="49"/>
      <c r="L15" s="46"/>
      <c r="M15" s="49"/>
    </row>
    <row r="16" spans="1:13" ht="12.75">
      <c r="A16" s="15" t="s">
        <v>96</v>
      </c>
      <c r="B16" s="350">
        <v>-19</v>
      </c>
      <c r="C16" s="350">
        <v>-0.29600903000000006</v>
      </c>
      <c r="D16" s="6"/>
      <c r="E16" s="50"/>
      <c r="F16" s="350">
        <v>-19</v>
      </c>
      <c r="G16" s="350">
        <v>-0.29600903000000006</v>
      </c>
      <c r="H16" s="6"/>
      <c r="I16" s="50"/>
      <c r="J16" s="48">
        <v>-37</v>
      </c>
      <c r="K16" s="49">
        <v>-0.42459167999999997</v>
      </c>
      <c r="L16" s="46"/>
      <c r="M16" s="52">
        <f>(F16-J16)/J16</f>
        <v>-0.4864864864864865</v>
      </c>
    </row>
    <row r="17" spans="1:13" ht="12.75">
      <c r="A17" t="s">
        <v>97</v>
      </c>
      <c r="B17" s="350">
        <v>-10</v>
      </c>
      <c r="C17" s="350">
        <v>-0.28114996999999997</v>
      </c>
      <c r="D17" s="6"/>
      <c r="E17" s="50"/>
      <c r="F17" s="350">
        <v>-10</v>
      </c>
      <c r="G17" s="350">
        <v>-0.28114996999999997</v>
      </c>
      <c r="H17" s="6"/>
      <c r="I17" s="50"/>
      <c r="J17" s="48">
        <v>-24</v>
      </c>
      <c r="K17" s="49">
        <v>-0.73984017</v>
      </c>
      <c r="L17" s="46"/>
      <c r="M17" s="52">
        <f>(F17-J17)/J17</f>
        <v>-0.5833333333333334</v>
      </c>
    </row>
    <row r="18" spans="1:13" ht="12.75">
      <c r="A18" s="15" t="s">
        <v>99</v>
      </c>
      <c r="B18" s="48"/>
      <c r="C18" s="49"/>
      <c r="D18" s="6"/>
      <c r="E18" s="50"/>
      <c r="F18" s="48"/>
      <c r="G18" s="49"/>
      <c r="H18" s="6"/>
      <c r="I18" s="50"/>
      <c r="J18" s="48"/>
      <c r="K18" s="49"/>
      <c r="L18" s="46"/>
      <c r="M18" s="49"/>
    </row>
    <row r="19" spans="1:13" ht="12.75">
      <c r="A19" t="s">
        <v>96</v>
      </c>
      <c r="B19" s="350">
        <v>384</v>
      </c>
      <c r="C19" s="49">
        <v>5.36755182</v>
      </c>
      <c r="D19" s="6"/>
      <c r="E19" s="50"/>
      <c r="F19" s="350">
        <v>384</v>
      </c>
      <c r="G19" s="49">
        <v>5.36755182</v>
      </c>
      <c r="H19" s="6"/>
      <c r="I19" s="50"/>
      <c r="J19" s="48">
        <v>350</v>
      </c>
      <c r="K19" s="49">
        <v>4.74760454</v>
      </c>
      <c r="L19" s="46"/>
      <c r="M19" s="52">
        <f>(F19-J19)/J19</f>
        <v>0.09714285714285714</v>
      </c>
    </row>
    <row r="20" spans="1:13" ht="12.75">
      <c r="A20" t="s">
        <v>97</v>
      </c>
      <c r="B20" s="350">
        <v>76</v>
      </c>
      <c r="C20" s="49">
        <v>2.9164732599999996</v>
      </c>
      <c r="D20" s="6"/>
      <c r="E20" s="50"/>
      <c r="F20" s="350">
        <v>76</v>
      </c>
      <c r="G20" s="49">
        <v>2.9164732599999996</v>
      </c>
      <c r="H20" s="6"/>
      <c r="I20" s="50"/>
      <c r="J20" s="48">
        <v>116</v>
      </c>
      <c r="K20" s="49">
        <v>4.30558793</v>
      </c>
      <c r="L20" s="46"/>
      <c r="M20" s="52">
        <f>(F20-J20)/J20</f>
        <v>-0.3448275862068966</v>
      </c>
    </row>
    <row r="21" spans="1:13" ht="12.75">
      <c r="A21" s="126" t="s">
        <v>260</v>
      </c>
      <c r="B21" s="120"/>
      <c r="C21" s="37"/>
      <c r="E21" s="45"/>
      <c r="F21" s="120"/>
      <c r="G21" s="37"/>
      <c r="I21" s="45"/>
      <c r="J21" s="199"/>
      <c r="K21" s="37"/>
      <c r="L21" s="46"/>
      <c r="M21" s="52"/>
    </row>
    <row r="22" spans="1:13" ht="12.75">
      <c r="A22" t="s">
        <v>96</v>
      </c>
      <c r="B22" s="48">
        <f>+B25-B10-B13-B16-B19</f>
        <v>-285</v>
      </c>
      <c r="C22" s="49">
        <f>+C25-C10-C13-C16-C19</f>
        <v>-4.476678090000011</v>
      </c>
      <c r="D22" s="6"/>
      <c r="E22" s="50"/>
      <c r="F22" s="48">
        <f>+F25-F10-F13-F16-F19</f>
        <v>-285</v>
      </c>
      <c r="G22" s="49">
        <f>+G25-G10-G13-G16-G19</f>
        <v>-4.476678090000011</v>
      </c>
      <c r="H22" s="6"/>
      <c r="I22" s="50"/>
      <c r="J22" s="48">
        <f>+J25-J10-J13-J16-J19</f>
        <v>-1</v>
      </c>
      <c r="K22" s="49">
        <f>+K25-K10-K13-K16-K19</f>
        <v>-0.18448900000001167</v>
      </c>
      <c r="L22" s="46"/>
      <c r="M22" s="52"/>
    </row>
    <row r="23" spans="1:13" ht="12.75">
      <c r="A23" t="s">
        <v>97</v>
      </c>
      <c r="B23" s="48">
        <f>+B26-B11-B14-B17-B20</f>
        <v>-20</v>
      </c>
      <c r="C23" s="49">
        <f>+C26-C11-C14-C17-C20</f>
        <v>-0.29944612999999354</v>
      </c>
      <c r="D23" s="6"/>
      <c r="E23" s="50"/>
      <c r="F23" s="48">
        <f>+F26-F11-F14-F17-F20</f>
        <v>-20</v>
      </c>
      <c r="G23" s="49">
        <f>+G26-G11-G14-G17-G20</f>
        <v>-0.29944612999999354</v>
      </c>
      <c r="H23" s="6"/>
      <c r="I23" s="50"/>
      <c r="J23" s="48">
        <f>+J26-J11-J14-J17-J20</f>
        <v>24</v>
      </c>
      <c r="K23" s="49">
        <f>+K26-K11-K14-K17-K20</f>
        <v>1.1468041599998626</v>
      </c>
      <c r="L23" s="46"/>
      <c r="M23" s="52"/>
    </row>
    <row r="24" spans="1:13" ht="12.75">
      <c r="A24" s="16" t="s">
        <v>100</v>
      </c>
      <c r="B24" s="199"/>
      <c r="C24" s="37"/>
      <c r="E24" s="45"/>
      <c r="F24" s="199"/>
      <c r="G24" s="37"/>
      <c r="I24" s="45"/>
      <c r="J24" s="21"/>
      <c r="K24" s="37"/>
      <c r="L24" s="46"/>
      <c r="M24" s="6"/>
    </row>
    <row r="25" spans="1:14" ht="12.75">
      <c r="A25" s="15" t="s">
        <v>96</v>
      </c>
      <c r="B25" s="48">
        <v>29408</v>
      </c>
      <c r="C25" s="49">
        <v>430.03753859</v>
      </c>
      <c r="E25" s="50"/>
      <c r="F25" s="48">
        <v>29408</v>
      </c>
      <c r="G25" s="49">
        <v>430.03753859</v>
      </c>
      <c r="H25" s="6"/>
      <c r="I25" s="50"/>
      <c r="J25" s="48">
        <v>38888</v>
      </c>
      <c r="K25" s="49">
        <v>561.43022838</v>
      </c>
      <c r="L25" s="46"/>
      <c r="M25" s="52">
        <f>(F25-J25)/J25</f>
        <v>-0.24377700061715696</v>
      </c>
      <c r="N25" s="52"/>
    </row>
    <row r="26" spans="1:14" ht="12.75">
      <c r="A26" t="s">
        <v>97</v>
      </c>
      <c r="B26" s="48">
        <v>24410</v>
      </c>
      <c r="C26" s="49">
        <v>718.11248399</v>
      </c>
      <c r="E26" s="50"/>
      <c r="F26" s="48">
        <v>24410</v>
      </c>
      <c r="G26" s="49">
        <v>718.11248399</v>
      </c>
      <c r="H26" s="6"/>
      <c r="I26" s="50"/>
      <c r="J26" s="48">
        <v>27879</v>
      </c>
      <c r="K26" s="49">
        <v>784.3513365599999</v>
      </c>
      <c r="L26" s="46"/>
      <c r="M26" s="52">
        <f>(F26-J26)/J26</f>
        <v>-0.12443057498475556</v>
      </c>
      <c r="N26" s="52"/>
    </row>
    <row r="27" spans="5:13" ht="12.75">
      <c r="E27" s="45"/>
      <c r="I27" s="45"/>
      <c r="L27" s="46"/>
      <c r="M27" s="44"/>
    </row>
    <row r="28" spans="5:13" ht="12.75">
      <c r="E28" s="45"/>
      <c r="I28" s="45"/>
      <c r="L28" s="46"/>
      <c r="M28" s="44"/>
    </row>
    <row r="29" spans="1:13" ht="12.75">
      <c r="A29" s="219"/>
      <c r="E29" s="45"/>
      <c r="I29" s="45"/>
      <c r="L29" s="46"/>
      <c r="M29" s="44"/>
    </row>
    <row r="30" spans="1:16" ht="12.75">
      <c r="A30" s="24" t="s">
        <v>101</v>
      </c>
      <c r="B30" s="145">
        <v>22680</v>
      </c>
      <c r="C30" s="148">
        <v>313.2</v>
      </c>
      <c r="D30" s="48"/>
      <c r="E30" s="146"/>
      <c r="F30" s="351">
        <v>26407</v>
      </c>
      <c r="G30" s="352">
        <v>352.78</v>
      </c>
      <c r="H30" s="115"/>
      <c r="I30" s="146"/>
      <c r="J30" s="353">
        <v>32094</v>
      </c>
      <c r="K30" s="354">
        <v>418.49</v>
      </c>
      <c r="L30" s="51"/>
      <c r="M30" s="52">
        <f>(F30-J30)/J30</f>
        <v>-0.17719823019879105</v>
      </c>
      <c r="P30" s="30"/>
    </row>
    <row r="31" spans="1:17" ht="12.75">
      <c r="A31" s="25" t="s">
        <v>102</v>
      </c>
      <c r="B31" s="351">
        <v>83</v>
      </c>
      <c r="C31" s="148">
        <v>0.9</v>
      </c>
      <c r="D31" s="48"/>
      <c r="E31" s="146"/>
      <c r="F31" s="115">
        <v>83</v>
      </c>
      <c r="G31" s="352">
        <v>0.9</v>
      </c>
      <c r="H31" s="115"/>
      <c r="I31" s="146"/>
      <c r="J31" s="355">
        <v>87</v>
      </c>
      <c r="K31" s="352">
        <v>0.9</v>
      </c>
      <c r="L31" s="51"/>
      <c r="M31" s="52">
        <f>(F31-J31)/J31</f>
        <v>-0.04597701149425287</v>
      </c>
      <c r="Q31" s="217"/>
    </row>
    <row r="32" spans="1:16" ht="12.75">
      <c r="A32" s="25" t="s">
        <v>279</v>
      </c>
      <c r="B32" s="356" t="s">
        <v>44</v>
      </c>
      <c r="C32" s="148">
        <v>1</v>
      </c>
      <c r="D32" s="115"/>
      <c r="E32" s="146"/>
      <c r="F32" s="356" t="s">
        <v>44</v>
      </c>
      <c r="G32" s="352">
        <v>1</v>
      </c>
      <c r="H32" s="115"/>
      <c r="I32" s="146"/>
      <c r="J32" s="356" t="s">
        <v>44</v>
      </c>
      <c r="K32" s="352">
        <v>1.1</v>
      </c>
      <c r="L32" s="51"/>
      <c r="M32" s="312"/>
      <c r="P32" s="147"/>
    </row>
    <row r="33" spans="1:16" ht="12.75">
      <c r="A33" s="25" t="s">
        <v>103</v>
      </c>
      <c r="B33" s="356" t="s">
        <v>44</v>
      </c>
      <c r="C33" s="148">
        <v>-1.3</v>
      </c>
      <c r="D33" s="48"/>
      <c r="E33" s="146"/>
      <c r="F33" s="356" t="s">
        <v>44</v>
      </c>
      <c r="G33" s="148">
        <v>-1.3</v>
      </c>
      <c r="H33" s="115"/>
      <c r="I33" s="146"/>
      <c r="J33" s="356" t="s">
        <v>44</v>
      </c>
      <c r="K33" s="354">
        <v>-1.1</v>
      </c>
      <c r="L33" s="51"/>
      <c r="M33" s="52"/>
      <c r="P33" s="147"/>
    </row>
    <row r="34" spans="1:13" ht="14.25">
      <c r="A34" s="25" t="s">
        <v>280</v>
      </c>
      <c r="B34" s="351">
        <v>-343</v>
      </c>
      <c r="C34" s="148">
        <v>-2.8</v>
      </c>
      <c r="D34" s="48"/>
      <c r="E34" s="146"/>
      <c r="F34" s="115">
        <v>-343</v>
      </c>
      <c r="G34" s="148">
        <v>-2.8</v>
      </c>
      <c r="H34" s="115"/>
      <c r="I34" s="146"/>
      <c r="J34" s="115">
        <v>-368</v>
      </c>
      <c r="K34" s="354">
        <v>-3</v>
      </c>
      <c r="L34" s="51"/>
      <c r="M34" s="52">
        <f>(F34-J34)/J34</f>
        <v>-0.06793478260869565</v>
      </c>
    </row>
    <row r="35" spans="1:13" ht="12.75">
      <c r="A35" s="25" t="s">
        <v>67</v>
      </c>
      <c r="B35" s="356">
        <f>+B36-(SUM(B30:B34))</f>
        <v>20</v>
      </c>
      <c r="C35" s="148">
        <f>+C36-(SUM(C30:C34))</f>
        <v>0</v>
      </c>
      <c r="D35" s="48"/>
      <c r="E35" s="146"/>
      <c r="F35" s="356">
        <f>+F36-(SUM(F30:F34))</f>
        <v>-3707</v>
      </c>
      <c r="G35" s="357">
        <f>+G36-(SUM(G30:G34))</f>
        <v>-39.57999999999993</v>
      </c>
      <c r="H35" s="115"/>
      <c r="I35" s="146"/>
      <c r="J35" s="356">
        <f>+J36-(SUM(J30:J34))</f>
        <v>-5882</v>
      </c>
      <c r="K35" s="357">
        <f>+K36-(SUM(K30:K34))</f>
        <v>-68.08999999999997</v>
      </c>
      <c r="L35" s="51"/>
      <c r="M35" s="52"/>
    </row>
    <row r="36" spans="1:13" ht="14.25">
      <c r="A36" s="24" t="s">
        <v>276</v>
      </c>
      <c r="B36" s="145">
        <v>22440</v>
      </c>
      <c r="C36" s="148">
        <v>311</v>
      </c>
      <c r="D36" s="48"/>
      <c r="E36" s="146"/>
      <c r="F36" s="145">
        <v>22440</v>
      </c>
      <c r="G36" s="148">
        <v>311</v>
      </c>
      <c r="H36" s="115"/>
      <c r="I36" s="146"/>
      <c r="J36" s="145">
        <v>25931</v>
      </c>
      <c r="K36" s="148">
        <v>348.3</v>
      </c>
      <c r="L36" s="51"/>
      <c r="M36" s="52">
        <f>(F36-J36)/J36</f>
        <v>-0.13462650881184682</v>
      </c>
    </row>
    <row r="37" spans="2:13" ht="12.75">
      <c r="B37" s="43"/>
      <c r="D37" s="35"/>
      <c r="E37" s="35"/>
      <c r="F37" s="27"/>
      <c r="G37" s="116"/>
      <c r="H37" s="35"/>
      <c r="I37" s="35"/>
      <c r="J37" s="42"/>
      <c r="L37" s="35"/>
      <c r="M37" s="35"/>
    </row>
    <row r="38" spans="2:13" ht="12.75">
      <c r="B38" s="41"/>
      <c r="C38" s="41"/>
      <c r="D38" s="40"/>
      <c r="E38" s="40"/>
      <c r="F38" s="40"/>
      <c r="G38" s="39"/>
      <c r="H38" s="40"/>
      <c r="I38" s="40"/>
      <c r="J38" s="40"/>
      <c r="K38" s="40"/>
      <c r="L38" s="40"/>
      <c r="M38" s="40"/>
    </row>
    <row r="39" spans="1:13" ht="14.25">
      <c r="A39" s="15" t="s">
        <v>278</v>
      </c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</row>
    <row r="40" spans="1:13" ht="14.25">
      <c r="A40" s="6" t="s">
        <v>298</v>
      </c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</row>
    <row r="41" ht="12.75">
      <c r="A41" s="4"/>
    </row>
  </sheetData>
  <mergeCells count="2">
    <mergeCell ref="F6:G6"/>
    <mergeCell ref="J6:K6"/>
  </mergeCells>
  <printOptions horizontalCentered="1"/>
  <pageMargins left="0.75" right="0.75" top="1" bottom="1" header="0.5" footer="0.5"/>
  <pageSetup fitToHeight="1" fitToWidth="1" horizontalDpi="600" verticalDpi="600" orientation="landscape" scale="84" r:id="rId1"/>
  <headerFooter alignWithMargins="0">
    <oddFooter>&amp;C&amp;8&amp;D
&amp;F 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>
    <outlinePr summaryRight="0"/>
    <pageSetUpPr fitToPage="1"/>
  </sheetPr>
  <dimension ref="A1:R50"/>
  <sheetViews>
    <sheetView zoomScale="50" zoomScaleNormal="50" workbookViewId="0" topLeftCell="A1">
      <selection activeCell="A1" sqref="A1"/>
    </sheetView>
  </sheetViews>
  <sheetFormatPr defaultColWidth="9.140625" defaultRowHeight="12.75" outlineLevelRow="1" outlineLevelCol="2"/>
  <cols>
    <col min="1" max="1" width="21.28125" style="0" customWidth="1"/>
    <col min="2" max="3" width="19.28125" style="0" bestFit="1" customWidth="1"/>
    <col min="4" max="4" width="14.57421875" style="0" customWidth="1" outlineLevel="1"/>
    <col min="5" max="5" width="15.7109375" style="0" customWidth="1" outlineLevel="1"/>
    <col min="6" max="6" width="11.28125" style="0" bestFit="1" customWidth="1" outlineLevel="1"/>
    <col min="7" max="7" width="14.140625" style="0" bestFit="1" customWidth="1" outlineLevel="1"/>
    <col min="8" max="8" width="11.57421875" style="0" customWidth="1" outlineLevel="1"/>
    <col min="9" max="9" width="13.00390625" style="0" customWidth="1" outlineLevel="1"/>
    <col min="10" max="10" width="14.8515625" style="0" customWidth="1" outlineLevel="1"/>
    <col min="11" max="11" width="9.140625" style="0" customWidth="1" outlineLevel="2"/>
    <col min="12" max="12" width="14.28125" style="0" customWidth="1" outlineLevel="2"/>
    <col min="14" max="14" width="10.421875" style="0" customWidth="1"/>
    <col min="16" max="16" width="11.421875" style="0" customWidth="1"/>
  </cols>
  <sheetData>
    <row r="1" spans="1:10" ht="15.75">
      <c r="A1" s="2" t="s">
        <v>15</v>
      </c>
      <c r="B1" s="2"/>
      <c r="C1" s="2"/>
      <c r="D1" s="2"/>
      <c r="E1" s="2"/>
      <c r="F1" s="2"/>
      <c r="G1" s="2"/>
      <c r="H1" s="2"/>
      <c r="I1" s="2"/>
      <c r="J1" s="2"/>
    </row>
    <row r="2" spans="1:10" ht="23.25">
      <c r="A2" s="3" t="s">
        <v>104</v>
      </c>
      <c r="B2" s="3"/>
      <c r="C2" s="3"/>
      <c r="D2" s="3"/>
      <c r="E2" s="3"/>
      <c r="F2" s="3"/>
      <c r="G2" s="3"/>
      <c r="H2" s="3"/>
      <c r="I2" s="3"/>
      <c r="J2" s="3"/>
    </row>
    <row r="3" spans="1:10" ht="23.25">
      <c r="A3" s="3" t="s">
        <v>194</v>
      </c>
      <c r="B3" s="3"/>
      <c r="C3" s="3"/>
      <c r="D3" s="3"/>
      <c r="E3" s="3"/>
      <c r="F3" s="3"/>
      <c r="G3" s="3"/>
      <c r="H3" s="3"/>
      <c r="I3" s="3"/>
      <c r="J3" s="3"/>
    </row>
    <row r="4" spans="1:10" ht="23.25">
      <c r="A4" s="112" t="s">
        <v>105</v>
      </c>
      <c r="B4" s="3"/>
      <c r="C4" s="3"/>
      <c r="D4" s="3"/>
      <c r="E4" s="3"/>
      <c r="F4" s="3"/>
      <c r="G4" s="3"/>
      <c r="H4" s="3"/>
      <c r="I4" s="3"/>
      <c r="J4" s="3"/>
    </row>
    <row r="5" spans="1:10" ht="24" thickBot="1">
      <c r="A5" s="8"/>
      <c r="B5" s="130"/>
      <c r="C5" s="130"/>
      <c r="D5" s="130"/>
      <c r="E5" s="130"/>
      <c r="F5" s="130"/>
      <c r="G5" s="130"/>
      <c r="H5" s="130"/>
      <c r="I5" s="130"/>
      <c r="J5" s="130"/>
    </row>
    <row r="6" spans="1:10" ht="20.25">
      <c r="A6" s="256" t="s">
        <v>106</v>
      </c>
      <c r="B6" s="327"/>
      <c r="C6" s="327"/>
      <c r="D6" s="138"/>
      <c r="E6" s="138"/>
      <c r="F6" s="138"/>
      <c r="G6" s="138"/>
      <c r="H6" s="14"/>
      <c r="I6" s="14"/>
      <c r="J6" s="14"/>
    </row>
    <row r="7" spans="1:10" s="108" customFormat="1" ht="26.25">
      <c r="A7" s="257" t="s">
        <v>195</v>
      </c>
      <c r="B7" s="255" t="s">
        <v>107</v>
      </c>
      <c r="C7" s="255" t="s">
        <v>108</v>
      </c>
      <c r="D7" s="139" t="s">
        <v>109</v>
      </c>
      <c r="E7" s="139" t="s">
        <v>110</v>
      </c>
      <c r="F7" s="369" t="s">
        <v>269</v>
      </c>
      <c r="G7" s="343" t="s">
        <v>273</v>
      </c>
      <c r="H7" s="110" t="s">
        <v>181</v>
      </c>
      <c r="I7" s="110" t="s">
        <v>180</v>
      </c>
      <c r="J7" s="109" t="s">
        <v>271</v>
      </c>
    </row>
    <row r="8" spans="1:10" ht="12.75" outlineLevel="1">
      <c r="A8" s="231" t="s">
        <v>111</v>
      </c>
      <c r="B8" s="370">
        <v>4559.6125442600005</v>
      </c>
      <c r="C8" s="258">
        <f>SUM(D8:J8)</f>
        <v>1595.5669596</v>
      </c>
      <c r="D8" s="228">
        <v>250.94529479</v>
      </c>
      <c r="E8" s="228">
        <v>37.91891982</v>
      </c>
      <c r="F8" s="367">
        <v>9.034443719999999</v>
      </c>
      <c r="G8" s="367">
        <v>1277.40027619</v>
      </c>
      <c r="H8" s="221">
        <v>5.36755182</v>
      </c>
      <c r="I8" s="228">
        <v>2.9164732599999996</v>
      </c>
      <c r="J8" s="422">
        <v>11.984</v>
      </c>
    </row>
    <row r="9" spans="1:10" ht="12.75" outlineLevel="1">
      <c r="A9" s="231" t="s">
        <v>112</v>
      </c>
      <c r="B9" s="371"/>
      <c r="C9" s="259"/>
      <c r="D9" s="228"/>
      <c r="E9" s="228"/>
      <c r="F9" s="367"/>
      <c r="G9" s="367"/>
      <c r="H9" s="228"/>
      <c r="I9" s="228"/>
      <c r="J9" s="132" t="s">
        <v>307</v>
      </c>
    </row>
    <row r="10" spans="1:10" ht="12.75" outlineLevel="1">
      <c r="A10" s="231" t="s">
        <v>113</v>
      </c>
      <c r="B10" s="371"/>
      <c r="C10" s="259"/>
      <c r="D10" s="228"/>
      <c r="E10" s="228"/>
      <c r="F10" s="367"/>
      <c r="G10" s="367"/>
      <c r="H10" s="228"/>
      <c r="I10" s="228"/>
      <c r="J10" s="132"/>
    </row>
    <row r="11" spans="1:10" ht="12.75" outlineLevel="1">
      <c r="A11" s="231" t="s">
        <v>114</v>
      </c>
      <c r="B11" s="371"/>
      <c r="C11" s="259"/>
      <c r="D11" s="228"/>
      <c r="E11" s="228"/>
      <c r="F11" s="367"/>
      <c r="G11" s="367"/>
      <c r="H11" s="228"/>
      <c r="I11" s="228"/>
      <c r="J11" s="132"/>
    </row>
    <row r="12" spans="1:10" ht="12.75" outlineLevel="1">
      <c r="A12" s="231" t="s">
        <v>115</v>
      </c>
      <c r="B12" s="371"/>
      <c r="C12" s="259"/>
      <c r="D12" s="228"/>
      <c r="E12" s="228"/>
      <c r="F12" s="367"/>
      <c r="G12" s="367"/>
      <c r="H12" s="228"/>
      <c r="I12" s="228"/>
      <c r="J12" s="132"/>
    </row>
    <row r="13" spans="1:10" ht="12.75" outlineLevel="1">
      <c r="A13" s="231" t="s">
        <v>116</v>
      </c>
      <c r="B13" s="371"/>
      <c r="C13" s="259"/>
      <c r="D13" s="228"/>
      <c r="E13" s="228"/>
      <c r="F13" s="367"/>
      <c r="G13" s="367"/>
      <c r="H13" s="228"/>
      <c r="I13" s="228"/>
      <c r="J13" s="132"/>
    </row>
    <row r="14" spans="1:10" ht="12.75" outlineLevel="1">
      <c r="A14" s="231" t="s">
        <v>150</v>
      </c>
      <c r="B14" s="371"/>
      <c r="C14" s="259"/>
      <c r="D14" s="228"/>
      <c r="E14" s="228"/>
      <c r="F14" s="367"/>
      <c r="G14" s="367"/>
      <c r="H14" s="228"/>
      <c r="I14" s="228"/>
      <c r="J14" s="132"/>
    </row>
    <row r="15" spans="1:10" ht="12.75" outlineLevel="1">
      <c r="A15" s="231" t="s">
        <v>118</v>
      </c>
      <c r="B15" s="371"/>
      <c r="C15" s="259"/>
      <c r="D15" s="228"/>
      <c r="E15" s="228"/>
      <c r="F15" s="367"/>
      <c r="G15" s="367"/>
      <c r="H15" s="228"/>
      <c r="I15" s="228"/>
      <c r="J15" s="132"/>
    </row>
    <row r="16" spans="1:10" ht="12.75" outlineLevel="1">
      <c r="A16" s="231" t="s">
        <v>119</v>
      </c>
      <c r="B16" s="372"/>
      <c r="C16" s="259"/>
      <c r="D16" s="228"/>
      <c r="E16" s="228"/>
      <c r="F16" s="367"/>
      <c r="G16" s="367"/>
      <c r="H16" s="228"/>
      <c r="I16" s="228"/>
      <c r="J16" s="132"/>
    </row>
    <row r="17" spans="1:10" ht="12.75" outlineLevel="1">
      <c r="A17" s="231" t="s">
        <v>120</v>
      </c>
      <c r="B17" s="373"/>
      <c r="C17" s="259"/>
      <c r="D17" s="228"/>
      <c r="E17" s="228"/>
      <c r="F17" s="228"/>
      <c r="G17" s="228"/>
      <c r="H17" s="228"/>
      <c r="I17" s="228"/>
      <c r="J17" s="132"/>
    </row>
    <row r="18" spans="1:10" ht="12.75" outlineLevel="1">
      <c r="A18" s="231" t="s">
        <v>121</v>
      </c>
      <c r="B18" s="374"/>
      <c r="C18" s="259"/>
      <c r="D18" s="228"/>
      <c r="E18" s="228"/>
      <c r="F18" s="228"/>
      <c r="G18" s="228"/>
      <c r="H18" s="228"/>
      <c r="I18" s="228"/>
      <c r="J18" s="132"/>
    </row>
    <row r="19" spans="1:10" ht="13.5" outlineLevel="1" thickBot="1">
      <c r="A19" s="232" t="s">
        <v>122</v>
      </c>
      <c r="B19" s="375"/>
      <c r="C19" s="329"/>
      <c r="D19" s="328"/>
      <c r="E19" s="330"/>
      <c r="F19" s="330"/>
      <c r="G19" s="330"/>
      <c r="H19" s="330"/>
      <c r="I19" s="330"/>
      <c r="J19" s="331"/>
    </row>
    <row r="20" spans="1:10" ht="13.5" thickTop="1">
      <c r="A20" s="104" t="s">
        <v>193</v>
      </c>
      <c r="B20" s="332">
        <f>SUM(B8:B19)</f>
        <v>4559.6125442600005</v>
      </c>
      <c r="C20" s="332">
        <f>SUM(C8:C19)</f>
        <v>1595.5669596</v>
      </c>
      <c r="D20" s="349">
        <f aca="true" t="shared" si="0" ref="D20:J20">SUM(D8:D19)</f>
        <v>250.94529479</v>
      </c>
      <c r="E20" s="117">
        <f t="shared" si="0"/>
        <v>37.91891982</v>
      </c>
      <c r="F20" s="117">
        <f>SUM(F8:F19)</f>
        <v>9.034443719999999</v>
      </c>
      <c r="G20" s="117">
        <f t="shared" si="0"/>
        <v>1277.40027619</v>
      </c>
      <c r="H20" s="117">
        <f t="shared" si="0"/>
        <v>5.36755182</v>
      </c>
      <c r="I20" s="117">
        <f t="shared" si="0"/>
        <v>2.9164732599999996</v>
      </c>
      <c r="J20" s="125">
        <f t="shared" si="0"/>
        <v>11.984</v>
      </c>
    </row>
    <row r="21" spans="2:11" ht="12.75">
      <c r="B21" s="333"/>
      <c r="C21" s="102"/>
      <c r="D21" s="38"/>
      <c r="E21" s="38"/>
      <c r="F21" s="38"/>
      <c r="G21" s="9"/>
      <c r="H21" s="9"/>
      <c r="I21" s="9"/>
      <c r="J21" s="334"/>
      <c r="K21" s="9"/>
    </row>
    <row r="22" spans="1:10" ht="12.75">
      <c r="A22" s="101" t="s">
        <v>304</v>
      </c>
      <c r="B22" s="335">
        <v>51378.583</v>
      </c>
      <c r="C22" s="336">
        <v>10645.27</v>
      </c>
      <c r="D22" s="337">
        <v>36825.801</v>
      </c>
      <c r="E22" s="337">
        <v>415.599</v>
      </c>
      <c r="F22" s="337">
        <v>415.599</v>
      </c>
      <c r="G22" s="337">
        <v>6287.786</v>
      </c>
      <c r="H22" s="337">
        <v>50.272</v>
      </c>
      <c r="I22" s="337">
        <v>65.813</v>
      </c>
      <c r="J22" s="338">
        <v>8.533399999999999</v>
      </c>
    </row>
    <row r="23" spans="1:10" ht="12.75">
      <c r="A23" s="122" t="s">
        <v>305</v>
      </c>
      <c r="B23" s="335">
        <f aca="true" t="shared" si="1" ref="B23:J23">B20*$L$43</f>
        <v>54715.350531120006</v>
      </c>
      <c r="C23" s="106">
        <f t="shared" si="1"/>
        <v>19146.8035152</v>
      </c>
      <c r="D23" s="117">
        <f t="shared" si="1"/>
        <v>3011.34353748</v>
      </c>
      <c r="E23" s="117">
        <f t="shared" si="1"/>
        <v>455.02703784</v>
      </c>
      <c r="F23" s="117">
        <f t="shared" si="1"/>
        <v>108.41332463999998</v>
      </c>
      <c r="G23" s="117">
        <f t="shared" si="1"/>
        <v>15328.803314280001</v>
      </c>
      <c r="H23" s="117">
        <f t="shared" si="1"/>
        <v>64.41062184</v>
      </c>
      <c r="I23" s="117">
        <f t="shared" si="1"/>
        <v>34.997679119999994</v>
      </c>
      <c r="J23" s="125">
        <f t="shared" si="1"/>
        <v>143.808</v>
      </c>
    </row>
    <row r="24" spans="1:18" ht="12.75">
      <c r="A24" s="123" t="s">
        <v>308</v>
      </c>
      <c r="B24" s="335"/>
      <c r="C24" s="106"/>
      <c r="D24" s="128"/>
      <c r="E24" s="128"/>
      <c r="F24" s="128"/>
      <c r="G24" s="142"/>
      <c r="H24" s="142"/>
      <c r="I24" s="142"/>
      <c r="J24" s="142"/>
      <c r="R24" t="s">
        <v>159</v>
      </c>
    </row>
    <row r="25" spans="1:10" ht="24" thickBot="1">
      <c r="A25" s="8"/>
      <c r="B25" s="130"/>
      <c r="C25" s="130"/>
      <c r="D25" s="130"/>
      <c r="E25" s="130"/>
      <c r="F25" s="130"/>
      <c r="G25" s="130"/>
      <c r="H25" s="130"/>
      <c r="I25" s="130"/>
      <c r="J25" s="130"/>
    </row>
    <row r="26" spans="1:10" ht="21" thickBot="1">
      <c r="A26" s="131" t="s">
        <v>123</v>
      </c>
      <c r="B26" s="339"/>
      <c r="C26" s="339"/>
      <c r="D26" s="138"/>
      <c r="E26" s="138"/>
      <c r="F26" s="368"/>
      <c r="G26" s="14"/>
      <c r="H26" s="14"/>
      <c r="I26" s="14"/>
      <c r="J26" s="14"/>
    </row>
    <row r="27" spans="1:10" ht="26.25">
      <c r="A27" s="111" t="s">
        <v>195</v>
      </c>
      <c r="B27" s="340" t="s">
        <v>107</v>
      </c>
      <c r="C27" s="341" t="s">
        <v>108</v>
      </c>
      <c r="D27" s="342" t="s">
        <v>109</v>
      </c>
      <c r="E27" s="369" t="s">
        <v>110</v>
      </c>
      <c r="F27" s="369" t="s">
        <v>269</v>
      </c>
      <c r="G27" s="343" t="s">
        <v>270</v>
      </c>
      <c r="H27" s="110" t="s">
        <v>252</v>
      </c>
      <c r="I27" s="110" t="s">
        <v>253</v>
      </c>
      <c r="J27" s="109" t="s">
        <v>271</v>
      </c>
    </row>
    <row r="28" spans="1:10" ht="14.25">
      <c r="A28" s="137" t="s">
        <v>124</v>
      </c>
      <c r="B28" s="344" t="s">
        <v>44</v>
      </c>
      <c r="C28" s="345" t="s">
        <v>44</v>
      </c>
      <c r="D28" s="346" t="s">
        <v>44</v>
      </c>
      <c r="E28" s="346" t="s">
        <v>44</v>
      </c>
      <c r="F28" s="346" t="s">
        <v>44</v>
      </c>
      <c r="G28" s="346" t="s">
        <v>44</v>
      </c>
      <c r="H28" s="347" t="s">
        <v>44</v>
      </c>
      <c r="I28" s="347">
        <v>0.0014</v>
      </c>
      <c r="J28" s="348" t="s">
        <v>254</v>
      </c>
    </row>
    <row r="29" spans="1:13" ht="12.75" outlineLevel="1">
      <c r="A29" s="107" t="s">
        <v>40</v>
      </c>
      <c r="B29" s="133" t="s">
        <v>44</v>
      </c>
      <c r="C29" s="106">
        <f aca="true" t="shared" si="2" ref="C29:C40">SUM(D29:J29)</f>
        <v>1.004083062564</v>
      </c>
      <c r="D29" s="163" t="s">
        <v>44</v>
      </c>
      <c r="E29" s="163" t="s">
        <v>44</v>
      </c>
      <c r="F29" s="163" t="s">
        <v>44</v>
      </c>
      <c r="G29" s="163" t="s">
        <v>44</v>
      </c>
      <c r="H29" s="163" t="s">
        <v>44</v>
      </c>
      <c r="I29" s="129">
        <f aca="true" t="shared" si="3" ref="I29:I40">I$28*(I8)</f>
        <v>0.004083062564</v>
      </c>
      <c r="J29" s="143">
        <v>1</v>
      </c>
      <c r="K29" s="12"/>
      <c r="L29" s="128"/>
      <c r="M29" s="9"/>
    </row>
    <row r="30" spans="1:12" ht="12.75" outlineLevel="1">
      <c r="A30" s="107" t="s">
        <v>112</v>
      </c>
      <c r="B30" s="133" t="s">
        <v>44</v>
      </c>
      <c r="C30" s="106">
        <f t="shared" si="2"/>
        <v>0</v>
      </c>
      <c r="D30" s="163" t="s">
        <v>44</v>
      </c>
      <c r="E30" s="163" t="s">
        <v>44</v>
      </c>
      <c r="F30" s="163" t="s">
        <v>44</v>
      </c>
      <c r="G30" s="163" t="s">
        <v>44</v>
      </c>
      <c r="H30" s="163" t="s">
        <v>44</v>
      </c>
      <c r="I30" s="129">
        <f t="shared" si="3"/>
        <v>0</v>
      </c>
      <c r="J30" s="132" t="s">
        <v>307</v>
      </c>
      <c r="L30" s="128"/>
    </row>
    <row r="31" spans="1:12" ht="12.75" outlineLevel="1">
      <c r="A31" s="107" t="s">
        <v>113</v>
      </c>
      <c r="B31" s="133" t="s">
        <v>44</v>
      </c>
      <c r="C31" s="106">
        <f t="shared" si="2"/>
        <v>0</v>
      </c>
      <c r="D31" s="163" t="s">
        <v>44</v>
      </c>
      <c r="E31" s="163" t="s">
        <v>44</v>
      </c>
      <c r="F31" s="163" t="s">
        <v>44</v>
      </c>
      <c r="G31" s="163" t="s">
        <v>44</v>
      </c>
      <c r="H31" s="163" t="s">
        <v>44</v>
      </c>
      <c r="I31" s="129">
        <f t="shared" si="3"/>
        <v>0</v>
      </c>
      <c r="J31" s="143">
        <v>0</v>
      </c>
      <c r="L31" s="128"/>
    </row>
    <row r="32" spans="1:10" ht="12.75" outlineLevel="1">
      <c r="A32" s="107" t="s">
        <v>114</v>
      </c>
      <c r="B32" s="133" t="s">
        <v>44</v>
      </c>
      <c r="C32" s="106">
        <f t="shared" si="2"/>
        <v>0</v>
      </c>
      <c r="D32" s="163" t="s">
        <v>44</v>
      </c>
      <c r="E32" s="163" t="s">
        <v>44</v>
      </c>
      <c r="F32" s="163" t="s">
        <v>44</v>
      </c>
      <c r="G32" s="163" t="s">
        <v>44</v>
      </c>
      <c r="H32" s="163" t="s">
        <v>44</v>
      </c>
      <c r="I32" s="129">
        <f t="shared" si="3"/>
        <v>0</v>
      </c>
      <c r="J32" s="143">
        <v>0</v>
      </c>
    </row>
    <row r="33" spans="1:10" ht="12.75" outlineLevel="1">
      <c r="A33" s="107" t="s">
        <v>115</v>
      </c>
      <c r="B33" s="133" t="s">
        <v>44</v>
      </c>
      <c r="C33" s="106">
        <f t="shared" si="2"/>
        <v>0</v>
      </c>
      <c r="D33" s="163" t="s">
        <v>44</v>
      </c>
      <c r="E33" s="163" t="s">
        <v>44</v>
      </c>
      <c r="F33" s="163" t="s">
        <v>44</v>
      </c>
      <c r="G33" s="163" t="s">
        <v>44</v>
      </c>
      <c r="H33" s="163" t="s">
        <v>44</v>
      </c>
      <c r="I33" s="129">
        <f t="shared" si="3"/>
        <v>0</v>
      </c>
      <c r="J33" s="143">
        <v>0</v>
      </c>
    </row>
    <row r="34" spans="1:10" ht="12.75" outlineLevel="1">
      <c r="A34" s="107" t="s">
        <v>116</v>
      </c>
      <c r="B34" s="133" t="s">
        <v>44</v>
      </c>
      <c r="C34" s="106">
        <f t="shared" si="2"/>
        <v>0</v>
      </c>
      <c r="D34" s="163" t="s">
        <v>44</v>
      </c>
      <c r="E34" s="163" t="s">
        <v>44</v>
      </c>
      <c r="F34" s="163" t="s">
        <v>44</v>
      </c>
      <c r="G34" s="163" t="s">
        <v>44</v>
      </c>
      <c r="H34" s="163" t="s">
        <v>44</v>
      </c>
      <c r="I34" s="129">
        <f t="shared" si="3"/>
        <v>0</v>
      </c>
      <c r="J34" s="143">
        <v>0</v>
      </c>
    </row>
    <row r="35" spans="1:10" ht="12.75" outlineLevel="1">
      <c r="A35" s="107" t="s">
        <v>117</v>
      </c>
      <c r="B35" s="133" t="s">
        <v>44</v>
      </c>
      <c r="C35" s="106">
        <f t="shared" si="2"/>
        <v>0</v>
      </c>
      <c r="D35" s="163" t="s">
        <v>44</v>
      </c>
      <c r="E35" s="163" t="s">
        <v>44</v>
      </c>
      <c r="F35" s="163" t="s">
        <v>44</v>
      </c>
      <c r="G35" s="163" t="s">
        <v>44</v>
      </c>
      <c r="H35" s="163" t="s">
        <v>44</v>
      </c>
      <c r="I35" s="129">
        <f t="shared" si="3"/>
        <v>0</v>
      </c>
      <c r="J35" s="143">
        <v>0</v>
      </c>
    </row>
    <row r="36" spans="1:11" ht="12.75" outlineLevel="1">
      <c r="A36" s="107" t="s">
        <v>118</v>
      </c>
      <c r="B36" s="133" t="s">
        <v>44</v>
      </c>
      <c r="C36" s="106">
        <f t="shared" si="2"/>
        <v>0</v>
      </c>
      <c r="D36" s="163" t="s">
        <v>44</v>
      </c>
      <c r="E36" s="163" t="s">
        <v>44</v>
      </c>
      <c r="F36" s="163" t="s">
        <v>44</v>
      </c>
      <c r="G36" s="163" t="s">
        <v>44</v>
      </c>
      <c r="H36" s="163" t="s">
        <v>44</v>
      </c>
      <c r="I36" s="129">
        <f t="shared" si="3"/>
        <v>0</v>
      </c>
      <c r="J36" s="143">
        <v>0</v>
      </c>
      <c r="K36" s="12"/>
    </row>
    <row r="37" spans="1:10" ht="12.75" outlineLevel="1">
      <c r="A37" s="107" t="s">
        <v>119</v>
      </c>
      <c r="B37" s="133" t="s">
        <v>44</v>
      </c>
      <c r="C37" s="106">
        <f t="shared" si="2"/>
        <v>0</v>
      </c>
      <c r="D37" s="163" t="s">
        <v>44</v>
      </c>
      <c r="E37" s="163" t="s">
        <v>44</v>
      </c>
      <c r="F37" s="163" t="s">
        <v>44</v>
      </c>
      <c r="G37" s="163" t="s">
        <v>44</v>
      </c>
      <c r="H37" s="163" t="s">
        <v>44</v>
      </c>
      <c r="I37" s="129">
        <f t="shared" si="3"/>
        <v>0</v>
      </c>
      <c r="J37" s="143">
        <v>0</v>
      </c>
    </row>
    <row r="38" spans="1:10" ht="12.75" outlineLevel="1">
      <c r="A38" s="107" t="s">
        <v>120</v>
      </c>
      <c r="B38" s="133" t="s">
        <v>44</v>
      </c>
      <c r="C38" s="106">
        <f t="shared" si="2"/>
        <v>0</v>
      </c>
      <c r="D38" s="163" t="s">
        <v>44</v>
      </c>
      <c r="E38" s="163" t="s">
        <v>44</v>
      </c>
      <c r="F38" s="163" t="s">
        <v>44</v>
      </c>
      <c r="G38" s="163" t="s">
        <v>44</v>
      </c>
      <c r="H38" s="163" t="s">
        <v>44</v>
      </c>
      <c r="I38" s="129">
        <f t="shared" si="3"/>
        <v>0</v>
      </c>
      <c r="J38" s="143">
        <v>0</v>
      </c>
    </row>
    <row r="39" spans="1:10" ht="12.75" outlineLevel="1">
      <c r="A39" s="107" t="s">
        <v>121</v>
      </c>
      <c r="B39" s="133" t="s">
        <v>44</v>
      </c>
      <c r="C39" s="106">
        <f t="shared" si="2"/>
        <v>0</v>
      </c>
      <c r="D39" s="163" t="s">
        <v>44</v>
      </c>
      <c r="E39" s="163" t="s">
        <v>44</v>
      </c>
      <c r="F39" s="163" t="s">
        <v>44</v>
      </c>
      <c r="G39" s="163" t="s">
        <v>44</v>
      </c>
      <c r="H39" s="163" t="s">
        <v>44</v>
      </c>
      <c r="I39" s="129">
        <f t="shared" si="3"/>
        <v>0</v>
      </c>
      <c r="J39" s="143">
        <v>0</v>
      </c>
    </row>
    <row r="40" spans="1:10" ht="13.5" outlineLevel="1" thickBot="1">
      <c r="A40" s="105" t="s">
        <v>122</v>
      </c>
      <c r="B40" s="136" t="s">
        <v>44</v>
      </c>
      <c r="C40" s="216">
        <f t="shared" si="2"/>
        <v>0</v>
      </c>
      <c r="D40" s="164" t="s">
        <v>44</v>
      </c>
      <c r="E40" s="164" t="s">
        <v>44</v>
      </c>
      <c r="F40" s="164" t="s">
        <v>44</v>
      </c>
      <c r="G40" s="164" t="s">
        <v>44</v>
      </c>
      <c r="H40" s="164" t="s">
        <v>44</v>
      </c>
      <c r="I40" s="230">
        <f t="shared" si="3"/>
        <v>0</v>
      </c>
      <c r="J40" s="222">
        <v>0</v>
      </c>
    </row>
    <row r="41" spans="1:10" ht="13.5" thickTop="1">
      <c r="A41" s="104" t="s">
        <v>193</v>
      </c>
      <c r="B41" s="134" t="s">
        <v>44</v>
      </c>
      <c r="C41" s="103">
        <f>SUM(C29:C40)</f>
        <v>1.004083062564</v>
      </c>
      <c r="D41" s="165" t="s">
        <v>44</v>
      </c>
      <c r="E41" s="166" t="s">
        <v>44</v>
      </c>
      <c r="F41" s="166" t="s">
        <v>44</v>
      </c>
      <c r="G41" s="166" t="s">
        <v>44</v>
      </c>
      <c r="H41" s="166" t="s">
        <v>44</v>
      </c>
      <c r="I41" s="218">
        <f>SUM(I29:I40)</f>
        <v>0.004083062564</v>
      </c>
      <c r="J41" s="200">
        <f>SUM(J29:J40)</f>
        <v>1</v>
      </c>
    </row>
    <row r="42" spans="2:10" ht="12.75">
      <c r="B42" s="124"/>
      <c r="C42" s="102"/>
      <c r="D42" s="20"/>
      <c r="E42" s="20"/>
      <c r="F42" s="20"/>
      <c r="G42" s="11"/>
      <c r="H42" s="11"/>
      <c r="I42" s="11"/>
      <c r="J42" s="141"/>
    </row>
    <row r="43" spans="1:12" ht="12.75">
      <c r="A43" s="101" t="s">
        <v>306</v>
      </c>
      <c r="B43" s="133" t="s">
        <v>44</v>
      </c>
      <c r="C43" s="106">
        <v>0.571</v>
      </c>
      <c r="D43" s="202" t="s">
        <v>44</v>
      </c>
      <c r="E43" s="202" t="s">
        <v>44</v>
      </c>
      <c r="F43" s="202" t="s">
        <v>44</v>
      </c>
      <c r="G43" s="202" t="s">
        <v>44</v>
      </c>
      <c r="H43" s="202" t="s">
        <v>44</v>
      </c>
      <c r="I43" s="159">
        <v>0.095</v>
      </c>
      <c r="J43" s="223">
        <v>0.479</v>
      </c>
      <c r="L43">
        <f>12/1</f>
        <v>12</v>
      </c>
    </row>
    <row r="44" spans="1:12" ht="12.75">
      <c r="A44" s="122" t="s">
        <v>305</v>
      </c>
      <c r="B44" s="133" t="s">
        <v>44</v>
      </c>
      <c r="C44" s="106">
        <f>C41*$L$43</f>
        <v>12.048996750768001</v>
      </c>
      <c r="D44" s="167" t="s">
        <v>44</v>
      </c>
      <c r="E44" s="167" t="s">
        <v>44</v>
      </c>
      <c r="F44" s="167" t="s">
        <v>44</v>
      </c>
      <c r="G44" s="167" t="s">
        <v>44</v>
      </c>
      <c r="H44" s="167" t="s">
        <v>44</v>
      </c>
      <c r="I44" s="117">
        <f>I41*$L$43</f>
        <v>0.048996750767999996</v>
      </c>
      <c r="J44" s="125">
        <f>J41*$L$43</f>
        <v>12</v>
      </c>
      <c r="L44" s="144"/>
    </row>
    <row r="45" spans="1:9" ht="13.5" thickBot="1">
      <c r="A45" s="123" t="s">
        <v>308</v>
      </c>
      <c r="B45" s="135" t="s">
        <v>44</v>
      </c>
      <c r="C45" s="100">
        <f>C42*$L$43</f>
        <v>0</v>
      </c>
      <c r="D45" s="128"/>
      <c r="E45" s="128"/>
      <c r="F45" s="128"/>
      <c r="G45" s="142"/>
      <c r="H45" s="142"/>
      <c r="I45" s="142"/>
    </row>
    <row r="48" ht="12.75">
      <c r="A48" s="126" t="s">
        <v>272</v>
      </c>
    </row>
    <row r="49" ht="12.75">
      <c r="A49" s="126" t="s">
        <v>274</v>
      </c>
    </row>
    <row r="50" ht="12.75">
      <c r="A50" t="s">
        <v>309</v>
      </c>
    </row>
  </sheetData>
  <printOptions horizontalCentered="1"/>
  <pageMargins left="0.27" right="0.21" top="0.37" bottom="0.77" header="0.5" footer="0.5"/>
  <pageSetup fitToHeight="1" fitToWidth="1" horizontalDpi="600" verticalDpi="600" orientation="landscape" scale="72" r:id="rId1"/>
  <headerFooter alignWithMargins="0">
    <oddFooter>&amp;C&amp;8&amp;D
&amp;F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609-4th St., N.E., Washington,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Judith V. May</dc:creator>
  <cp:keywords/>
  <dc:description/>
  <cp:lastModifiedBy>h06787</cp:lastModifiedBy>
  <cp:lastPrinted>2006-12-19T14:09:36Z</cp:lastPrinted>
  <dcterms:created xsi:type="dcterms:W3CDTF">1999-03-14T17:19:10Z</dcterms:created>
  <dcterms:modified xsi:type="dcterms:W3CDTF">2006-12-21T15:52:27Z</dcterms:modified>
  <cp:category/>
  <cp:version/>
  <cp:contentType/>
  <cp:contentStatus/>
</cp:coreProperties>
</file>