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560" activeTab="0"/>
  </bookViews>
  <sheets>
    <sheet name="Chart1" sheetId="1" r:id="rId1"/>
    <sheet name="OilBalance" sheetId="2" r:id="rId2"/>
    <sheet name="oil production" sheetId="3" r:id="rId3"/>
    <sheet name="Oil Dev Upstream" sheetId="4" r:id="rId4"/>
    <sheet name="New Refining" sheetId="5" r:id="rId5"/>
    <sheet name="Prices" sheetId="6" r:id="rId6"/>
    <sheet name="Natural Gas Dev" sheetId="7" r:id="rId7"/>
    <sheet name="Elec Generation" sheetId="8" r:id="rId8"/>
  </sheets>
  <definedNames/>
  <calcPr fullCalcOnLoad="1"/>
</workbook>
</file>

<file path=xl/sharedStrings.xml><?xml version="1.0" encoding="utf-8"?>
<sst xmlns="http://schemas.openxmlformats.org/spreadsheetml/2006/main" count="344" uniqueCount="284">
  <si>
    <t>Production</t>
  </si>
  <si>
    <t>Consumption</t>
  </si>
  <si>
    <t>Upstream Natural Gas Development in Iraq</t>
  </si>
  <si>
    <t>Status</t>
  </si>
  <si>
    <t>Field</t>
  </si>
  <si>
    <t>Location</t>
  </si>
  <si>
    <t>Partners</t>
  </si>
  <si>
    <t>Country</t>
  </si>
  <si>
    <t>Estimated Production 
Capacity</t>
  </si>
  <si>
    <t>Reserves 
(TCF)</t>
  </si>
  <si>
    <t>Type</t>
  </si>
  <si>
    <t>Notes</t>
  </si>
  <si>
    <t xml:space="preserve">
MOU</t>
  </si>
  <si>
    <t xml:space="preserve">Kor Mor </t>
  </si>
  <si>
    <t>KRG (Sulaymaniyah)</t>
  </si>
  <si>
    <t>Dana Gas
Crescent Petroleum</t>
  </si>
  <si>
    <t>UAE</t>
  </si>
  <si>
    <t>150-200 MMcf/d/d (Phase I)
300 MMcf/d/d (Phase II)</t>
  </si>
  <si>
    <t>Non-Associated
Gas-condensate</t>
  </si>
  <si>
    <t>-Develop, develop process, transport gas (2008)
-Will feed a development called "Kurdistan Gas City"</t>
  </si>
  <si>
    <t xml:space="preserve">Chemchemal </t>
  </si>
  <si>
    <t>NA</t>
  </si>
  <si>
    <t>-Will evaluate for development.
-Australia-based Woodside's contract expired in November, 2006.</t>
  </si>
  <si>
    <t>Siba, Misan (Buzurgan
Jabal Faqi, Abu Ghraib)</t>
  </si>
  <si>
    <t>South (Misan)</t>
  </si>
  <si>
    <t xml:space="preserve">Gulfsands Petroleum </t>
  </si>
  <si>
    <t>USA</t>
  </si>
  <si>
    <t>46,000 b/d NGL
338 MMcF/d gas (Misan)
126 MMcf/d gas (Siba)</t>
  </si>
  <si>
    <t>Siba: 3.1
Misan:1.7</t>
  </si>
  <si>
    <t xml:space="preserve">Misan: Associated Gas, Siba: non-associated
</t>
  </si>
  <si>
    <t>-Signed 2005, 5-year implementation (including  gas gathering system, NGL gathering plant and transmission pipelines). Not in implementation yet.</t>
  </si>
  <si>
    <t xml:space="preserve">
Unclear</t>
  </si>
  <si>
    <t>Mansuriyah</t>
  </si>
  <si>
    <t>North (Diyala)</t>
  </si>
  <si>
    <t>Royal Dutch Shell
Botas
TPAO
Tekfen</t>
  </si>
  <si>
    <t>UK
Netherlands
Turkey</t>
  </si>
  <si>
    <t>330 MMcf/d</t>
  </si>
  <si>
    <t xml:space="preserve">-Reportedly interested in building an export pipeline from Kirkuk to Ceyhan. </t>
  </si>
  <si>
    <t>Akkas</t>
  </si>
  <si>
    <t>Western Desert (Al- Anbar)</t>
  </si>
  <si>
    <t>-Several IOCs reported to be interested in developing.</t>
  </si>
  <si>
    <t>Source: Media Reports, Global Insight, IHS, APS Market Review, USG</t>
  </si>
  <si>
    <t xml:space="preserve"> Upstream Petroleum Agreements in Iraq*</t>
  </si>
  <si>
    <t>Est. Production
  (bbl/d)</t>
  </si>
  <si>
    <t xml:space="preserve"> Reserves
(billion bbls)</t>
  </si>
  <si>
    <t xml:space="preserve">
(E)PSA</t>
  </si>
  <si>
    <t>Bina Bawi (1)</t>
  </si>
  <si>
    <t xml:space="preserve">
KRG (Irbil)</t>
  </si>
  <si>
    <t xml:space="preserve">A&amp;T Petroleum Company(Petoil Subsidiary, 50%), Hawler (Prime Natural Resources subsidiary, 40%), Calibre Energy Inc. (10%)
</t>
  </si>
  <si>
    <t>Turkey
USA</t>
  </si>
  <si>
    <t>Bana-Bavu area</t>
  </si>
  <si>
    <t xml:space="preserve">Taq Taq 
</t>
  </si>
  <si>
    <t>Taq Taq Operating Company (TTOPCP): Addax Petroleum (45%), Genel Enerji (55%)</t>
  </si>
  <si>
    <t>Switzerland
Turkey</t>
  </si>
  <si>
    <t>100,000 - 200,000</t>
  </si>
  <si>
    <t>0.4-0.8</t>
  </si>
  <si>
    <t>- Includes Kewa Chirmila exploration</t>
  </si>
  <si>
    <t>Tawke</t>
  </si>
  <si>
    <t>KRG (Dahuk, Irbil)</t>
  </si>
  <si>
    <t>DNO ASA (55%), KRG (45%)</t>
  </si>
  <si>
    <t>Norway
KRG</t>
  </si>
  <si>
    <t xml:space="preserve">13,000 - 26,000 (2007)
40,000 - 50,000 (2009)
</t>
  </si>
  <si>
    <t xml:space="preserve">- First private production in 35 years
- 100 % financed by DNO, to include 26 mile pipeline link to Kirkuk-Ceyhan pipeline. </t>
  </si>
  <si>
    <t>Shakal
Chia Surkh</t>
  </si>
  <si>
    <t xml:space="preserve">KRG/North
(At Tamim/Kirkuk) </t>
  </si>
  <si>
    <t>PetPrime (Petoil and Prime Natural Resources JV)</t>
  </si>
  <si>
    <t>-Rumored to have been given rights to Shakal
-No longer involved in Bulkhana development</t>
  </si>
  <si>
    <t>Garmah Area, Zagros</t>
  </si>
  <si>
    <t>Western Oil Sands
WesternZagros</t>
  </si>
  <si>
    <t xml:space="preserve">Canada </t>
  </si>
  <si>
    <t>-Reduced area originally included Shakal, East Shakal, Kalar, East Kalar, Bawanoor structures - Kifri, Qara-II, Nuherat, Qara-teppe)</t>
  </si>
  <si>
    <t xml:space="preserve">
MOU
(undetermined type)</t>
  </si>
  <si>
    <t>Unknown</t>
  </si>
  <si>
    <t>KRG</t>
  </si>
  <si>
    <t>Sterling Energy</t>
  </si>
  <si>
    <t>U.K.</t>
  </si>
  <si>
    <t>-Details unknown (Exploration)</t>
  </si>
  <si>
    <t>Demir Dagh, Az Zab, Hamdaniya, Sahl Irbil</t>
  </si>
  <si>
    <t>KRG (Irbil)</t>
  </si>
  <si>
    <t>Heritage Oil Corporation (HOC)
Eagle Group of Iraq</t>
  </si>
  <si>
    <t>Canada
Iraq</t>
  </si>
  <si>
    <t>-PSA conversion reportedly in discussion</t>
  </si>
  <si>
    <t>Al-Qayyarah
(Qaiyarah)</t>
  </si>
  <si>
    <t>North (Nineveh)</t>
  </si>
  <si>
    <t>Ivanhoe (55%), Inpex (45%)</t>
  </si>
  <si>
    <t>Canada
Japan</t>
  </si>
  <si>
    <t>-Heavy Oil (17.1 API)
-MoU originally negotiated in 2004</t>
  </si>
  <si>
    <t>Marjan</t>
  </si>
  <si>
    <t>South (Najaf/Karbala)</t>
  </si>
  <si>
    <t>Petrel Resources</t>
  </si>
  <si>
    <t>Ireland</t>
  </si>
  <si>
    <t>-Exploration, tech services</t>
  </si>
  <si>
    <t>Khidhar Almaa 1; Others (inc. Ratawi)</t>
  </si>
  <si>
    <t>South (Missan)</t>
  </si>
  <si>
    <t>Crescent Petroleum</t>
  </si>
  <si>
    <t>-Exploration</t>
  </si>
  <si>
    <t>Block 8,
including Abu Khaimah</t>
  </si>
  <si>
    <t>South (Al-Muthanna)</t>
  </si>
  <si>
    <t xml:space="preserve">ONGC Videsh (OVL) , Reliance Industries Ltd. </t>
  </si>
  <si>
    <t>India</t>
  </si>
  <si>
    <t xml:space="preserve">- In discussion; originally agreed in 2000
reportedly also interested in reviving a  pre-2003 agreement to develop the Tuba field with Sonatrach (Algeria) and Reliance </t>
  </si>
  <si>
    <t>Block 4</t>
  </si>
  <si>
    <t xml:space="preserve">
Western Desert (Al-Anbar)</t>
  </si>
  <si>
    <t>Soyuzneftgaz</t>
  </si>
  <si>
    <t>Russia</t>
  </si>
  <si>
    <t>-Exploration, Status unknown
-Pre-2003 contract</t>
  </si>
  <si>
    <t>Block 6</t>
  </si>
  <si>
    <t>- Initial award pre-2003
- Awaiting ratification as of 6/07</t>
  </si>
  <si>
    <t xml:space="preserve">
Service
Contract (SC)</t>
  </si>
  <si>
    <t>Al-Ahdab</t>
  </si>
  <si>
    <t>South (Wasit)</t>
  </si>
  <si>
    <t>China National Petroleum Company (CNPC)</t>
  </si>
  <si>
    <t>China</t>
  </si>
  <si>
    <t>- Confirmed June, 2007. First negiotiated in 1997.</t>
  </si>
  <si>
    <t>Halfaya</t>
  </si>
  <si>
    <t>Korea National Oil Company (KNOC)</t>
  </si>
  <si>
    <t>South Korea</t>
  </si>
  <si>
    <t xml:space="preserve">225,000-250,000 </t>
  </si>
  <si>
    <t>- BHP Billington (Australia) reportedly interested
'- In review</t>
  </si>
  <si>
    <t>West Qurna</t>
  </si>
  <si>
    <t>South (Basrah, Dhi Qar)</t>
  </si>
  <si>
    <t>Lukoil, Conoco Phillips (17.5%), MoO</t>
  </si>
  <si>
    <t>USA
Iraq
Russia</t>
  </si>
  <si>
    <t>600,000 - 800,000</t>
  </si>
  <si>
    <t>- Proposed; Lukoil wants to revive agreement cancelled in 2002</t>
  </si>
  <si>
    <t>Amara</t>
  </si>
  <si>
    <t>Petrovietnam</t>
  </si>
  <si>
    <t>Vietnam</t>
  </si>
  <si>
    <t>60,000 - 80,000</t>
  </si>
  <si>
    <t>-In Discussion to be revived.</t>
  </si>
  <si>
    <t>Subba-Luhais</t>
  </si>
  <si>
    <t>South (Basrah)</t>
  </si>
  <si>
    <t xml:space="preserve">
Unclear</t>
  </si>
  <si>
    <t>Majnoon</t>
  </si>
  <si>
    <t>South (Basrah, Missan)</t>
  </si>
  <si>
    <t>Total</t>
  </si>
  <si>
    <t>France</t>
  </si>
  <si>
    <t>450,000 - 600,000</t>
  </si>
  <si>
    <t>Nahr Umar
(Bin Umar)</t>
  </si>
  <si>
    <t>Total or Zarubezhneft</t>
  </si>
  <si>
    <t>France
Russia</t>
  </si>
  <si>
    <t>Al-Nasiriyah</t>
  </si>
  <si>
    <t xml:space="preserve">
South (Dhi Qar)</t>
  </si>
  <si>
    <t>Repsol</t>
  </si>
  <si>
    <t>Spain</t>
  </si>
  <si>
    <t>- SOC announced development in 4/07
- Status unknown</t>
  </si>
  <si>
    <t>Rafidain</t>
  </si>
  <si>
    <t>- SOC announced development in 4/07
- MOU reportedly signed 1/03</t>
  </si>
  <si>
    <t>Gharraf</t>
  </si>
  <si>
    <t>TPAO</t>
  </si>
  <si>
    <t>Turkey</t>
  </si>
  <si>
    <t>- SOC announced development in 4/07
- MOU reportedly signed 2002</t>
  </si>
  <si>
    <t>Tuba or Block 3</t>
  </si>
  <si>
    <t>South (Basrah) / 
Western Desert (Al-Anbar)</t>
  </si>
  <si>
    <t>Indonesia's PT Pertamina</t>
  </si>
  <si>
    <t>Indonesia</t>
  </si>
  <si>
    <t>1.5 (Tuba)</t>
  </si>
  <si>
    <t>-In discussion to be revived. Tuba wegotiated in 1997 - 1998, Block 3 negotiated in 2002.</t>
  </si>
  <si>
    <t xml:space="preserve">
EPC </t>
  </si>
  <si>
    <t>Hamrin</t>
  </si>
  <si>
    <t>North (Salah al-Din, Tamim)</t>
  </si>
  <si>
    <t>OGI</t>
  </si>
  <si>
    <t>Canada</t>
  </si>
  <si>
    <t>60,000 - 100,000 (oil)
60 MMcf/d  (gas)</t>
  </si>
  <si>
    <t>Khurmala Dome 
(Kirkuk)</t>
  </si>
  <si>
    <t>North (Tamim, Irbil)</t>
  </si>
  <si>
    <t>DPS, Kar, Avrasia</t>
  </si>
  <si>
    <t>100,000 - 120,000</t>
  </si>
  <si>
    <t>* Stages from proposal to active implementation</t>
  </si>
  <si>
    <t>(EPSA - Exploration &amp; Production Service Agreement, MOU - Memorandum of Understanding, SC - Service Contract, EPC - Engineering, Procurement and Construction)</t>
  </si>
  <si>
    <t>Source: Media Reports, Global Insight, IHS, APS Market Review</t>
  </si>
  <si>
    <t xml:space="preserve">Usable Oil Production Capacity in Iraq </t>
  </si>
  <si>
    <t>Estimated Current Capacity  (2007E)</t>
  </si>
  <si>
    <t>Estimated Pre-War Capacity (2003E)</t>
  </si>
  <si>
    <t>Est. Reserves</t>
  </si>
  <si>
    <t>Southern Fields</t>
  </si>
  <si>
    <t>(bbl/d)</t>
  </si>
  <si>
    <t>(billion bbl)</t>
  </si>
  <si>
    <t>Rumaila North</t>
  </si>
  <si>
    <t>Rumaila South</t>
  </si>
  <si>
    <t>15-21</t>
  </si>
  <si>
    <t>Az-Zubair</t>
  </si>
  <si>
    <t>Missan (inc. Buzurgan, Jabal Faqi, Abu Ghraib)</t>
  </si>
  <si>
    <t>Luhais</t>
  </si>
  <si>
    <t>Southern Sub Total (million bbl/d)</t>
  </si>
  <si>
    <t>Northern Fields*</t>
  </si>
  <si>
    <t>Kirkuk</t>
  </si>
  <si>
    <t>Bai Hassan</t>
  </si>
  <si>
    <t>Jambur</t>
  </si>
  <si>
    <t>[75,000]</t>
  </si>
  <si>
    <t>Khabbaz</t>
  </si>
  <si>
    <t>[25,000]</t>
  </si>
  <si>
    <t>&lt;1</t>
  </si>
  <si>
    <t>Ajil</t>
  </si>
  <si>
    <t>East Baghdad</t>
  </si>
  <si>
    <t>Ain Zalah/Butmah</t>
  </si>
  <si>
    <t>[10,000]</t>
  </si>
  <si>
    <t>Sufiya (other minor fields)</t>
  </si>
  <si>
    <t>Northern Sub Total (million bbl/d)</t>
  </si>
  <si>
    <t>Totals (million bbl/d)</t>
  </si>
  <si>
    <t>Source: EIA, ITAO, Media Reports, Government of Iraq Ministry of Oil</t>
  </si>
  <si>
    <t>Electric Power Generation (MW)</t>
  </si>
  <si>
    <t>Pre-war</t>
  </si>
  <si>
    <t>Average Generation</t>
  </si>
  <si>
    <t>Peak Generation*</t>
  </si>
  <si>
    <t>Average Demand</t>
  </si>
  <si>
    <t>2007 (Q1)</t>
  </si>
  <si>
    <t>TBD</t>
  </si>
  <si>
    <t>Peak Demand**</t>
  </si>
  <si>
    <t>Generation Goal</t>
  </si>
  <si>
    <t>Diesel</t>
  </si>
  <si>
    <t>Kerosene</t>
  </si>
  <si>
    <t>Offical Prices of Refined Product in Iraq</t>
  </si>
  <si>
    <t>LPG (12 kg cylinder)</t>
  </si>
  <si>
    <t>Iraq's Oil Production and Consumption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</si>
  <si>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</si>
  <si>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</si>
  <si>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</si>
  <si>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</si>
  <si>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</si>
  <si>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</si>
  <si>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</si>
  <si>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</si>
  <si>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</si>
  <si>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</si>
  <si>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</si>
  <si>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</si>
  <si>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</si>
  <si>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</si>
  <si>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</si>
  <si>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</si>
  <si>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</si>
  <si>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</si>
  <si>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</si>
  <si>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</si>
  <si>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</si>
  <si>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</si>
  <si>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</si>
  <si>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</si>
  <si>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2007E</t>
  </si>
  <si>
    <t>Consum</t>
  </si>
  <si>
    <t>Prod</t>
  </si>
  <si>
    <t xml:space="preserve">240,000 crude oil 
100 MMcf/d  gas </t>
  </si>
  <si>
    <t>Petrel Resources,
Itochu Group</t>
  </si>
  <si>
    <t>Ireland
Japan</t>
  </si>
  <si>
    <t>Regular Gasoline</t>
  </si>
  <si>
    <t>Blended/Super Gasoline
(replaced "Premium" in 2007)</t>
  </si>
  <si>
    <t>Refinery Development in Iraq</t>
  </si>
  <si>
    <t>Source: Media Reports, IHS, Global Insight, MoO, ITAO</t>
  </si>
  <si>
    <t>Investor</t>
  </si>
  <si>
    <t>Est. Capacity
(bbl/d)</t>
  </si>
  <si>
    <t>MoO, Japan</t>
  </si>
  <si>
    <t>Make Oil AG
(Lebanon)</t>
  </si>
  <si>
    <t>Basrah</t>
  </si>
  <si>
    <t>Amarah</t>
  </si>
  <si>
    <t>Planned for 2008.</t>
  </si>
  <si>
    <t>Planned for 2012.</t>
  </si>
  <si>
    <t>MoO</t>
  </si>
  <si>
    <t xml:space="preserve">Planned for 2009. To be expanded to 120,000 bbl/d. Includes 16-million gallon storage facility. </t>
  </si>
  <si>
    <t>Hindiyah (Karbala)</t>
  </si>
  <si>
    <t>Koya (Kwysengeq )</t>
  </si>
  <si>
    <t>Planned for 2009 or 2010.</t>
  </si>
  <si>
    <t>Consutruction to start July 2007. A second “microrefinery” has been proposed to secure supply while construction of the larger facility is ongoing.</t>
  </si>
  <si>
    <t>Dohuk (KRG)</t>
  </si>
  <si>
    <t>Make Oil AG (tentative)</t>
  </si>
  <si>
    <t>Kurdistan 
(location TBD)</t>
  </si>
  <si>
    <t>PetroGulf and Taqat al-Qabidha (Kuwait), Cukurova Holding and Investment (Turkey)</t>
  </si>
  <si>
    <t xml:space="preserve">Msaib / Nassiriyah </t>
  </si>
  <si>
    <t>* Most production shut-in due to limited export routes/limited refining capacity.</t>
  </si>
  <si>
    <t>(Dollars/Gallon)*</t>
  </si>
  <si>
    <t>*With the exception of LPG; which is reported in dollars per cylinder.</t>
  </si>
  <si>
    <t>Peak Demand*</t>
  </si>
  <si>
    <t>*August 2006</t>
  </si>
  <si>
    <t>Source: SIGIR, Iraq Ministry of Energy, IRMO/ITAO</t>
  </si>
  <si>
    <t>Peak Generation**</t>
  </si>
  <si>
    <t>** February 2007</t>
  </si>
  <si>
    <t>Source: IMF,OANDA, Media Reports</t>
  </si>
  <si>
    <t>[50,00 - 100,000]</t>
  </si>
  <si>
    <t>250000 [600,000 - 700,000]</t>
  </si>
  <si>
    <t>Approved July 2007</t>
  </si>
  <si>
    <t>In contract phase. Planned for 2010.</t>
  </si>
  <si>
    <t>In discussion phase</t>
  </si>
  <si>
    <t>Amounts in brackets are estimates of production that could potentially come online if export/domestic refining became available.</t>
  </si>
  <si>
    <t>- Rumored that Chevron will join project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</si>
</sst>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%"/>
    <numFmt numFmtId="171" formatCode="[$-409]dddd\,\ mmmm\ dd\,\ yyyy"/>
    <numFmt numFmtId="172" formatCode="[$-409]mmm\-yy;@"/>
    <numFmt numFmtId="173" formatCode="0.000"/>
    <numFmt numFmtId="174" formatCode="#,##0.000_);\(#,##0.000\)"/>
    <numFmt numFmtId="175" formatCode="m/d"/>
    <numFmt numFmtId="176" formatCode="[$-409]mmmm\-yy;@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9"/>
      <color indexed="8"/>
      <name val="MS Sans Serif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 quotePrefix="1">
      <alignment vertical="top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7" xfId="0" applyFont="1" applyBorder="1" applyAlignment="1" quotePrefix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 quotePrefix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 quotePrefix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9" fontId="11" fillId="0" borderId="7" xfId="22" applyFont="1" applyBorder="1" applyAlignment="1" quotePrefix="1">
      <alignment horizontal="left" vertical="top" wrapText="1"/>
    </xf>
    <xf numFmtId="3" fontId="11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3" xfId="0" applyFont="1" applyBorder="1" applyAlignment="1">
      <alignment horizontal="left" vertical="top"/>
    </xf>
    <xf numFmtId="3" fontId="11" fillId="0" borderId="5" xfId="0" applyNumberFormat="1" applyFont="1" applyBorder="1" applyAlignment="1">
      <alignment horizontal="left" vertical="top"/>
    </xf>
    <xf numFmtId="0" fontId="11" fillId="0" borderId="6" xfId="0" applyFont="1" applyBorder="1" applyAlignment="1" quotePrefix="1">
      <alignment horizontal="left" vertical="top" wrapText="1"/>
    </xf>
    <xf numFmtId="0" fontId="11" fillId="0" borderId="7" xfId="0" applyFont="1" applyBorder="1" applyAlignment="1" quotePrefix="1">
      <alignment vertical="top"/>
    </xf>
    <xf numFmtId="3" fontId="11" fillId="0" borderId="0" xfId="0" applyNumberFormat="1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3" fillId="0" borderId="8" xfId="0" applyFont="1" applyBorder="1" applyAlignment="1">
      <alignment horizontal="left"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0" xfId="0" applyFont="1" applyFill="1" applyAlignment="1">
      <alignment vertical="top"/>
    </xf>
    <xf numFmtId="0" fontId="6" fillId="2" borderId="9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3" fontId="15" fillId="0" borderId="0" xfId="0" applyNumberFormat="1" applyFont="1" applyAlignment="1">
      <alignment/>
    </xf>
    <xf numFmtId="0" fontId="6" fillId="3" borderId="9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6" fillId="4" borderId="9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0" fontId="3" fillId="5" borderId="9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3" fontId="3" fillId="5" borderId="0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3" fontId="0" fillId="0" borderId="0" xfId="0" applyNumberFormat="1" applyAlignment="1">
      <alignment horizontal="left"/>
    </xf>
    <xf numFmtId="3" fontId="15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6" fillId="0" borderId="3" xfId="0" applyFont="1" applyFill="1" applyBorder="1" applyAlignment="1">
      <alignment vertical="top"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 vertical="top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172" fontId="6" fillId="2" borderId="3" xfId="0" applyNumberFormat="1" applyFont="1" applyFill="1" applyBorder="1" applyAlignment="1">
      <alignment horizontal="center" vertical="top"/>
    </xf>
    <xf numFmtId="17" fontId="6" fillId="2" borderId="3" xfId="0" applyNumberFormat="1" applyFont="1" applyFill="1" applyBorder="1" applyAlignment="1">
      <alignment horizontal="center" vertical="top"/>
    </xf>
    <xf numFmtId="172" fontId="6" fillId="2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9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5" borderId="11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27" fillId="0" borderId="13" xfId="2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 quotePrefix="1">
      <alignment/>
    </xf>
    <xf numFmtId="3" fontId="27" fillId="0" borderId="13" xfId="2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11" fillId="0" borderId="8" xfId="0" applyFont="1" applyBorder="1" applyAlignment="1" quotePrefix="1">
      <alignment horizontal="left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2" fontId="3" fillId="5" borderId="5" xfId="0" applyNumberFormat="1" applyFont="1" applyFill="1" applyBorder="1" applyAlignment="1">
      <alignment/>
    </xf>
    <xf numFmtId="2" fontId="3" fillId="5" borderId="12" xfId="0" applyNumberFormat="1" applyFont="1" applyFill="1" applyBorder="1" applyAlignment="1">
      <alignment/>
    </xf>
    <xf numFmtId="2" fontId="3" fillId="0" borderId="1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vertical="top" wrapText="1"/>
    </xf>
    <xf numFmtId="0" fontId="8" fillId="0" borderId="16" xfId="0" applyFont="1" applyBorder="1" applyAlignment="1">
      <alignment vertical="top" wrapText="1"/>
    </xf>
    <xf numFmtId="0" fontId="8" fillId="5" borderId="14" xfId="0" applyFont="1" applyFill="1" applyBorder="1" applyAlignment="1">
      <alignment vertical="top"/>
    </xf>
    <xf numFmtId="0" fontId="8" fillId="5" borderId="15" xfId="0" applyFont="1" applyFill="1" applyBorder="1" applyAlignment="1">
      <alignment vertical="top"/>
    </xf>
    <xf numFmtId="0" fontId="8" fillId="5" borderId="15" xfId="0" applyFont="1" applyFill="1" applyBorder="1" applyAlignment="1">
      <alignment horizontal="left" vertical="top"/>
    </xf>
    <xf numFmtId="0" fontId="8" fillId="5" borderId="15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17" fontId="6" fillId="2" borderId="0" xfId="0" applyNumberFormat="1" applyFont="1" applyFill="1" applyBorder="1" applyAlignment="1">
      <alignment horizontal="center" vertical="top" wrapText="1"/>
    </xf>
    <xf numFmtId="172" fontId="6" fillId="2" borderId="1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5" borderId="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3" fillId="0" borderId="15" xfId="0" applyNumberFormat="1" applyFont="1" applyBorder="1" applyAlignment="1">
      <alignment horizontal="left" vertical="top"/>
    </xf>
    <xf numFmtId="0" fontId="3" fillId="0" borderId="14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1" fillId="5" borderId="11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vertical="top"/>
    </xf>
    <xf numFmtId="3" fontId="11" fillId="5" borderId="5" xfId="0" applyNumberFormat="1" applyFont="1" applyFill="1" applyBorder="1" applyAlignment="1">
      <alignment vertical="top"/>
    </xf>
    <xf numFmtId="0" fontId="11" fillId="5" borderId="5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vertical="top"/>
    </xf>
    <xf numFmtId="3" fontId="11" fillId="5" borderId="0" xfId="0" applyNumberFormat="1" applyFont="1" applyFill="1" applyBorder="1" applyAlignment="1">
      <alignment vertical="top"/>
    </xf>
    <xf numFmtId="0" fontId="11" fillId="5" borderId="0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/>
    </xf>
    <xf numFmtId="0" fontId="11" fillId="5" borderId="3" xfId="0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 shrinkToFit="1"/>
    </xf>
    <xf numFmtId="0" fontId="8" fillId="5" borderId="3" xfId="0" applyFont="1" applyFill="1" applyBorder="1" applyAlignment="1">
      <alignment horizontal="center" vertical="top" shrinkToFit="1"/>
    </xf>
    <xf numFmtId="0" fontId="8" fillId="5" borderId="4" xfId="0" applyFont="1" applyFill="1" applyBorder="1" applyAlignment="1">
      <alignment horizontal="center" vertical="top" shrinkToFi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2" borderId="14" xfId="0" applyNumberFormat="1" applyFont="1" applyFill="1" applyBorder="1" applyAlignment="1">
      <alignment horizontal="center" vertical="top"/>
    </xf>
    <xf numFmtId="0" fontId="6" fillId="2" borderId="15" xfId="0" applyNumberFormat="1" applyFont="1" applyFill="1" applyBorder="1" applyAlignment="1">
      <alignment horizontal="center" vertical="top"/>
    </xf>
    <xf numFmtId="0" fontId="6" fillId="2" borderId="16" xfId="0" applyNumberFormat="1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Iraq's Oil Production 
and Consumption, 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1980-2007F</a:t>
            </a:r>
          </a:p>
        </c:rich>
      </c:tx>
      <c:layout>
        <c:manualLayout>
          <c:xMode val="factor"/>
          <c:yMode val="factor"/>
          <c:x val="0.0065"/>
          <c:y val="0.04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2775"/>
          <c:y val="0.15475"/>
          <c:w val="0.52675"/>
          <c:h val="0.4995"/>
        </c:manualLayout>
      </c:layout>
      <c:lineChart>
        <c:grouping val="standard"/>
        <c:varyColors val="0"/>
        <c:ser>
          <c:idx val="0"/>
          <c:order val="0"/>
          <c:tx>
            <c:strRef>
              <c:f>OilBalance!$B$3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OilBalance!$A$4:$A$31</c:f>
              <c:str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2007E</c:v>
                </c:pt>
              </c:strCache>
            </c:strRef>
          </c:cat>
          <c:val>
            <c:numRef>
              <c:f>OilBalance!$B$4:$B$31</c:f>
              <c:numCache>
                <c:ptCount val="28"/>
                <c:pt idx="0">
                  <c:v>2.522</c:v>
                </c:pt>
                <c:pt idx="1">
                  <c:v>1.005</c:v>
                </c:pt>
                <c:pt idx="2">
                  <c:v>1.017</c:v>
                </c:pt>
                <c:pt idx="3">
                  <c:v>1.01</c:v>
                </c:pt>
                <c:pt idx="4">
                  <c:v>1.214</c:v>
                </c:pt>
                <c:pt idx="5">
                  <c:v>1.443</c:v>
                </c:pt>
                <c:pt idx="6">
                  <c:v>1.7</c:v>
                </c:pt>
                <c:pt idx="7">
                  <c:v>2.089</c:v>
                </c:pt>
                <c:pt idx="8">
                  <c:v>2.705</c:v>
                </c:pt>
                <c:pt idx="9">
                  <c:v>2.951</c:v>
                </c:pt>
                <c:pt idx="10">
                  <c:v>2.07</c:v>
                </c:pt>
                <c:pt idx="11">
                  <c:v>0.305</c:v>
                </c:pt>
                <c:pt idx="12">
                  <c:v>0.4250557</c:v>
                </c:pt>
                <c:pt idx="13">
                  <c:v>0.526699</c:v>
                </c:pt>
                <c:pt idx="14">
                  <c:v>0.572534</c:v>
                </c:pt>
                <c:pt idx="15">
                  <c:v>0.585</c:v>
                </c:pt>
                <c:pt idx="16">
                  <c:v>0.598798</c:v>
                </c:pt>
                <c:pt idx="17">
                  <c:v>1.175</c:v>
                </c:pt>
                <c:pt idx="18">
                  <c:v>2.165041</c:v>
                </c:pt>
                <c:pt idx="19">
                  <c:v>2.522877</c:v>
                </c:pt>
                <c:pt idx="20">
                  <c:v>2.585683</c:v>
                </c:pt>
                <c:pt idx="21">
                  <c:v>2.41</c:v>
                </c:pt>
                <c:pt idx="22">
                  <c:v>2.043</c:v>
                </c:pt>
                <c:pt idx="23">
                  <c:v>1.320787</c:v>
                </c:pt>
                <c:pt idx="24">
                  <c:v>2.02647</c:v>
                </c:pt>
                <c:pt idx="25">
                  <c:v>1.889915</c:v>
                </c:pt>
                <c:pt idx="26">
                  <c:v>2.00786</c:v>
                </c:pt>
                <c:pt idx="27">
                  <c:v>2.04941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OilBalance!$C$3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OilBalance!$A$4:$A$31</c:f>
              <c:str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2007E</c:v>
                </c:pt>
              </c:strCache>
            </c:strRef>
          </c:cat>
          <c:val>
            <c:numRef>
              <c:f>OilBalance!$C$4:$C$31</c:f>
              <c:numCache>
                <c:ptCount val="28"/>
                <c:pt idx="0">
                  <c:v>0.217</c:v>
                </c:pt>
                <c:pt idx="1">
                  <c:v>0.214</c:v>
                </c:pt>
                <c:pt idx="2">
                  <c:v>0.205</c:v>
                </c:pt>
                <c:pt idx="3">
                  <c:v>0.25</c:v>
                </c:pt>
                <c:pt idx="4">
                  <c:v>0.24</c:v>
                </c:pt>
                <c:pt idx="5">
                  <c:v>0.25830849</c:v>
                </c:pt>
                <c:pt idx="6">
                  <c:v>0.279217</c:v>
                </c:pt>
                <c:pt idx="7">
                  <c:v>0.28503132</c:v>
                </c:pt>
                <c:pt idx="8">
                  <c:v>0.3197229</c:v>
                </c:pt>
                <c:pt idx="9">
                  <c:v>0.34997</c:v>
                </c:pt>
                <c:pt idx="10">
                  <c:v>0.4</c:v>
                </c:pt>
                <c:pt idx="11">
                  <c:v>0.262802719</c:v>
                </c:pt>
                <c:pt idx="12">
                  <c:v>0.3414372557377049</c:v>
                </c:pt>
                <c:pt idx="13">
                  <c:v>0.4091230324383563</c:v>
                </c:pt>
                <c:pt idx="14">
                  <c:v>0.45659531506849316</c:v>
                </c:pt>
                <c:pt idx="15">
                  <c:v>0.4741267726027397</c:v>
                </c:pt>
                <c:pt idx="16">
                  <c:v>0.469459781420765</c:v>
                </c:pt>
                <c:pt idx="17">
                  <c:v>0.44335238684931505</c:v>
                </c:pt>
                <c:pt idx="18">
                  <c:v>0.447</c:v>
                </c:pt>
                <c:pt idx="19">
                  <c:v>0.451</c:v>
                </c:pt>
                <c:pt idx="20">
                  <c:v>0.462</c:v>
                </c:pt>
                <c:pt idx="21">
                  <c:v>0.489</c:v>
                </c:pt>
                <c:pt idx="22">
                  <c:v>0.497</c:v>
                </c:pt>
                <c:pt idx="23">
                  <c:v>0.435</c:v>
                </c:pt>
                <c:pt idx="24">
                  <c:v>0.55</c:v>
                </c:pt>
                <c:pt idx="25">
                  <c:v>0.54</c:v>
                </c:pt>
                <c:pt idx="26">
                  <c:v>0.565</c:v>
                </c:pt>
                <c:pt idx="27">
                  <c:v>0.565</c:v>
                </c:pt>
              </c:numCache>
            </c:numRef>
          </c:val>
          <c:smooth val="0"/>
        </c:ser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auto val="1"/>
        <c:lblOffset val="100"/>
        <c:tickLblSkip val="3"/>
        <c:noMultiLvlLbl val="0"/>
      </c:catAx>
      <c:valAx>
        <c:axId val="6140393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8442"/>
        <c:crossesAt val="1"/>
        <c:crossBetween val="between"/>
        <c:dispUnits/>
        <c:majorUnit val="0.5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0.32225</cdr:y>
    </cdr:from>
    <cdr:to>
      <cdr:x>0.57625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1905000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0.49625</cdr:x>
      <cdr:y>0.53625</cdr:y>
    </cdr:from>
    <cdr:to>
      <cdr:x>0.62825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31813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0.2765</cdr:x>
      <cdr:y>0.65675</cdr:y>
    </cdr:from>
    <cdr:to>
      <cdr:x>0.75575</cdr:x>
      <cdr:y>0.81475</cdr:y>
    </cdr:to>
    <cdr:sp>
      <cdr:nvSpPr>
        <cdr:cNvPr id="3" name="Text 4"/>
        <cdr:cNvSpPr txBox="1">
          <a:spLocks noChangeArrowheads="1"/>
        </cdr:cNvSpPr>
      </cdr:nvSpPr>
      <cdr:spPr>
        <a:xfrm>
          <a:off x="2390775" y="3895725"/>
          <a:ext cx="41624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Source:  EIA. International Energy Annual (2004). Short Term Energy Outlook (2007).
Note:  Production includes crude oil, lease condensate, natural gas liquids, ethanol and refinery gain.</a:t>
          </a:r>
        </a:p>
      </cdr:txBody>
    </cdr:sp>
  </cdr:relSizeAnchor>
  <cdr:relSizeAnchor xmlns:cdr="http://schemas.openxmlformats.org/drawingml/2006/chartDrawing">
    <cdr:from>
      <cdr:x>0.62425</cdr:x>
      <cdr:y>0.411</cdr:y>
    </cdr:from>
    <cdr:to>
      <cdr:x>0.74175</cdr:x>
      <cdr:y>0.4565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243840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Net Exports</a:t>
          </a:r>
        </a:p>
      </cdr:txBody>
    </cdr:sp>
  </cdr:relSizeAnchor>
  <cdr:relSizeAnchor xmlns:cdr="http://schemas.openxmlformats.org/drawingml/2006/chartDrawing">
    <cdr:from>
      <cdr:x>0.642</cdr:x>
      <cdr:y>0.27825</cdr:y>
    </cdr:from>
    <cdr:to>
      <cdr:x>0.642</cdr:x>
      <cdr:y>0.4115</cdr:y>
    </cdr:to>
    <cdr:sp>
      <cdr:nvSpPr>
        <cdr:cNvPr id="5" name="Line 5"/>
        <cdr:cNvSpPr>
          <a:spLocks/>
        </cdr:cNvSpPr>
      </cdr:nvSpPr>
      <cdr:spPr>
        <a:xfrm flipV="1">
          <a:off x="5562600" y="16478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</cdr:x>
      <cdr:y>0.45225</cdr:y>
    </cdr:from>
    <cdr:to>
      <cdr:x>0.642</cdr:x>
      <cdr:y>0.52775</cdr:y>
    </cdr:to>
    <cdr:sp>
      <cdr:nvSpPr>
        <cdr:cNvPr id="6" name="Line 6"/>
        <cdr:cNvSpPr>
          <a:spLocks/>
        </cdr:cNvSpPr>
      </cdr:nvSpPr>
      <cdr:spPr>
        <a:xfrm flipH="1">
          <a:off x="5562600" y="2676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I43" sqref="I43"/>
    </sheetView>
  </sheetViews>
  <sheetFormatPr defaultColWidth="9.140625" defaultRowHeight="12.75"/>
  <cols>
    <col min="2" max="2" width="10.7109375" style="0" customWidth="1"/>
    <col min="3" max="3" width="12.8515625" style="0" bestFit="1" customWidth="1"/>
    <col min="5" max="5" width="10.8515625" style="0" bestFit="1" customWidth="1"/>
    <col min="6" max="6" width="14.8515625" style="0" bestFit="1" customWidth="1"/>
    <col min="8" max="8" width="15.7109375" style="0" customWidth="1"/>
    <col min="10" max="10" width="9.140625" style="129" customWidth="1"/>
  </cols>
  <sheetData>
    <row r="1" ht="12.75">
      <c r="A1" s="1" t="s">
        <v>214</v>
      </c>
    </row>
    <row r="3" spans="2:10" ht="12.75">
      <c r="B3" s="132" t="s">
        <v>0</v>
      </c>
      <c r="C3" s="132" t="s">
        <v>1</v>
      </c>
      <c r="D3" s="1"/>
      <c r="E3" s="132" t="s">
        <v>0</v>
      </c>
      <c r="F3" s="132" t="s">
        <v>1</v>
      </c>
      <c r="J3" s="130"/>
    </row>
    <row r="4" spans="1:6" ht="12.75">
      <c r="A4" s="124" t="s">
        <v>215</v>
      </c>
      <c r="B4" s="125">
        <f>+E4/1000</f>
        <v>2.522</v>
      </c>
      <c r="C4" s="125">
        <f aca="true" t="shared" si="0" ref="C4:C31">+F4/1000</f>
        <v>0.217</v>
      </c>
      <c r="E4" s="133">
        <v>2522</v>
      </c>
      <c r="F4" s="126">
        <f>+B34</f>
        <v>217</v>
      </c>
    </row>
    <row r="5" spans="1:6" ht="12.75">
      <c r="A5" s="124" t="s">
        <v>216</v>
      </c>
      <c r="B5" s="125">
        <f aca="true" t="shared" si="1" ref="B5:B31">+E5/1000</f>
        <v>1.005</v>
      </c>
      <c r="C5" s="125">
        <f t="shared" si="0"/>
        <v>0.214</v>
      </c>
      <c r="E5" s="133">
        <v>1005</v>
      </c>
      <c r="F5" s="126">
        <f>+C34</f>
        <v>214</v>
      </c>
    </row>
    <row r="6" spans="1:6" ht="12.75">
      <c r="A6" s="124" t="s">
        <v>217</v>
      </c>
      <c r="B6" s="125">
        <f t="shared" si="1"/>
        <v>1.017</v>
      </c>
      <c r="C6" s="125">
        <f t="shared" si="0"/>
        <v>0.205</v>
      </c>
      <c r="E6" s="133">
        <v>1017</v>
      </c>
      <c r="F6" s="126">
        <f>+D34</f>
        <v>205</v>
      </c>
    </row>
    <row r="7" spans="1:6" ht="12.75">
      <c r="A7" s="124" t="s">
        <v>218</v>
      </c>
      <c r="B7" s="125">
        <f t="shared" si="1"/>
        <v>1.01</v>
      </c>
      <c r="C7" s="125">
        <f t="shared" si="0"/>
        <v>0.25</v>
      </c>
      <c r="E7" s="133">
        <v>1010</v>
      </c>
      <c r="F7" s="126">
        <f>+E34</f>
        <v>250</v>
      </c>
    </row>
    <row r="8" spans="1:6" ht="12.75">
      <c r="A8" s="124" t="s">
        <v>219</v>
      </c>
      <c r="B8" s="125">
        <f t="shared" si="1"/>
        <v>1.214</v>
      </c>
      <c r="C8" s="125">
        <f t="shared" si="0"/>
        <v>0.24</v>
      </c>
      <c r="E8" s="133">
        <v>1214</v>
      </c>
      <c r="F8" s="126">
        <f>+F34</f>
        <v>240</v>
      </c>
    </row>
    <row r="9" spans="1:6" ht="12.75">
      <c r="A9" s="124" t="s">
        <v>220</v>
      </c>
      <c r="B9" s="125">
        <f t="shared" si="1"/>
        <v>1.443</v>
      </c>
      <c r="C9" s="125">
        <f t="shared" si="0"/>
        <v>0.25830849</v>
      </c>
      <c r="E9" s="133">
        <v>1443</v>
      </c>
      <c r="F9" s="126">
        <f>+G34</f>
        <v>258.30849</v>
      </c>
    </row>
    <row r="10" spans="1:6" ht="12.75">
      <c r="A10" s="124" t="s">
        <v>221</v>
      </c>
      <c r="B10" s="125">
        <f t="shared" si="1"/>
        <v>1.7</v>
      </c>
      <c r="C10" s="125">
        <f t="shared" si="0"/>
        <v>0.279217</v>
      </c>
      <c r="E10" s="133">
        <v>1700</v>
      </c>
      <c r="F10" s="126">
        <f>+H34</f>
        <v>279.217</v>
      </c>
    </row>
    <row r="11" spans="1:6" ht="12.75">
      <c r="A11" s="124" t="s">
        <v>222</v>
      </c>
      <c r="B11" s="125">
        <f t="shared" si="1"/>
        <v>2.089</v>
      </c>
      <c r="C11" s="125">
        <f t="shared" si="0"/>
        <v>0.28503132</v>
      </c>
      <c r="E11" s="133">
        <v>2089</v>
      </c>
      <c r="F11" s="126">
        <f>+I34</f>
        <v>285.03132</v>
      </c>
    </row>
    <row r="12" spans="1:6" ht="12.75">
      <c r="A12" s="124" t="s">
        <v>223</v>
      </c>
      <c r="B12" s="125">
        <f t="shared" si="1"/>
        <v>2.705</v>
      </c>
      <c r="C12" s="125">
        <f t="shared" si="0"/>
        <v>0.3197229</v>
      </c>
      <c r="E12" s="133">
        <v>2705</v>
      </c>
      <c r="F12" s="126">
        <f>+J34</f>
        <v>319.7229</v>
      </c>
    </row>
    <row r="13" spans="1:6" ht="12.75">
      <c r="A13" s="124" t="s">
        <v>224</v>
      </c>
      <c r="B13" s="125">
        <f t="shared" si="1"/>
        <v>2.951</v>
      </c>
      <c r="C13" s="125">
        <f t="shared" si="0"/>
        <v>0.34997</v>
      </c>
      <c r="E13" s="133">
        <v>2951</v>
      </c>
      <c r="F13" s="126">
        <f>+K34</f>
        <v>349.97</v>
      </c>
    </row>
    <row r="14" spans="1:6" ht="12.75">
      <c r="A14" s="124" t="s">
        <v>225</v>
      </c>
      <c r="B14" s="125">
        <f t="shared" si="1"/>
        <v>2.07</v>
      </c>
      <c r="C14" s="125">
        <f t="shared" si="0"/>
        <v>0.4</v>
      </c>
      <c r="E14" s="133">
        <v>2070</v>
      </c>
      <c r="F14" s="126">
        <f>+L34</f>
        <v>400</v>
      </c>
    </row>
    <row r="15" spans="1:6" ht="12.75">
      <c r="A15" s="124" t="s">
        <v>226</v>
      </c>
      <c r="B15" s="125">
        <f t="shared" si="1"/>
        <v>0.305</v>
      </c>
      <c r="C15" s="125">
        <f t="shared" si="0"/>
        <v>0.262802719</v>
      </c>
      <c r="E15" s="133">
        <v>305</v>
      </c>
      <c r="F15" s="126">
        <f>+M34</f>
        <v>262.802719</v>
      </c>
    </row>
    <row r="16" spans="1:6" ht="12.75">
      <c r="A16" s="124" t="s">
        <v>227</v>
      </c>
      <c r="B16" s="125">
        <f t="shared" si="1"/>
        <v>0.4250557</v>
      </c>
      <c r="C16" s="125">
        <f t="shared" si="0"/>
        <v>0.3414372557377049</v>
      </c>
      <c r="E16" s="133">
        <v>425.0557</v>
      </c>
      <c r="F16" s="126">
        <f>+N34</f>
        <v>341.4372557377049</v>
      </c>
    </row>
    <row r="17" spans="1:6" ht="12.75">
      <c r="A17" s="124" t="s">
        <v>228</v>
      </c>
      <c r="B17" s="125">
        <f t="shared" si="1"/>
        <v>0.526699</v>
      </c>
      <c r="C17" s="125">
        <f t="shared" si="0"/>
        <v>0.4091230324383563</v>
      </c>
      <c r="E17" s="133">
        <v>526.6990000000001</v>
      </c>
      <c r="F17" s="126">
        <f>+O34</f>
        <v>409.1230324383563</v>
      </c>
    </row>
    <row r="18" spans="1:6" ht="12.75">
      <c r="A18" s="124" t="s">
        <v>229</v>
      </c>
      <c r="B18" s="125">
        <f t="shared" si="1"/>
        <v>0.572534</v>
      </c>
      <c r="C18" s="125">
        <f t="shared" si="0"/>
        <v>0.45659531506849316</v>
      </c>
      <c r="E18" s="133">
        <v>572.534</v>
      </c>
      <c r="F18" s="126">
        <f>+P34</f>
        <v>456.59531506849316</v>
      </c>
    </row>
    <row r="19" spans="1:6" ht="12.75">
      <c r="A19" s="124" t="s">
        <v>230</v>
      </c>
      <c r="B19" s="125">
        <f t="shared" si="1"/>
        <v>0.585</v>
      </c>
      <c r="C19" s="125">
        <f t="shared" si="0"/>
        <v>0.4741267726027397</v>
      </c>
      <c r="E19" s="133">
        <v>585</v>
      </c>
      <c r="F19" s="126">
        <f>+Q34</f>
        <v>474.1267726027397</v>
      </c>
    </row>
    <row r="20" spans="1:6" ht="12.75">
      <c r="A20" s="124" t="s">
        <v>231</v>
      </c>
      <c r="B20" s="125">
        <f t="shared" si="1"/>
        <v>0.598798</v>
      </c>
      <c r="C20" s="125">
        <f t="shared" si="0"/>
        <v>0.469459781420765</v>
      </c>
      <c r="E20" s="133">
        <v>598.798</v>
      </c>
      <c r="F20" s="126">
        <f>+R34</f>
        <v>469.459781420765</v>
      </c>
    </row>
    <row r="21" spans="1:6" ht="12.75">
      <c r="A21" s="124" t="s">
        <v>232</v>
      </c>
      <c r="B21" s="125">
        <f t="shared" si="1"/>
        <v>1.175</v>
      </c>
      <c r="C21" s="125">
        <f t="shared" si="0"/>
        <v>0.44335238684931505</v>
      </c>
      <c r="E21" s="133">
        <v>1175</v>
      </c>
      <c r="F21" s="126">
        <f>+S34</f>
        <v>443.35238684931505</v>
      </c>
    </row>
    <row r="22" spans="1:6" ht="12.75">
      <c r="A22" s="124" t="s">
        <v>233</v>
      </c>
      <c r="B22" s="125">
        <f t="shared" si="1"/>
        <v>2.165041</v>
      </c>
      <c r="C22" s="125">
        <f t="shared" si="0"/>
        <v>0.447</v>
      </c>
      <c r="E22" s="133">
        <v>2165.041</v>
      </c>
      <c r="F22" s="126">
        <v>447</v>
      </c>
    </row>
    <row r="23" spans="1:6" ht="12.75">
      <c r="A23" s="124" t="s">
        <v>234</v>
      </c>
      <c r="B23" s="125">
        <f t="shared" si="1"/>
        <v>2.522877</v>
      </c>
      <c r="C23" s="125">
        <f t="shared" si="0"/>
        <v>0.451</v>
      </c>
      <c r="E23" s="133">
        <v>2522.877</v>
      </c>
      <c r="F23" s="126">
        <v>451</v>
      </c>
    </row>
    <row r="24" spans="1:6" ht="12.75">
      <c r="A24" s="124" t="s">
        <v>235</v>
      </c>
      <c r="B24" s="125">
        <f t="shared" si="1"/>
        <v>2.585683</v>
      </c>
      <c r="C24" s="125">
        <f t="shared" si="0"/>
        <v>0.462</v>
      </c>
      <c r="E24" s="133">
        <v>2585.683</v>
      </c>
      <c r="F24" s="126">
        <v>462</v>
      </c>
    </row>
    <row r="25" spans="1:6" ht="12.75">
      <c r="A25" s="124" t="s">
        <v>236</v>
      </c>
      <c r="B25" s="125">
        <f t="shared" si="1"/>
        <v>2.41</v>
      </c>
      <c r="C25" s="125">
        <f t="shared" si="0"/>
        <v>0.489</v>
      </c>
      <c r="E25" s="133">
        <v>2410</v>
      </c>
      <c r="F25" s="126">
        <v>489</v>
      </c>
    </row>
    <row r="26" spans="1:6" ht="12.75">
      <c r="A26" s="124" t="s">
        <v>237</v>
      </c>
      <c r="B26" s="125">
        <f t="shared" si="1"/>
        <v>2.043</v>
      </c>
      <c r="C26" s="125">
        <f t="shared" si="0"/>
        <v>0.497</v>
      </c>
      <c r="E26" s="133">
        <v>2043</v>
      </c>
      <c r="F26" s="126">
        <v>497</v>
      </c>
    </row>
    <row r="27" spans="1:6" ht="12.75">
      <c r="A27" s="124" t="s">
        <v>238</v>
      </c>
      <c r="B27" s="125">
        <f t="shared" si="1"/>
        <v>1.320787</v>
      </c>
      <c r="C27" s="125">
        <f t="shared" si="0"/>
        <v>0.435</v>
      </c>
      <c r="E27" s="133">
        <v>1320.787</v>
      </c>
      <c r="F27" s="126">
        <v>435</v>
      </c>
    </row>
    <row r="28" spans="1:6" ht="12.75">
      <c r="A28" s="127">
        <v>2004</v>
      </c>
      <c r="B28" s="125">
        <f t="shared" si="1"/>
        <v>2.02647</v>
      </c>
      <c r="C28" s="125">
        <f t="shared" si="0"/>
        <v>0.55</v>
      </c>
      <c r="E28" s="133">
        <v>2026.47</v>
      </c>
      <c r="F28" s="126">
        <v>550</v>
      </c>
    </row>
    <row r="29" spans="1:6" ht="12.75">
      <c r="A29" s="127">
        <v>2005</v>
      </c>
      <c r="B29" s="125">
        <f t="shared" si="1"/>
        <v>1.889915</v>
      </c>
      <c r="C29" s="125">
        <f t="shared" si="0"/>
        <v>0.54</v>
      </c>
      <c r="E29" s="133">
        <v>1889.915</v>
      </c>
      <c r="F29" s="126">
        <v>540</v>
      </c>
    </row>
    <row r="30" spans="1:6" ht="12.75">
      <c r="A30" s="127">
        <v>2006</v>
      </c>
      <c r="B30" s="125">
        <f t="shared" si="1"/>
        <v>2.00786</v>
      </c>
      <c r="C30" s="125">
        <f t="shared" si="0"/>
        <v>0.565</v>
      </c>
      <c r="E30" s="133">
        <v>2007.86</v>
      </c>
      <c r="F30" s="126">
        <v>565</v>
      </c>
    </row>
    <row r="31" spans="1:6" ht="12.75">
      <c r="A31" t="s">
        <v>239</v>
      </c>
      <c r="B31" s="125">
        <f t="shared" si="1"/>
        <v>2.04941</v>
      </c>
      <c r="C31" s="125">
        <f t="shared" si="0"/>
        <v>0.565</v>
      </c>
      <c r="E31" s="133">
        <v>2049.41</v>
      </c>
      <c r="F31" s="126">
        <v>565</v>
      </c>
    </row>
    <row r="32" spans="5:6" ht="12.75">
      <c r="E32" s="126"/>
      <c r="F32" s="126"/>
    </row>
    <row r="33" spans="2:22" ht="12.75" hidden="1">
      <c r="B33">
        <v>1980</v>
      </c>
      <c r="C33">
        <f aca="true" t="shared" si="2" ref="C33:V33">+B33+1</f>
        <v>1981</v>
      </c>
      <c r="D33">
        <f t="shared" si="2"/>
        <v>1982</v>
      </c>
      <c r="E33">
        <f t="shared" si="2"/>
        <v>1983</v>
      </c>
      <c r="F33">
        <f t="shared" si="2"/>
        <v>1984</v>
      </c>
      <c r="G33">
        <f t="shared" si="2"/>
        <v>1985</v>
      </c>
      <c r="H33">
        <f t="shared" si="2"/>
        <v>1986</v>
      </c>
      <c r="I33">
        <f t="shared" si="2"/>
        <v>1987</v>
      </c>
      <c r="J33" s="129">
        <f t="shared" si="2"/>
        <v>1988</v>
      </c>
      <c r="K33">
        <f t="shared" si="2"/>
        <v>1989</v>
      </c>
      <c r="L33">
        <f t="shared" si="2"/>
        <v>1990</v>
      </c>
      <c r="M33">
        <f t="shared" si="2"/>
        <v>1991</v>
      </c>
      <c r="N33">
        <f t="shared" si="2"/>
        <v>1992</v>
      </c>
      <c r="O33">
        <f t="shared" si="2"/>
        <v>1993</v>
      </c>
      <c r="P33">
        <f t="shared" si="2"/>
        <v>1994</v>
      </c>
      <c r="Q33">
        <f t="shared" si="2"/>
        <v>1995</v>
      </c>
      <c r="R33">
        <f t="shared" si="2"/>
        <v>1996</v>
      </c>
      <c r="S33">
        <f t="shared" si="2"/>
        <v>1997</v>
      </c>
      <c r="T33">
        <f t="shared" si="2"/>
        <v>1998</v>
      </c>
      <c r="U33">
        <f t="shared" si="2"/>
        <v>1999</v>
      </c>
      <c r="V33">
        <f t="shared" si="2"/>
        <v>2000</v>
      </c>
    </row>
    <row r="34" spans="1:22" ht="12.75" hidden="1">
      <c r="A34" t="s">
        <v>240</v>
      </c>
      <c r="B34" s="128">
        <v>217</v>
      </c>
      <c r="C34" s="128">
        <v>214</v>
      </c>
      <c r="D34" s="128">
        <v>205</v>
      </c>
      <c r="E34" s="128">
        <v>250</v>
      </c>
      <c r="F34" s="128">
        <v>240</v>
      </c>
      <c r="G34" s="128">
        <v>258.30849</v>
      </c>
      <c r="H34" s="128">
        <v>279.217</v>
      </c>
      <c r="I34" s="128">
        <v>285.03132</v>
      </c>
      <c r="J34" s="131">
        <v>319.7229</v>
      </c>
      <c r="K34" s="128">
        <v>349.97</v>
      </c>
      <c r="L34" s="128">
        <v>400</v>
      </c>
      <c r="M34" s="128">
        <v>262.802719</v>
      </c>
      <c r="N34" s="128">
        <v>341.4372557377049</v>
      </c>
      <c r="O34" s="128">
        <v>409.1230324383563</v>
      </c>
      <c r="P34" s="128">
        <v>456.59531506849316</v>
      </c>
      <c r="Q34" s="128">
        <v>474.1267726027397</v>
      </c>
      <c r="R34" s="128">
        <v>469.459781420765</v>
      </c>
      <c r="S34" s="128">
        <v>443.35238684931505</v>
      </c>
      <c r="T34" s="128">
        <v>483.65193205479454</v>
      </c>
      <c r="U34" s="128">
        <v>495</v>
      </c>
      <c r="V34" s="128">
        <v>457</v>
      </c>
    </row>
    <row r="35" spans="1:22" ht="12.75" hidden="1">
      <c r="A35" t="s">
        <v>241</v>
      </c>
      <c r="B35" s="128">
        <v>2526</v>
      </c>
      <c r="C35" s="128">
        <v>1009</v>
      </c>
      <c r="D35" s="128">
        <v>1021</v>
      </c>
      <c r="E35" s="128">
        <v>1014</v>
      </c>
      <c r="F35" s="128">
        <v>1218</v>
      </c>
      <c r="G35" s="128">
        <v>1447</v>
      </c>
      <c r="H35" s="128">
        <v>1704</v>
      </c>
      <c r="I35" s="128">
        <v>2093</v>
      </c>
      <c r="J35" s="131">
        <v>2709</v>
      </c>
      <c r="K35" s="128">
        <v>2955</v>
      </c>
      <c r="L35" s="128">
        <v>2074</v>
      </c>
      <c r="M35" s="128">
        <v>305</v>
      </c>
      <c r="N35" s="128">
        <v>426</v>
      </c>
      <c r="O35" s="128">
        <v>528</v>
      </c>
      <c r="P35" s="128">
        <v>574</v>
      </c>
      <c r="Q35" s="128">
        <v>586</v>
      </c>
      <c r="R35" s="128">
        <v>600</v>
      </c>
      <c r="S35" s="128">
        <v>1176</v>
      </c>
      <c r="T35" s="128">
        <v>2166</v>
      </c>
      <c r="U35">
        <v>2524</v>
      </c>
      <c r="V35">
        <v>2590</v>
      </c>
    </row>
  </sheetData>
  <printOptions/>
  <pageMargins left="0.75" right="0.75" top="1" bottom="1" header="0.5" footer="0.5"/>
  <pageSetup horizontalDpi="600" verticalDpi="600" orientation="portrait" scale="57" r:id="rId2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D25"/>
    </sheetView>
  </sheetViews>
  <sheetFormatPr defaultColWidth="9.140625" defaultRowHeight="12.75"/>
  <cols>
    <col min="1" max="1" width="18.421875" style="3" customWidth="1"/>
    <col min="2" max="2" width="20.140625" style="3" customWidth="1"/>
    <col min="3" max="3" width="15.421875" style="0" customWidth="1"/>
    <col min="4" max="4" width="12.28125" style="0" customWidth="1"/>
  </cols>
  <sheetData>
    <row r="1" spans="1:8" s="3" customFormat="1" ht="15.75">
      <c r="A1" s="200" t="s">
        <v>171</v>
      </c>
      <c r="B1" s="201"/>
      <c r="C1" s="201"/>
      <c r="D1" s="202"/>
      <c r="E1" s="62"/>
      <c r="F1" s="62"/>
      <c r="G1" s="62"/>
      <c r="H1" s="62"/>
    </row>
    <row r="2" spans="1:9" s="69" customFormat="1" ht="33.75">
      <c r="A2" s="63"/>
      <c r="B2" s="64" t="s">
        <v>172</v>
      </c>
      <c r="C2" s="64" t="s">
        <v>173</v>
      </c>
      <c r="D2" s="65" t="s">
        <v>174</v>
      </c>
      <c r="E2" s="66"/>
      <c r="F2" s="67"/>
      <c r="G2" s="68"/>
      <c r="H2" s="67"/>
      <c r="I2" s="66"/>
    </row>
    <row r="3" spans="1:9" s="69" customFormat="1" ht="12.75">
      <c r="A3" s="63" t="s">
        <v>175</v>
      </c>
      <c r="B3" s="64" t="s">
        <v>176</v>
      </c>
      <c r="C3" s="64" t="s">
        <v>176</v>
      </c>
      <c r="D3" s="65" t="s">
        <v>177</v>
      </c>
      <c r="E3" s="66"/>
      <c r="F3" s="67"/>
      <c r="G3" s="68"/>
      <c r="H3" s="67"/>
      <c r="I3" s="66"/>
    </row>
    <row r="4" spans="1:4" ht="12.75">
      <c r="A4" s="70" t="s">
        <v>178</v>
      </c>
      <c r="B4" s="113">
        <v>500000</v>
      </c>
      <c r="C4" s="113">
        <v>500000</v>
      </c>
      <c r="D4" s="168">
        <v>10</v>
      </c>
    </row>
    <row r="5" spans="1:4" ht="12.75">
      <c r="A5" s="70" t="s">
        <v>179</v>
      </c>
      <c r="B5" s="113">
        <v>800000</v>
      </c>
      <c r="C5" s="113">
        <v>800000</v>
      </c>
      <c r="D5" s="168">
        <v>7</v>
      </c>
    </row>
    <row r="6" spans="1:4" ht="12.75">
      <c r="A6" s="70" t="s">
        <v>119</v>
      </c>
      <c r="B6" s="113">
        <v>180000</v>
      </c>
      <c r="C6" s="113">
        <v>250000</v>
      </c>
      <c r="D6" s="168" t="s">
        <v>180</v>
      </c>
    </row>
    <row r="7" spans="1:4" ht="12.75">
      <c r="A7" s="70" t="s">
        <v>181</v>
      </c>
      <c r="B7" s="113">
        <v>230000</v>
      </c>
      <c r="C7" s="113">
        <v>230000</v>
      </c>
      <c r="D7" s="168">
        <v>5</v>
      </c>
    </row>
    <row r="8" spans="1:5" ht="22.5">
      <c r="A8" s="71" t="s">
        <v>182</v>
      </c>
      <c r="B8" s="113">
        <v>100000</v>
      </c>
      <c r="C8" s="113">
        <v>100000</v>
      </c>
      <c r="D8" s="168">
        <v>3</v>
      </c>
      <c r="E8" s="72"/>
    </row>
    <row r="9" spans="1:4" ht="12.75">
      <c r="A9" s="70" t="s">
        <v>133</v>
      </c>
      <c r="B9" s="113">
        <v>50000</v>
      </c>
      <c r="C9" s="113">
        <v>50000</v>
      </c>
      <c r="D9" s="168">
        <v>20</v>
      </c>
    </row>
    <row r="10" spans="1:4" ht="12.75">
      <c r="A10" s="70" t="s">
        <v>183</v>
      </c>
      <c r="B10" s="113">
        <v>50000</v>
      </c>
      <c r="C10" s="113">
        <v>50000</v>
      </c>
      <c r="D10" s="168">
        <v>2</v>
      </c>
    </row>
    <row r="11" spans="1:4" s="1" customFormat="1" ht="22.5">
      <c r="A11" s="73" t="s">
        <v>184</v>
      </c>
      <c r="B11" s="74">
        <f>SUM(B4:B10)/1000000</f>
        <v>1.91</v>
      </c>
      <c r="C11" s="74">
        <f>SUM(C4:C10)/1000000</f>
        <v>1.98</v>
      </c>
      <c r="D11" s="75"/>
    </row>
    <row r="12" spans="1:4" ht="12.75">
      <c r="A12" s="63" t="s">
        <v>185</v>
      </c>
      <c r="B12" s="76"/>
      <c r="C12" s="76"/>
      <c r="D12" s="169"/>
    </row>
    <row r="13" spans="1:4" ht="12.75">
      <c r="A13" s="70" t="s">
        <v>186</v>
      </c>
      <c r="B13" s="114" t="s">
        <v>278</v>
      </c>
      <c r="C13" s="114">
        <v>700000</v>
      </c>
      <c r="D13" s="168">
        <v>10</v>
      </c>
    </row>
    <row r="14" spans="1:4" ht="12.75">
      <c r="A14" s="70" t="s">
        <v>187</v>
      </c>
      <c r="B14" s="114" t="s">
        <v>277</v>
      </c>
      <c r="C14" s="114">
        <v>125000</v>
      </c>
      <c r="D14" s="168">
        <v>2</v>
      </c>
    </row>
    <row r="15" spans="1:4" ht="12.75">
      <c r="A15" s="70" t="s">
        <v>188</v>
      </c>
      <c r="B15" s="114" t="s">
        <v>189</v>
      </c>
      <c r="C15" s="114">
        <v>75000</v>
      </c>
      <c r="D15" s="168">
        <v>1</v>
      </c>
    </row>
    <row r="16" spans="1:4" ht="12.75">
      <c r="A16" s="70" t="s">
        <v>190</v>
      </c>
      <c r="B16" s="113" t="s">
        <v>191</v>
      </c>
      <c r="C16" s="114">
        <v>30000</v>
      </c>
      <c r="D16" s="168" t="s">
        <v>192</v>
      </c>
    </row>
    <row r="17" spans="1:4" ht="12.75">
      <c r="A17" s="70" t="s">
        <v>193</v>
      </c>
      <c r="B17" s="113" t="s">
        <v>191</v>
      </c>
      <c r="C17" s="114">
        <v>25000</v>
      </c>
      <c r="D17" s="168" t="s">
        <v>192</v>
      </c>
    </row>
    <row r="18" spans="1:4" ht="12.75">
      <c r="A18" s="70" t="s">
        <v>194</v>
      </c>
      <c r="B18" s="115">
        <v>0</v>
      </c>
      <c r="C18" s="114">
        <v>50000</v>
      </c>
      <c r="D18" s="168">
        <v>8</v>
      </c>
    </row>
    <row r="19" spans="1:4" ht="12.75">
      <c r="A19" s="70" t="s">
        <v>195</v>
      </c>
      <c r="B19" s="113" t="s">
        <v>196</v>
      </c>
      <c r="C19" s="114">
        <v>10000</v>
      </c>
      <c r="D19" s="168" t="s">
        <v>192</v>
      </c>
    </row>
    <row r="20" spans="1:4" ht="12.75">
      <c r="A20" s="70" t="s">
        <v>197</v>
      </c>
      <c r="B20" s="113">
        <v>10000</v>
      </c>
      <c r="C20" s="114">
        <v>10000</v>
      </c>
      <c r="D20" s="168" t="s">
        <v>192</v>
      </c>
    </row>
    <row r="21" spans="1:4" s="1" customFormat="1" ht="22.5">
      <c r="A21" s="73" t="s">
        <v>198</v>
      </c>
      <c r="B21" s="74">
        <v>0.3</v>
      </c>
      <c r="C21" s="74">
        <f>SUM(C13:C20)/1000000</f>
        <v>1.025</v>
      </c>
      <c r="D21" s="75"/>
    </row>
    <row r="22" spans="1:4" s="1" customFormat="1" ht="12.75">
      <c r="A22" s="78" t="s">
        <v>199</v>
      </c>
      <c r="B22" s="79">
        <f>SUM(B11,B21)</f>
        <v>2.21</v>
      </c>
      <c r="C22" s="79">
        <f>SUM(C4:C20)/1000000</f>
        <v>3.00500198</v>
      </c>
      <c r="D22" s="80"/>
    </row>
    <row r="23" spans="1:4" ht="12.75">
      <c r="A23" s="81" t="s">
        <v>200</v>
      </c>
      <c r="B23" s="82"/>
      <c r="C23" s="83"/>
      <c r="D23" s="84"/>
    </row>
    <row r="24" spans="1:4" ht="12.75">
      <c r="A24" s="81" t="s">
        <v>268</v>
      </c>
      <c r="B24" s="85"/>
      <c r="C24" s="86"/>
      <c r="D24" s="87"/>
    </row>
    <row r="25" spans="1:4" ht="12.75">
      <c r="A25" s="203" t="s">
        <v>282</v>
      </c>
      <c r="B25" s="204"/>
      <c r="C25" s="204"/>
      <c r="D25" s="205"/>
    </row>
    <row r="27" ht="12.75">
      <c r="B27" s="88"/>
    </row>
    <row r="28" ht="12.75">
      <c r="B28" s="89"/>
    </row>
    <row r="29" ht="12.75">
      <c r="B29" s="90"/>
    </row>
    <row r="30" ht="12.75">
      <c r="B30" s="88"/>
    </row>
    <row r="33" ht="12.75">
      <c r="B33" s="59"/>
    </row>
  </sheetData>
  <mergeCells count="2">
    <mergeCell ref="A1:D1"/>
    <mergeCell ref="A25:D25"/>
  </mergeCells>
  <printOptions/>
  <pageMargins left="0.75" right="0.75" top="1" bottom="1" header="0.5" footer="0.5"/>
  <pageSetup horizontalDpi="600" verticalDpi="600" orientation="portrait" scale="57" r:id="rId2"/>
  <headerFooter alignWithMargins="0"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10.00390625" style="3" customWidth="1"/>
    <col min="2" max="2" width="12.421875" style="3" customWidth="1"/>
    <col min="3" max="3" width="15.140625" style="3" customWidth="1"/>
    <col min="4" max="4" width="20.421875" style="3" customWidth="1"/>
    <col min="5" max="5" width="7.140625" style="3" customWidth="1"/>
    <col min="6" max="6" width="13.421875" style="3" customWidth="1"/>
    <col min="7" max="7" width="10.57421875" style="61" customWidth="1"/>
    <col min="8" max="8" width="22.00390625" style="60" customWidth="1"/>
    <col min="9" max="16384" width="9.140625" style="3" customWidth="1"/>
  </cols>
  <sheetData>
    <row r="1" spans="1:8" s="19" customFormat="1" ht="12.75">
      <c r="A1" s="210" t="s">
        <v>42</v>
      </c>
      <c r="B1" s="210"/>
      <c r="C1" s="210"/>
      <c r="D1" s="210"/>
      <c r="E1" s="210"/>
      <c r="F1" s="210"/>
      <c r="G1" s="210"/>
      <c r="H1" s="210"/>
    </row>
    <row r="2" spans="1:9" s="20" customFormat="1" ht="33.7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43</v>
      </c>
      <c r="G2" s="6" t="s">
        <v>44</v>
      </c>
      <c r="H2" s="6" t="s">
        <v>11</v>
      </c>
      <c r="I2" s="7"/>
    </row>
    <row r="3" spans="1:9" s="27" customFormat="1" ht="41.25">
      <c r="A3" s="207" t="s">
        <v>45</v>
      </c>
      <c r="B3" s="21" t="s">
        <v>46</v>
      </c>
      <c r="C3" s="215" t="s">
        <v>47</v>
      </c>
      <c r="D3" s="21" t="s">
        <v>48</v>
      </c>
      <c r="E3" s="21" t="s">
        <v>49</v>
      </c>
      <c r="F3" s="23" t="s">
        <v>21</v>
      </c>
      <c r="G3" s="24" t="s">
        <v>21</v>
      </c>
      <c r="H3" s="25" t="s">
        <v>50</v>
      </c>
      <c r="I3" s="26"/>
    </row>
    <row r="4" spans="1:9" s="27" customFormat="1" ht="24.75">
      <c r="A4" s="208"/>
      <c r="B4" s="28" t="s">
        <v>51</v>
      </c>
      <c r="C4" s="213"/>
      <c r="D4" s="28" t="s">
        <v>52</v>
      </c>
      <c r="E4" s="28" t="s">
        <v>53</v>
      </c>
      <c r="F4" s="29" t="s">
        <v>54</v>
      </c>
      <c r="G4" s="29" t="s">
        <v>55</v>
      </c>
      <c r="H4" s="30" t="s">
        <v>56</v>
      </c>
      <c r="I4" s="26"/>
    </row>
    <row r="5" spans="1:9" s="27" customFormat="1" ht="33">
      <c r="A5" s="208"/>
      <c r="B5" s="28" t="s">
        <v>57</v>
      </c>
      <c r="C5" s="29" t="s">
        <v>58</v>
      </c>
      <c r="D5" s="28" t="s">
        <v>59</v>
      </c>
      <c r="E5" s="28" t="s">
        <v>60</v>
      </c>
      <c r="F5" s="28" t="s">
        <v>61</v>
      </c>
      <c r="G5" s="29">
        <v>0.1</v>
      </c>
      <c r="H5" s="31" t="s">
        <v>62</v>
      </c>
      <c r="I5" s="26"/>
    </row>
    <row r="6" spans="1:9" s="27" customFormat="1" ht="33">
      <c r="A6" s="208"/>
      <c r="B6" s="32" t="s">
        <v>63</v>
      </c>
      <c r="C6" s="32" t="s">
        <v>64</v>
      </c>
      <c r="D6" s="32" t="s">
        <v>65</v>
      </c>
      <c r="E6" s="32" t="s">
        <v>49</v>
      </c>
      <c r="F6" s="33" t="s">
        <v>21</v>
      </c>
      <c r="G6" s="34">
        <v>1</v>
      </c>
      <c r="H6" s="35" t="s">
        <v>66</v>
      </c>
      <c r="I6" s="26"/>
    </row>
    <row r="7" spans="1:9" s="27" customFormat="1" ht="33">
      <c r="A7" s="209"/>
      <c r="B7" s="36" t="s">
        <v>67</v>
      </c>
      <c r="C7" s="37" t="s">
        <v>14</v>
      </c>
      <c r="D7" s="36" t="s">
        <v>68</v>
      </c>
      <c r="E7" s="37" t="s">
        <v>69</v>
      </c>
      <c r="F7" s="37" t="s">
        <v>21</v>
      </c>
      <c r="G7" s="38" t="s">
        <v>21</v>
      </c>
      <c r="H7" s="39" t="s">
        <v>70</v>
      </c>
      <c r="I7" s="26"/>
    </row>
    <row r="8" spans="1:9" s="27" customFormat="1" ht="14.25" customHeight="1">
      <c r="A8" s="184" t="s">
        <v>71</v>
      </c>
      <c r="B8" s="40" t="s">
        <v>72</v>
      </c>
      <c r="C8" s="41" t="s">
        <v>73</v>
      </c>
      <c r="D8" s="40" t="s">
        <v>74</v>
      </c>
      <c r="E8" s="41" t="s">
        <v>75</v>
      </c>
      <c r="F8" s="41" t="s">
        <v>21</v>
      </c>
      <c r="G8" s="42" t="s">
        <v>21</v>
      </c>
      <c r="H8" s="43" t="s">
        <v>76</v>
      </c>
      <c r="I8" s="26"/>
    </row>
    <row r="9" spans="1:9" s="27" customFormat="1" ht="16.5">
      <c r="A9" s="182"/>
      <c r="B9" s="44" t="s">
        <v>77</v>
      </c>
      <c r="C9" s="45" t="s">
        <v>78</v>
      </c>
      <c r="D9" s="44" t="s">
        <v>79</v>
      </c>
      <c r="E9" s="44" t="s">
        <v>80</v>
      </c>
      <c r="F9" s="45" t="s">
        <v>21</v>
      </c>
      <c r="G9" s="28" t="s">
        <v>21</v>
      </c>
      <c r="H9" s="46" t="s">
        <v>81</v>
      </c>
      <c r="I9" s="26"/>
    </row>
    <row r="10" spans="1:9" s="27" customFormat="1" ht="16.5">
      <c r="A10" s="182"/>
      <c r="B10" s="28" t="s">
        <v>82</v>
      </c>
      <c r="C10" s="29" t="s">
        <v>83</v>
      </c>
      <c r="D10" s="28" t="s">
        <v>84</v>
      </c>
      <c r="E10" s="28" t="s">
        <v>85</v>
      </c>
      <c r="F10" s="47">
        <v>120000</v>
      </c>
      <c r="G10" s="29">
        <v>0.8</v>
      </c>
      <c r="H10" s="30" t="s">
        <v>86</v>
      </c>
      <c r="I10" s="26"/>
    </row>
    <row r="11" spans="1:9" s="48" customFormat="1" ht="11.25">
      <c r="A11" s="182"/>
      <c r="B11" s="45" t="s">
        <v>87</v>
      </c>
      <c r="C11" s="45" t="s">
        <v>88</v>
      </c>
      <c r="D11" s="45" t="s">
        <v>89</v>
      </c>
      <c r="E11" s="45" t="s">
        <v>90</v>
      </c>
      <c r="F11" s="45" t="s">
        <v>21</v>
      </c>
      <c r="G11" s="29">
        <v>0.2</v>
      </c>
      <c r="H11" s="30" t="s">
        <v>91</v>
      </c>
      <c r="I11" s="27"/>
    </row>
    <row r="12" spans="1:8" s="27" customFormat="1" ht="16.5">
      <c r="A12" s="182"/>
      <c r="B12" s="44" t="s">
        <v>92</v>
      </c>
      <c r="C12" s="45" t="s">
        <v>93</v>
      </c>
      <c r="D12" s="45" t="s">
        <v>94</v>
      </c>
      <c r="E12" s="45" t="s">
        <v>16</v>
      </c>
      <c r="F12" s="45"/>
      <c r="G12" s="29">
        <v>2.5</v>
      </c>
      <c r="H12" s="30" t="s">
        <v>95</v>
      </c>
    </row>
    <row r="13" spans="1:8" s="27" customFormat="1" ht="35.25" customHeight="1">
      <c r="A13" s="182"/>
      <c r="B13" s="28" t="s">
        <v>96</v>
      </c>
      <c r="C13" s="29" t="s">
        <v>97</v>
      </c>
      <c r="D13" s="28" t="s">
        <v>98</v>
      </c>
      <c r="E13" s="29" t="s">
        <v>99</v>
      </c>
      <c r="F13" s="28" t="s">
        <v>21</v>
      </c>
      <c r="G13" s="28">
        <v>0.2</v>
      </c>
      <c r="H13" s="31" t="s">
        <v>100</v>
      </c>
    </row>
    <row r="14" spans="1:8" s="27" customFormat="1" ht="16.5">
      <c r="A14" s="182"/>
      <c r="B14" s="45" t="s">
        <v>101</v>
      </c>
      <c r="C14" s="212" t="s">
        <v>102</v>
      </c>
      <c r="D14" s="44" t="s">
        <v>103</v>
      </c>
      <c r="E14" s="45" t="s">
        <v>104</v>
      </c>
      <c r="F14" s="45" t="s">
        <v>21</v>
      </c>
      <c r="G14" s="29" t="s">
        <v>21</v>
      </c>
      <c r="H14" s="30" t="s">
        <v>105</v>
      </c>
    </row>
    <row r="15" spans="1:9" s="27" customFormat="1" ht="16.5">
      <c r="A15" s="206"/>
      <c r="B15" s="37" t="s">
        <v>106</v>
      </c>
      <c r="C15" s="214"/>
      <c r="D15" s="37" t="s">
        <v>89</v>
      </c>
      <c r="E15" s="37" t="s">
        <v>90</v>
      </c>
      <c r="F15" s="37"/>
      <c r="G15" s="49" t="s">
        <v>21</v>
      </c>
      <c r="H15" s="39" t="s">
        <v>107</v>
      </c>
      <c r="I15" s="48"/>
    </row>
    <row r="16" spans="1:8" s="27" customFormat="1" ht="16.5">
      <c r="A16" s="184" t="s">
        <v>108</v>
      </c>
      <c r="B16" s="24" t="s">
        <v>109</v>
      </c>
      <c r="C16" s="24" t="s">
        <v>110</v>
      </c>
      <c r="D16" s="22" t="s">
        <v>111</v>
      </c>
      <c r="E16" s="24" t="s">
        <v>112</v>
      </c>
      <c r="F16" s="50">
        <v>90000</v>
      </c>
      <c r="G16" s="24">
        <v>1</v>
      </c>
      <c r="H16" s="51" t="s">
        <v>113</v>
      </c>
    </row>
    <row r="17" spans="1:8" s="27" customFormat="1" ht="24.75">
      <c r="A17" s="211"/>
      <c r="B17" s="29" t="s">
        <v>114</v>
      </c>
      <c r="C17" s="29" t="s">
        <v>93</v>
      </c>
      <c r="D17" s="28" t="s">
        <v>115</v>
      </c>
      <c r="E17" s="29" t="s">
        <v>116</v>
      </c>
      <c r="F17" s="47" t="s">
        <v>117</v>
      </c>
      <c r="G17" s="28">
        <v>5</v>
      </c>
      <c r="H17" s="30" t="s">
        <v>118</v>
      </c>
    </row>
    <row r="18" spans="1:8" s="27" customFormat="1" ht="24.75">
      <c r="A18" s="211"/>
      <c r="B18" s="29" t="s">
        <v>119</v>
      </c>
      <c r="C18" s="29" t="s">
        <v>120</v>
      </c>
      <c r="D18" s="28" t="s">
        <v>121</v>
      </c>
      <c r="E18" s="28" t="s">
        <v>122</v>
      </c>
      <c r="F18" s="47" t="s">
        <v>123</v>
      </c>
      <c r="G18" s="29">
        <v>21</v>
      </c>
      <c r="H18" s="31" t="s">
        <v>124</v>
      </c>
    </row>
    <row r="19" spans="1:8" s="27" customFormat="1" ht="11.25">
      <c r="A19" s="211"/>
      <c r="B19" s="44" t="s">
        <v>125</v>
      </c>
      <c r="C19" s="45" t="s">
        <v>93</v>
      </c>
      <c r="D19" s="44" t="s">
        <v>126</v>
      </c>
      <c r="E19" s="45" t="s">
        <v>127</v>
      </c>
      <c r="F19" s="45" t="s">
        <v>128</v>
      </c>
      <c r="G19" s="29">
        <v>0.1</v>
      </c>
      <c r="H19" s="52" t="s">
        <v>129</v>
      </c>
    </row>
    <row r="20" spans="1:8" s="27" customFormat="1" ht="16.5">
      <c r="A20" s="211"/>
      <c r="B20" s="29" t="s">
        <v>130</v>
      </c>
      <c r="C20" s="29" t="s">
        <v>131</v>
      </c>
      <c r="D20" s="44" t="s">
        <v>243</v>
      </c>
      <c r="E20" s="44" t="s">
        <v>244</v>
      </c>
      <c r="F20" s="53" t="s">
        <v>242</v>
      </c>
      <c r="G20" s="29">
        <v>1.9</v>
      </c>
      <c r="H20" s="39"/>
    </row>
    <row r="21" spans="1:8" s="27" customFormat="1" ht="11.25" customHeight="1">
      <c r="A21" s="184" t="s">
        <v>132</v>
      </c>
      <c r="B21" s="23" t="s">
        <v>133</v>
      </c>
      <c r="C21" s="23" t="s">
        <v>134</v>
      </c>
      <c r="D21" s="23" t="s">
        <v>135</v>
      </c>
      <c r="E21" s="23" t="s">
        <v>136</v>
      </c>
      <c r="F21" s="54" t="s">
        <v>137</v>
      </c>
      <c r="G21" s="24">
        <v>12.6</v>
      </c>
      <c r="H21" s="30" t="s">
        <v>283</v>
      </c>
    </row>
    <row r="22" spans="1:8" s="27" customFormat="1" ht="16.5">
      <c r="A22" s="182"/>
      <c r="B22" s="44" t="s">
        <v>138</v>
      </c>
      <c r="C22" s="45" t="s">
        <v>131</v>
      </c>
      <c r="D22" s="45" t="s">
        <v>139</v>
      </c>
      <c r="E22" s="44" t="s">
        <v>140</v>
      </c>
      <c r="F22" s="47">
        <v>440000</v>
      </c>
      <c r="G22" s="29">
        <v>6</v>
      </c>
      <c r="H22" s="30"/>
    </row>
    <row r="23" spans="1:8" s="27" customFormat="1" ht="16.5">
      <c r="A23" s="182"/>
      <c r="B23" s="45" t="s">
        <v>141</v>
      </c>
      <c r="C23" s="212" t="s">
        <v>142</v>
      </c>
      <c r="D23" s="45" t="s">
        <v>143</v>
      </c>
      <c r="E23" s="45" t="s">
        <v>144</v>
      </c>
      <c r="F23" s="47">
        <v>300000</v>
      </c>
      <c r="G23" s="29">
        <v>2.6</v>
      </c>
      <c r="H23" s="30" t="s">
        <v>145</v>
      </c>
    </row>
    <row r="24" spans="1:8" s="27" customFormat="1" ht="21.75" customHeight="1">
      <c r="A24" s="182"/>
      <c r="B24" s="45" t="s">
        <v>146</v>
      </c>
      <c r="C24" s="213"/>
      <c r="D24" s="45" t="s">
        <v>103</v>
      </c>
      <c r="E24" s="45" t="s">
        <v>104</v>
      </c>
      <c r="F24" s="47">
        <v>100000</v>
      </c>
      <c r="G24" s="29">
        <v>0.9</v>
      </c>
      <c r="H24" s="31" t="s">
        <v>147</v>
      </c>
    </row>
    <row r="25" spans="1:8" s="27" customFormat="1" ht="16.5">
      <c r="A25" s="182"/>
      <c r="B25" s="45" t="s">
        <v>148</v>
      </c>
      <c r="C25" s="213"/>
      <c r="D25" s="45" t="s">
        <v>149</v>
      </c>
      <c r="E25" s="45" t="s">
        <v>150</v>
      </c>
      <c r="F25" s="47">
        <v>100000</v>
      </c>
      <c r="G25" s="29">
        <v>0.9</v>
      </c>
      <c r="H25" s="31" t="s">
        <v>151</v>
      </c>
    </row>
    <row r="26" spans="1:8" s="27" customFormat="1" ht="24.75">
      <c r="A26" s="206"/>
      <c r="B26" s="37" t="s">
        <v>152</v>
      </c>
      <c r="C26" s="38" t="s">
        <v>153</v>
      </c>
      <c r="D26" s="37" t="s">
        <v>154</v>
      </c>
      <c r="E26" s="37" t="s">
        <v>155</v>
      </c>
      <c r="F26" s="55" t="s">
        <v>21</v>
      </c>
      <c r="G26" s="49" t="s">
        <v>156</v>
      </c>
      <c r="H26" s="134" t="s">
        <v>157</v>
      </c>
    </row>
    <row r="27" spans="1:9" s="27" customFormat="1" ht="16.5">
      <c r="A27" s="182" t="s">
        <v>158</v>
      </c>
      <c r="B27" s="45" t="s">
        <v>159</v>
      </c>
      <c r="C27" s="44" t="s">
        <v>160</v>
      </c>
      <c r="D27" s="45" t="s">
        <v>161</v>
      </c>
      <c r="E27" s="45" t="s">
        <v>162</v>
      </c>
      <c r="F27" s="44" t="s">
        <v>163</v>
      </c>
      <c r="G27" s="29">
        <v>1.9</v>
      </c>
      <c r="H27" s="56"/>
      <c r="I27" s="57"/>
    </row>
    <row r="28" spans="1:8" s="27" customFormat="1" ht="16.5">
      <c r="A28" s="183"/>
      <c r="B28" s="36" t="s">
        <v>164</v>
      </c>
      <c r="C28" s="37" t="s">
        <v>165</v>
      </c>
      <c r="D28" s="37" t="s">
        <v>166</v>
      </c>
      <c r="E28" s="37" t="s">
        <v>150</v>
      </c>
      <c r="F28" s="36" t="s">
        <v>167</v>
      </c>
      <c r="G28" s="49" t="s">
        <v>21</v>
      </c>
      <c r="H28" s="58"/>
    </row>
    <row r="29" spans="1:8" s="27" customFormat="1" ht="11.25">
      <c r="A29" s="185" t="s">
        <v>168</v>
      </c>
      <c r="B29" s="186"/>
      <c r="C29" s="186"/>
      <c r="D29" s="186"/>
      <c r="E29" s="186"/>
      <c r="F29" s="187"/>
      <c r="G29" s="188"/>
      <c r="H29" s="189"/>
    </row>
    <row r="30" spans="1:8" s="27" customFormat="1" ht="11.25">
      <c r="A30" s="190" t="s">
        <v>169</v>
      </c>
      <c r="B30" s="191"/>
      <c r="C30" s="191"/>
      <c r="D30" s="191"/>
      <c r="E30" s="191"/>
      <c r="F30" s="192"/>
      <c r="G30" s="193"/>
      <c r="H30" s="194"/>
    </row>
    <row r="31" spans="1:8" s="27" customFormat="1" ht="11.25">
      <c r="A31" s="195" t="s">
        <v>170</v>
      </c>
      <c r="B31" s="196"/>
      <c r="C31" s="196"/>
      <c r="D31" s="196"/>
      <c r="E31" s="196"/>
      <c r="F31" s="197"/>
      <c r="G31" s="198"/>
      <c r="H31" s="199"/>
    </row>
  </sheetData>
  <mergeCells count="9">
    <mergeCell ref="A27:A28"/>
    <mergeCell ref="A8:A15"/>
    <mergeCell ref="A3:A7"/>
    <mergeCell ref="A1:H1"/>
    <mergeCell ref="A16:A20"/>
    <mergeCell ref="C23:C25"/>
    <mergeCell ref="C14:C15"/>
    <mergeCell ref="C3:C4"/>
    <mergeCell ref="A21:A26"/>
  </mergeCells>
  <printOptions gridLines="1"/>
  <pageMargins left="0.75" right="0.75" top="1" bottom="1" header="0.5" footer="0.5"/>
  <pageSetup fitToHeight="1" fitToWidth="1" horizontalDpi="600" verticalDpi="600" orientation="portrait" scale="80" r:id="rId2"/>
  <headerFooter alignWithMargins="0">
    <oddFooter>&amp;L&amp;G</oddFooter>
  </headerFooter>
  <rowBreaks count="1" manualBreakCount="1">
    <brk id="26" max="255" man="1"/>
  </rowBreaks>
  <colBreaks count="1" manualBreakCount="1">
    <brk id="9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cols>
    <col min="1" max="1" width="15.00390625" style="0" customWidth="1"/>
    <col min="2" max="2" width="13.140625" style="0" bestFit="1" customWidth="1"/>
    <col min="3" max="3" width="10.8515625" style="0" bestFit="1" customWidth="1"/>
    <col min="4" max="4" width="17.28125" style="136" customWidth="1"/>
  </cols>
  <sheetData>
    <row r="1" spans="1:4" ht="12.75">
      <c r="A1" s="200" t="s">
        <v>247</v>
      </c>
      <c r="B1" s="201"/>
      <c r="C1" s="201"/>
      <c r="D1" s="202"/>
    </row>
    <row r="2" spans="1:4" ht="36.75" customHeight="1">
      <c r="A2" s="63" t="s">
        <v>5</v>
      </c>
      <c r="B2" s="76" t="s">
        <v>249</v>
      </c>
      <c r="C2" s="170" t="s">
        <v>250</v>
      </c>
      <c r="D2" s="171" t="s">
        <v>11</v>
      </c>
    </row>
    <row r="3" spans="1:4" ht="12.75">
      <c r="A3" s="175" t="s">
        <v>186</v>
      </c>
      <c r="B3" s="176" t="s">
        <v>257</v>
      </c>
      <c r="C3" s="180">
        <v>150000</v>
      </c>
      <c r="D3" s="177" t="s">
        <v>279</v>
      </c>
    </row>
    <row r="4" spans="1:4" ht="36.75" customHeight="1">
      <c r="A4" s="175" t="s">
        <v>263</v>
      </c>
      <c r="B4" s="178" t="s">
        <v>252</v>
      </c>
      <c r="C4" s="180">
        <v>250000</v>
      </c>
      <c r="D4" s="179" t="s">
        <v>262</v>
      </c>
    </row>
    <row r="5" spans="1:4" ht="67.5">
      <c r="A5" s="181" t="s">
        <v>265</v>
      </c>
      <c r="B5" s="178" t="s">
        <v>266</v>
      </c>
      <c r="C5" s="180">
        <v>20000</v>
      </c>
      <c r="D5" s="177" t="s">
        <v>255</v>
      </c>
    </row>
    <row r="6" spans="1:4" ht="16.5" customHeight="1">
      <c r="A6" s="175" t="s">
        <v>267</v>
      </c>
      <c r="B6" s="176" t="s">
        <v>251</v>
      </c>
      <c r="C6" s="180">
        <v>300000</v>
      </c>
      <c r="D6" s="177" t="s">
        <v>281</v>
      </c>
    </row>
    <row r="7" spans="1:4" ht="22.5">
      <c r="A7" s="175" t="s">
        <v>259</v>
      </c>
      <c r="B7" s="176" t="s">
        <v>257</v>
      </c>
      <c r="C7" s="180">
        <v>140000</v>
      </c>
      <c r="D7" s="177" t="s">
        <v>261</v>
      </c>
    </row>
    <row r="8" spans="1:4" ht="16.5" customHeight="1">
      <c r="A8" s="181" t="s">
        <v>260</v>
      </c>
      <c r="B8" s="176" t="s">
        <v>257</v>
      </c>
      <c r="C8" s="180">
        <v>70000</v>
      </c>
      <c r="D8" s="177" t="s">
        <v>256</v>
      </c>
    </row>
    <row r="9" spans="1:4" ht="52.5" customHeight="1">
      <c r="A9" s="175" t="s">
        <v>254</v>
      </c>
      <c r="B9" s="176" t="s">
        <v>257</v>
      </c>
      <c r="C9" s="180">
        <v>30000</v>
      </c>
      <c r="D9" s="177" t="s">
        <v>258</v>
      </c>
    </row>
    <row r="10" spans="1:4" ht="22.5">
      <c r="A10" s="175" t="s">
        <v>253</v>
      </c>
      <c r="B10" s="178" t="s">
        <v>264</v>
      </c>
      <c r="C10" s="180">
        <v>150000</v>
      </c>
      <c r="D10" s="177" t="s">
        <v>280</v>
      </c>
    </row>
    <row r="11" spans="1:4" ht="12.75">
      <c r="A11" s="172" t="s">
        <v>248</v>
      </c>
      <c r="B11" s="173"/>
      <c r="C11" s="173"/>
      <c r="D11" s="174"/>
    </row>
  </sheetData>
  <mergeCells count="1">
    <mergeCell ref="A1:D1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9.140625" defaultRowHeight="12.75"/>
  <cols>
    <col min="1" max="1" width="21.28125" style="0" customWidth="1"/>
    <col min="2" max="2" width="4.421875" style="0" bestFit="1" customWidth="1"/>
    <col min="3" max="3" width="6.28125" style="0" bestFit="1" customWidth="1"/>
    <col min="4" max="5" width="6.140625" style="0" bestFit="1" customWidth="1"/>
  </cols>
  <sheetData>
    <row r="1" spans="1:5" ht="12.75">
      <c r="A1" s="200" t="s">
        <v>212</v>
      </c>
      <c r="B1" s="201"/>
      <c r="C1" s="201"/>
      <c r="D1" s="201"/>
      <c r="E1" s="202"/>
    </row>
    <row r="2" spans="1:5" ht="15.75" customHeight="1">
      <c r="A2" s="216" t="s">
        <v>269</v>
      </c>
      <c r="B2" s="217"/>
      <c r="C2" s="217"/>
      <c r="D2" s="217"/>
      <c r="E2" s="218"/>
    </row>
    <row r="3" spans="1:5" s="109" customFormat="1" ht="12.75">
      <c r="A3" s="104"/>
      <c r="B3" s="105">
        <v>2005</v>
      </c>
      <c r="C3" s="106">
        <v>38777</v>
      </c>
      <c r="D3" s="107">
        <v>39052</v>
      </c>
      <c r="E3" s="108">
        <v>39234</v>
      </c>
    </row>
    <row r="4" spans="1:5" ht="12.75">
      <c r="A4" s="70" t="s">
        <v>245</v>
      </c>
      <c r="B4" s="135">
        <f>SUM(20*0.00068*3.785)</f>
        <v>0.05147600000000001</v>
      </c>
      <c r="C4" s="135">
        <f>SUM(100*0.00071*3.785)</f>
        <v>0.26873500000000006</v>
      </c>
      <c r="D4" s="135">
        <f>SUM(250*0.00079*3.785)</f>
        <v>0.7475375000000001</v>
      </c>
      <c r="E4" s="139">
        <f>SUM(400*0.00081*3.785)</f>
        <v>1.22634</v>
      </c>
    </row>
    <row r="5" spans="1:5" ht="22.5">
      <c r="A5" s="71" t="s">
        <v>246</v>
      </c>
      <c r="B5" s="135">
        <f>SUM(50*0.00068*3.785)</f>
        <v>0.12869000000000003</v>
      </c>
      <c r="C5" s="135">
        <f>SUM(250*0.00071*3.785)</f>
        <v>0.6718375</v>
      </c>
      <c r="D5" s="135">
        <f>SUM(350*0.00079*3.785)</f>
        <v>1.0465525000000002</v>
      </c>
      <c r="E5" s="139">
        <f>SUM(450*0.00081*3.785)</f>
        <v>1.3796325</v>
      </c>
    </row>
    <row r="6" spans="1:5" ht="12.75">
      <c r="A6" s="70" t="s">
        <v>211</v>
      </c>
      <c r="B6" s="135">
        <f>SUM(5*0.00068*3.785)</f>
        <v>0.012869000000000002</v>
      </c>
      <c r="C6" s="135">
        <f>SUM(25*0.00071*3.785)</f>
        <v>0.06718375000000001</v>
      </c>
      <c r="D6" s="135">
        <f>SUM(75*0.00079*3.785)</f>
        <v>0.22426125000000002</v>
      </c>
      <c r="E6" s="139">
        <f>SUM(150*0.00081*3.785)</f>
        <v>0.4598775</v>
      </c>
    </row>
    <row r="7" spans="1:5" ht="12.75">
      <c r="A7" s="70" t="s">
        <v>210</v>
      </c>
      <c r="B7" s="135">
        <f>SUM(10*0.00068*3.785)</f>
        <v>0.025738000000000004</v>
      </c>
      <c r="C7" s="135">
        <f>SUM(90*0.00071*3.785)</f>
        <v>0.2418615</v>
      </c>
      <c r="D7" s="135">
        <f>SUM(150*0.00079*3.785)</f>
        <v>0.44852250000000005</v>
      </c>
      <c r="E7" s="139">
        <f>SUM(350*0.00081*3.785)</f>
        <v>1.0730475</v>
      </c>
    </row>
    <row r="8" spans="1:5" ht="12.75">
      <c r="A8" s="110" t="s">
        <v>213</v>
      </c>
      <c r="B8" s="111">
        <f>SUM(250*0.00068)</f>
        <v>0.17</v>
      </c>
      <c r="C8" s="111">
        <f>SUM(600*0.00071)</f>
        <v>0.426</v>
      </c>
      <c r="D8" s="111">
        <f>SUM(1000*0.00081)</f>
        <v>0.8099999999999999</v>
      </c>
      <c r="E8" s="112">
        <f>SUM(3000*0.00081)</f>
        <v>2.4299999999999997</v>
      </c>
    </row>
    <row r="9" spans="1:5" ht="12.75">
      <c r="A9" s="154" t="s">
        <v>270</v>
      </c>
      <c r="B9" s="137"/>
      <c r="C9" s="137"/>
      <c r="D9" s="137"/>
      <c r="E9" s="138"/>
    </row>
    <row r="10" spans="1:5" ht="12.75">
      <c r="A10" s="155" t="s">
        <v>276</v>
      </c>
      <c r="B10" s="152"/>
      <c r="C10" s="152"/>
      <c r="D10" s="152"/>
      <c r="E10" s="153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scale="57" r:id="rId2"/>
  <headerFooter alignWithMargins="0"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M4" sqref="M4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13.140625" style="0" bestFit="1" customWidth="1"/>
    <col min="4" max="4" width="14.00390625" style="0" bestFit="1" customWidth="1"/>
    <col min="5" max="5" width="8.140625" style="0" bestFit="1" customWidth="1"/>
    <col min="6" max="6" width="17.57421875" style="0" customWidth="1"/>
    <col min="7" max="7" width="8.57421875" style="0" bestFit="1" customWidth="1"/>
    <col min="8" max="8" width="10.8515625" style="0" bestFit="1" customWidth="1"/>
    <col min="9" max="9" width="17.7109375" style="0" bestFit="1" customWidth="1"/>
  </cols>
  <sheetData>
    <row r="1" spans="1:9" s="4" customFormat="1" ht="12.75">
      <c r="A1" s="210" t="s">
        <v>2</v>
      </c>
      <c r="B1" s="210"/>
      <c r="C1" s="210"/>
      <c r="D1" s="210"/>
      <c r="E1" s="210"/>
      <c r="F1" s="210"/>
      <c r="G1" s="210"/>
      <c r="H1" s="210"/>
      <c r="I1" s="210"/>
    </row>
    <row r="2" spans="1:9" s="7" customFormat="1" ht="33.7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5" t="s">
        <v>11</v>
      </c>
    </row>
    <row r="3" spans="1:9" s="2" customFormat="1" ht="36">
      <c r="A3" s="219" t="s">
        <v>12</v>
      </c>
      <c r="B3" s="156" t="s">
        <v>13</v>
      </c>
      <c r="C3" s="157" t="s">
        <v>14</v>
      </c>
      <c r="D3" s="158" t="s">
        <v>15</v>
      </c>
      <c r="E3" s="157" t="s">
        <v>16</v>
      </c>
      <c r="F3" s="158" t="s">
        <v>17</v>
      </c>
      <c r="G3" s="159">
        <v>1.4</v>
      </c>
      <c r="H3" s="160" t="s">
        <v>18</v>
      </c>
      <c r="I3" s="161" t="s">
        <v>19</v>
      </c>
    </row>
    <row r="4" spans="1:9" s="2" customFormat="1" ht="47.25" customHeight="1">
      <c r="A4" s="220"/>
      <c r="B4" s="156" t="s">
        <v>20</v>
      </c>
      <c r="C4" s="157" t="s">
        <v>14</v>
      </c>
      <c r="D4" s="158" t="s">
        <v>15</v>
      </c>
      <c r="E4" s="157" t="s">
        <v>16</v>
      </c>
      <c r="F4" s="157" t="s">
        <v>21</v>
      </c>
      <c r="G4" s="159">
        <v>2.2</v>
      </c>
      <c r="H4" s="160" t="s">
        <v>18</v>
      </c>
      <c r="I4" s="162" t="s">
        <v>22</v>
      </c>
    </row>
    <row r="5" spans="1:9" s="2" customFormat="1" ht="54">
      <c r="A5" s="220"/>
      <c r="B5" s="8" t="s">
        <v>23</v>
      </c>
      <c r="C5" s="9" t="s">
        <v>24</v>
      </c>
      <c r="D5" s="9" t="s">
        <v>25</v>
      </c>
      <c r="E5" s="9" t="s">
        <v>26</v>
      </c>
      <c r="F5" s="8" t="s">
        <v>27</v>
      </c>
      <c r="G5" s="10" t="s">
        <v>28</v>
      </c>
      <c r="H5" s="10" t="s">
        <v>29</v>
      </c>
      <c r="I5" s="11" t="s">
        <v>30</v>
      </c>
    </row>
    <row r="6" spans="1:9" s="2" customFormat="1" ht="36">
      <c r="A6" s="219" t="s">
        <v>31</v>
      </c>
      <c r="B6" s="156" t="s">
        <v>32</v>
      </c>
      <c r="C6" s="157" t="s">
        <v>33</v>
      </c>
      <c r="D6" s="158" t="s">
        <v>34</v>
      </c>
      <c r="E6" s="158" t="s">
        <v>35</v>
      </c>
      <c r="F6" s="157" t="s">
        <v>36</v>
      </c>
      <c r="G6" s="159">
        <v>4.1</v>
      </c>
      <c r="H6" s="160" t="s">
        <v>18</v>
      </c>
      <c r="I6" s="162" t="s">
        <v>37</v>
      </c>
    </row>
    <row r="7" spans="1:9" s="2" customFormat="1" ht="18">
      <c r="A7" s="221"/>
      <c r="B7" s="12" t="s">
        <v>38</v>
      </c>
      <c r="C7" s="13" t="s">
        <v>39</v>
      </c>
      <c r="D7" s="13" t="s">
        <v>21</v>
      </c>
      <c r="E7" s="13" t="s">
        <v>21</v>
      </c>
      <c r="F7" s="14" t="s">
        <v>21</v>
      </c>
      <c r="G7" s="15">
        <v>2.1</v>
      </c>
      <c r="H7" s="16" t="s">
        <v>18</v>
      </c>
      <c r="I7" s="17" t="s">
        <v>40</v>
      </c>
    </row>
    <row r="8" spans="1:9" s="18" customFormat="1" ht="9">
      <c r="A8" s="163" t="s">
        <v>41</v>
      </c>
      <c r="B8" s="164"/>
      <c r="C8" s="164"/>
      <c r="D8" s="164"/>
      <c r="E8" s="164"/>
      <c r="F8" s="164"/>
      <c r="G8" s="165"/>
      <c r="H8" s="166"/>
      <c r="I8" s="167"/>
    </row>
  </sheetData>
  <mergeCells count="3">
    <mergeCell ref="A3:A5"/>
    <mergeCell ref="A1:I1"/>
    <mergeCell ref="A6:A7"/>
  </mergeCells>
  <printOptions/>
  <pageMargins left="0.75" right="0.75" top="1" bottom="1" header="0.5" footer="0.5"/>
  <pageSetup fitToHeight="1" fitToWidth="1" horizontalDpi="600" verticalDpi="600" orientation="landscape" r:id="rId2"/>
  <headerFooter alignWithMargins="0"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E10"/>
    </sheetView>
  </sheetViews>
  <sheetFormatPr defaultColWidth="9.140625" defaultRowHeight="12.75"/>
  <cols>
    <col min="1" max="1" width="10.00390625" style="0" customWidth="1"/>
    <col min="2" max="2" width="11.140625" style="0" customWidth="1"/>
    <col min="3" max="3" width="10.28125" style="0" customWidth="1"/>
    <col min="4" max="4" width="8.28125" style="0" customWidth="1"/>
    <col min="5" max="5" width="9.57421875" style="0" customWidth="1"/>
    <col min="6" max="6" width="9.8515625" style="0" customWidth="1"/>
    <col min="7" max="7" width="10.28125" style="0" customWidth="1"/>
    <col min="8" max="8" width="7.57421875" style="0" bestFit="1" customWidth="1"/>
    <col min="9" max="9" width="8.57421875" style="0" bestFit="1" customWidth="1"/>
    <col min="10" max="10" width="9.421875" style="0" customWidth="1"/>
  </cols>
  <sheetData>
    <row r="1" spans="1:10" s="92" customFormat="1" ht="11.25">
      <c r="A1" s="225" t="s">
        <v>201</v>
      </c>
      <c r="B1" s="226"/>
      <c r="C1" s="226"/>
      <c r="D1" s="226"/>
      <c r="E1" s="227"/>
      <c r="F1" s="91"/>
      <c r="G1" s="91"/>
      <c r="H1" s="91"/>
      <c r="I1" s="91"/>
      <c r="J1" s="91"/>
    </row>
    <row r="2" spans="1:5" s="92" customFormat="1" ht="11.25">
      <c r="A2" s="93" t="s">
        <v>202</v>
      </c>
      <c r="B2" s="222">
        <v>2006</v>
      </c>
      <c r="C2" s="223"/>
      <c r="D2" s="223"/>
      <c r="E2" s="224"/>
    </row>
    <row r="3" spans="1:5" s="94" customFormat="1" ht="22.5">
      <c r="A3" s="140" t="s">
        <v>203</v>
      </c>
      <c r="B3" s="141" t="s">
        <v>203</v>
      </c>
      <c r="C3" s="142" t="s">
        <v>204</v>
      </c>
      <c r="D3" s="142" t="s">
        <v>205</v>
      </c>
      <c r="E3" s="143" t="s">
        <v>271</v>
      </c>
    </row>
    <row r="4" spans="1:5" s="95" customFormat="1" ht="11.25">
      <c r="A4" s="147">
        <v>4500</v>
      </c>
      <c r="B4" s="148">
        <v>4063</v>
      </c>
      <c r="C4" s="149">
        <v>4855</v>
      </c>
      <c r="D4" s="150">
        <v>7482</v>
      </c>
      <c r="E4" s="151">
        <v>9299</v>
      </c>
    </row>
    <row r="5" spans="1:10" s="95" customFormat="1" ht="11.25">
      <c r="A5" s="222" t="s">
        <v>206</v>
      </c>
      <c r="B5" s="223"/>
      <c r="C5" s="223"/>
      <c r="D5" s="224"/>
      <c r="E5" s="96" t="s">
        <v>207</v>
      </c>
      <c r="F5" s="97"/>
      <c r="G5" s="97"/>
      <c r="H5" s="98"/>
      <c r="I5" s="99"/>
      <c r="J5" s="97"/>
    </row>
    <row r="6" spans="1:10" s="26" customFormat="1" ht="33.75">
      <c r="A6" s="140" t="s">
        <v>203</v>
      </c>
      <c r="B6" s="140" t="s">
        <v>274</v>
      </c>
      <c r="C6" s="140" t="s">
        <v>205</v>
      </c>
      <c r="D6" s="144" t="s">
        <v>208</v>
      </c>
      <c r="E6" s="145" t="s">
        <v>209</v>
      </c>
      <c r="F6" s="77"/>
      <c r="G6" s="77"/>
      <c r="H6" s="100"/>
      <c r="I6" s="101"/>
      <c r="J6" s="77"/>
    </row>
    <row r="7" spans="1:10" s="95" customFormat="1" ht="11.25">
      <c r="A7" s="150">
        <v>3832</v>
      </c>
      <c r="B7" s="150">
        <v>4159</v>
      </c>
      <c r="C7" s="150">
        <v>8533</v>
      </c>
      <c r="D7" s="146">
        <v>8893</v>
      </c>
      <c r="E7" s="151">
        <v>6000</v>
      </c>
      <c r="F7" s="97"/>
      <c r="G7" s="97"/>
      <c r="H7" s="98"/>
      <c r="I7" s="99"/>
      <c r="J7" s="97"/>
    </row>
    <row r="8" spans="1:5" s="102" customFormat="1" ht="11.25">
      <c r="A8" s="116" t="s">
        <v>272</v>
      </c>
      <c r="B8" s="117"/>
      <c r="C8" s="117"/>
      <c r="D8" s="117"/>
      <c r="E8" s="118"/>
    </row>
    <row r="9" spans="1:5" s="102" customFormat="1" ht="11.25">
      <c r="A9" s="119" t="s">
        <v>275</v>
      </c>
      <c r="B9" s="120"/>
      <c r="C9" s="120"/>
      <c r="D9" s="120"/>
      <c r="E9" s="84"/>
    </row>
    <row r="10" spans="1:5" ht="12.75">
      <c r="A10" s="121" t="s">
        <v>273</v>
      </c>
      <c r="B10" s="122"/>
      <c r="C10" s="122"/>
      <c r="D10" s="122"/>
      <c r="E10" s="123"/>
    </row>
    <row r="12" ht="12.75">
      <c r="J12" s="103"/>
    </row>
  </sheetData>
  <mergeCells count="3">
    <mergeCell ref="A5:D5"/>
    <mergeCell ref="B2:E2"/>
    <mergeCell ref="A1:E1"/>
  </mergeCells>
  <printOptions/>
  <pageMargins left="0.75" right="0.75" top="1" bottom="1" header="0.5" footer="0.5"/>
  <pageSetup horizontalDpi="600" verticalDpi="600" orientation="portrait" scale="57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Nicole</dc:creator>
  <cp:keywords/>
  <dc:description/>
  <cp:lastModifiedBy>Kreil, Erik</cp:lastModifiedBy>
  <cp:lastPrinted>2007-07-31T15:30:08Z</cp:lastPrinted>
  <dcterms:created xsi:type="dcterms:W3CDTF">2007-06-27T19:31:08Z</dcterms:created>
  <dcterms:modified xsi:type="dcterms:W3CDTF">2007-08-14T18:05:10Z</dcterms:modified>
  <cp:category/>
  <cp:version/>
  <cp:contentType/>
  <cp:contentStatus/>
</cp:coreProperties>
</file>