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border">'Sheet1'!$A$1:$W$7</definedName>
    <definedName name="_xlnm.Print_Area" localSheetId="0">'Sheet1'!$A$1:$W$106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<sst xmlns="http://schemas.openxmlformats.org/spreadsheetml/2006/main" count="98" uniqueCount="69">
  <si>
    <t>OFFICE OF PERSONNEL MANAGEMENT</t>
  </si>
  <si>
    <t>(dollar amounts in thousands)</t>
  </si>
  <si>
    <t xml:space="preserve">         Trust Funds</t>
  </si>
  <si>
    <t xml:space="preserve">  Salaries &amp; Expenses</t>
  </si>
  <si>
    <t xml:space="preserve">        Advances &amp;</t>
  </si>
  <si>
    <t xml:space="preserve">     Reimbursements</t>
  </si>
  <si>
    <t xml:space="preserve">     Revolving Fund</t>
  </si>
  <si>
    <t xml:space="preserve">             Total</t>
  </si>
  <si>
    <t xml:space="preserve">     Goal 1 - Strategic Compensation</t>
  </si>
  <si>
    <t xml:space="preserve">     Goal 2 - Retention/Policy</t>
  </si>
  <si>
    <t xml:space="preserve">     Goal 3 - Technical Assistance</t>
  </si>
  <si>
    <t>$</t>
  </si>
  <si>
    <t>FTE</t>
  </si>
  <si>
    <t xml:space="preserve">     Goal 1 - Suitability</t>
  </si>
  <si>
    <t xml:space="preserve">     Goal 2 - Investigative Policy</t>
  </si>
  <si>
    <t xml:space="preserve">     Goal 3 - Security Program Evaluations</t>
  </si>
  <si>
    <t>Investigations Service:</t>
  </si>
  <si>
    <t>Workforce Comp. &amp; Perf. Service:</t>
  </si>
  <si>
    <t xml:space="preserve">     Goal 4 - Admin. of Current Systems</t>
  </si>
  <si>
    <t>Merit Sys. Oversight &amp; Effectiveness:</t>
  </si>
  <si>
    <t>RESOURCE SUMMARY BY PROGRAM GOAL</t>
  </si>
  <si>
    <t xml:space="preserve">     Goal 1 - Improve HRM Effectiveness</t>
  </si>
  <si>
    <t xml:space="preserve">     Goal 2 - Improve HRM Policies &amp; Programs</t>
  </si>
  <si>
    <t xml:space="preserve">     Goal 4 - Agcy Adherence to MSPs</t>
  </si>
  <si>
    <t xml:space="preserve">     Goal 3 - Follow MSPs</t>
  </si>
  <si>
    <t xml:space="preserve">     Goal 5 - CPDF</t>
  </si>
  <si>
    <t xml:space="preserve">     Goal 6 - Voting Rights</t>
  </si>
  <si>
    <t xml:space="preserve">     Goal 1 - Work/Life, Wellness, HRD</t>
  </si>
  <si>
    <t xml:space="preserve">     Goal 2 - Intervention</t>
  </si>
  <si>
    <t xml:space="preserve">     Goal 1 - SES Study/Retain Executives</t>
  </si>
  <si>
    <t xml:space="preserve">     Goal 2 - Manage Executive Performance</t>
  </si>
  <si>
    <t xml:space="preserve">     Goal 3 - Exec Pers Sys Adhere to MP</t>
  </si>
  <si>
    <t xml:space="preserve">     Goal 4 - Develop SES Ldrship Skills</t>
  </si>
  <si>
    <t xml:space="preserve">     Goal 5 - Exec Res Allocation Program</t>
  </si>
  <si>
    <t xml:space="preserve">     Goal 6 - Cont Learning &amp; Vol Mobility</t>
  </si>
  <si>
    <t>Executive Resources:</t>
  </si>
  <si>
    <t xml:space="preserve">     Goal 4 - Maintain Quality of Invest.</t>
  </si>
  <si>
    <t>Employment Service:</t>
  </si>
  <si>
    <t xml:space="preserve">     Goal 6 - DOD Testing/ASVAB</t>
  </si>
  <si>
    <t xml:space="preserve">     Goal 5 - Human Resource Expertise</t>
  </si>
  <si>
    <t xml:space="preserve">     Goal 5 - Advice/Assistance on HRM</t>
  </si>
  <si>
    <t xml:space="preserve">     Goal 4 - TMA/Technical Assistance</t>
  </si>
  <si>
    <t xml:space="preserve">     Goal 7 - Leadrshp &amp; Mgmt Trng</t>
  </si>
  <si>
    <t>Workforce Relations:</t>
  </si>
  <si>
    <t>Administrative Services:</t>
  </si>
  <si>
    <t>Retirement &amp; Insurance Service:</t>
  </si>
  <si>
    <t xml:space="preserve">     Goal 3 - Benefits Counseling</t>
  </si>
  <si>
    <t xml:space="preserve">     Goal 7 - Prevent Fraud/Abuse in FEHBP</t>
  </si>
  <si>
    <t xml:space="preserve">     Goal 6 - Long Term Care</t>
  </si>
  <si>
    <t xml:space="preserve">     Goal 5 - Provide Quality Insurance Products</t>
  </si>
  <si>
    <t xml:space="preserve">     Goal 4 - Retirement Sys Modernization</t>
  </si>
  <si>
    <t xml:space="preserve">     Goal 2 - Reduce Processing Times</t>
  </si>
  <si>
    <t xml:space="preserve">     Goal 1 - Enhance FEHBP</t>
  </si>
  <si>
    <t xml:space="preserve">     Goal 1 - Staffing Solutions</t>
  </si>
  <si>
    <t xml:space="preserve">     Goal 2 - Competitive Examining</t>
  </si>
  <si>
    <t xml:space="preserve">     Goal 4 - Staffing Advice &amp; Assistance</t>
  </si>
  <si>
    <t xml:space="preserve">     Goal 3 - Assistance w/Special Requests</t>
  </si>
  <si>
    <t xml:space="preserve">     OHREEO</t>
  </si>
  <si>
    <t xml:space="preserve">          HR-DN</t>
  </si>
  <si>
    <t xml:space="preserve">          E-Gov</t>
  </si>
  <si>
    <t xml:space="preserve">          IT Services</t>
  </si>
  <si>
    <t xml:space="preserve">     OCAS</t>
  </si>
  <si>
    <t xml:space="preserve">     OCIO:</t>
  </si>
  <si>
    <t>Executive &amp; Other Services</t>
  </si>
  <si>
    <t>Sub-Total</t>
  </si>
  <si>
    <t>Less Internal A&amp;R</t>
  </si>
  <si>
    <t>Grand Total</t>
  </si>
  <si>
    <t>Inspector General</t>
  </si>
  <si>
    <t>FY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</si>
</sst>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1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1" fillId="0" borderId="0" xfId="0" applyNumberFormat="1" applyFont="1" applyBorder="1" applyAlignment="1" quotePrefix="1">
      <alignment horizontal="center"/>
    </xf>
    <xf numFmtId="165" fontId="0" fillId="0" borderId="0" xfId="15" applyNumberForma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workbookViewId="0" topLeftCell="A1">
      <selection activeCell="A1" sqref="A1"/>
    </sheetView>
  </sheetViews>
  <sheetFormatPr defaultColWidth="9.140625" defaultRowHeight="12.75"/>
  <cols>
    <col min="5" max="5" width="8.7109375" style="0" customWidth="1"/>
    <col min="6" max="6" width="1.7109375" style="0" customWidth="1"/>
    <col min="7" max="7" width="8.7109375" style="0" customWidth="1"/>
    <col min="8" max="8" width="2.7109375" style="0" customWidth="1"/>
    <col min="10" max="10" width="1.7109375" style="0" customWidth="1"/>
    <col min="12" max="12" width="2.7109375" style="0" customWidth="1"/>
    <col min="14" max="14" width="1.7109375" style="0" customWidth="1"/>
    <col min="16" max="16" width="2.7109375" style="0" customWidth="1"/>
    <col min="18" max="18" width="1.7109375" style="0" customWidth="1"/>
    <col min="20" max="20" width="2.7109375" style="0" customWidth="1"/>
    <col min="22" max="22" width="1.7109375" style="0" customWidth="1"/>
  </cols>
  <sheetData>
    <row r="1" spans="1:23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9" t="s">
        <v>68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0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ht="12.75">
      <c r="A7" s="1"/>
    </row>
    <row r="9" ht="12.75">
      <c r="M9" t="s">
        <v>4</v>
      </c>
    </row>
    <row r="10" spans="5:23" ht="12.75">
      <c r="E10" s="2" t="s">
        <v>3</v>
      </c>
      <c r="F10" s="2"/>
      <c r="G10" s="2"/>
      <c r="I10" s="2" t="s">
        <v>2</v>
      </c>
      <c r="J10" s="2"/>
      <c r="K10" s="2"/>
      <c r="M10" s="2" t="s">
        <v>5</v>
      </c>
      <c r="N10" s="2"/>
      <c r="O10" s="2"/>
      <c r="Q10" s="2" t="s">
        <v>6</v>
      </c>
      <c r="R10" s="2"/>
      <c r="S10" s="2"/>
      <c r="U10" s="2" t="s">
        <v>7</v>
      </c>
      <c r="V10" s="2"/>
      <c r="W10" s="2"/>
    </row>
    <row r="11" spans="5:7" ht="12.75">
      <c r="E11" s="3"/>
      <c r="F11" s="3"/>
      <c r="G11" s="3"/>
    </row>
    <row r="12" spans="5:23" ht="12.75">
      <c r="E12" s="7" t="s">
        <v>11</v>
      </c>
      <c r="F12" s="3"/>
      <c r="G12" s="8" t="s">
        <v>12</v>
      </c>
      <c r="I12" s="7" t="s">
        <v>11</v>
      </c>
      <c r="J12" s="3"/>
      <c r="K12" s="8" t="s">
        <v>12</v>
      </c>
      <c r="M12" s="7" t="s">
        <v>11</v>
      </c>
      <c r="N12" s="3"/>
      <c r="O12" s="8" t="s">
        <v>12</v>
      </c>
      <c r="Q12" s="7" t="s">
        <v>11</v>
      </c>
      <c r="R12" s="3"/>
      <c r="S12" s="8" t="s">
        <v>12</v>
      </c>
      <c r="U12" s="7" t="s">
        <v>11</v>
      </c>
      <c r="V12" s="3"/>
      <c r="W12" s="8" t="s">
        <v>12</v>
      </c>
    </row>
    <row r="13" spans="5:23" ht="12.75">
      <c r="E13" s="5"/>
      <c r="F13" s="3"/>
      <c r="G13" s="6"/>
      <c r="I13" s="5"/>
      <c r="J13" s="3"/>
      <c r="K13" s="6"/>
      <c r="M13" s="5"/>
      <c r="N13" s="3"/>
      <c r="O13" s="6"/>
      <c r="Q13" s="5"/>
      <c r="R13" s="3"/>
      <c r="S13" s="6"/>
      <c r="U13" s="5"/>
      <c r="V13" s="3"/>
      <c r="W13" s="6"/>
    </row>
    <row r="14" spans="1:23" ht="12.75">
      <c r="A14" s="11" t="s">
        <v>66</v>
      </c>
      <c r="E14" s="18">
        <f>+E98+E100</f>
        <v>130234</v>
      </c>
      <c r="F14" s="3"/>
      <c r="G14" s="18">
        <f>+G98+G100</f>
        <v>817</v>
      </c>
      <c r="I14" s="18">
        <f>+I98+I100</f>
        <v>156120</v>
      </c>
      <c r="J14" s="3"/>
      <c r="K14" s="18">
        <f>+K98+K100</f>
        <v>1317</v>
      </c>
      <c r="M14" s="18">
        <f>+M98+M100</f>
        <v>2390</v>
      </c>
      <c r="N14" s="3"/>
      <c r="O14" s="18">
        <f>+O98+O100</f>
        <v>142</v>
      </c>
      <c r="Q14" s="18">
        <f>+Q98+Q100</f>
        <v>353496</v>
      </c>
      <c r="R14" s="3"/>
      <c r="S14" s="18">
        <f>+S98+S100</f>
        <v>669</v>
      </c>
      <c r="U14" s="18">
        <f>+U98+U100</f>
        <v>642240</v>
      </c>
      <c r="V14" s="3"/>
      <c r="W14" s="18">
        <f>+W98+W100</f>
        <v>2945</v>
      </c>
    </row>
    <row r="16" spans="1:23" ht="12.75">
      <c r="A16" s="11" t="s">
        <v>19</v>
      </c>
      <c r="B16" s="11"/>
      <c r="C16" s="11"/>
      <c r="D16" s="11"/>
      <c r="E16" s="12">
        <f>SUM(E17:E22)</f>
        <v>21463</v>
      </c>
      <c r="F16" s="13"/>
      <c r="G16" s="12">
        <f>SUM(G17:G22)</f>
        <v>214</v>
      </c>
      <c r="H16" s="4"/>
      <c r="I16" s="12">
        <f>SUM(I17:I22)</f>
        <v>0</v>
      </c>
      <c r="J16" s="13"/>
      <c r="K16" s="12">
        <f>SUM(K17:K22)</f>
        <v>0</v>
      </c>
      <c r="L16" s="4"/>
      <c r="M16" s="12">
        <f>SUM(M17:M22)</f>
        <v>0</v>
      </c>
      <c r="N16" s="13"/>
      <c r="O16" s="12">
        <f>SUM(O17:O22)</f>
        <v>0</v>
      </c>
      <c r="P16" s="4"/>
      <c r="Q16" s="12">
        <f>SUM(Q17:Q22)</f>
        <v>0</v>
      </c>
      <c r="R16" s="13"/>
      <c r="S16" s="12">
        <f>SUM(S17:S22)</f>
        <v>0</v>
      </c>
      <c r="T16" s="4"/>
      <c r="U16" s="12">
        <f>SUM(U17:U22)</f>
        <v>21463</v>
      </c>
      <c r="V16" s="13"/>
      <c r="W16" s="12">
        <f>SUM(W17:W22)</f>
        <v>214</v>
      </c>
    </row>
    <row r="17" spans="1:23" ht="12.75">
      <c r="A17" t="s">
        <v>21</v>
      </c>
      <c r="E17" s="4">
        <v>1486</v>
      </c>
      <c r="F17" s="4"/>
      <c r="G17" s="4">
        <v>17</v>
      </c>
      <c r="H17" s="4"/>
      <c r="I17" s="4">
        <v>0</v>
      </c>
      <c r="J17" s="4"/>
      <c r="K17" s="4">
        <v>0</v>
      </c>
      <c r="L17" s="4"/>
      <c r="M17" s="4">
        <v>0</v>
      </c>
      <c r="N17" s="4"/>
      <c r="O17" s="4">
        <v>0</v>
      </c>
      <c r="P17" s="4"/>
      <c r="Q17" s="4">
        <v>0</v>
      </c>
      <c r="R17" s="4"/>
      <c r="S17" s="4">
        <v>0</v>
      </c>
      <c r="T17" s="4"/>
      <c r="U17" s="4">
        <f aca="true" t="shared" si="0" ref="U17:U22">+E17+I17+M17+Q17</f>
        <v>1486</v>
      </c>
      <c r="V17" s="4"/>
      <c r="W17" s="4">
        <f aca="true" t="shared" si="1" ref="W17:W22">+G17+K17+O17+S17</f>
        <v>17</v>
      </c>
    </row>
    <row r="18" spans="1:23" ht="12.75">
      <c r="A18" t="s">
        <v>22</v>
      </c>
      <c r="E18" s="4">
        <v>3308</v>
      </c>
      <c r="F18" s="4"/>
      <c r="G18" s="4">
        <v>27</v>
      </c>
      <c r="H18" s="4"/>
      <c r="I18" s="4">
        <v>0</v>
      </c>
      <c r="J18" s="4"/>
      <c r="K18" s="4">
        <v>0</v>
      </c>
      <c r="L18" s="4"/>
      <c r="M18" s="4">
        <v>0</v>
      </c>
      <c r="N18" s="4"/>
      <c r="O18" s="4">
        <v>0</v>
      </c>
      <c r="P18" s="4"/>
      <c r="Q18" s="4">
        <v>0</v>
      </c>
      <c r="R18" s="4"/>
      <c r="S18" s="4">
        <v>0</v>
      </c>
      <c r="T18" s="4"/>
      <c r="U18" s="4">
        <f t="shared" si="0"/>
        <v>3308</v>
      </c>
      <c r="V18" s="4"/>
      <c r="W18" s="4">
        <f t="shared" si="1"/>
        <v>27</v>
      </c>
    </row>
    <row r="19" spans="1:23" ht="12.75">
      <c r="A19" t="s">
        <v>24</v>
      </c>
      <c r="E19" s="4">
        <v>12725</v>
      </c>
      <c r="F19" s="4"/>
      <c r="G19" s="4">
        <v>118</v>
      </c>
      <c r="H19" s="4"/>
      <c r="I19" s="4">
        <v>0</v>
      </c>
      <c r="J19" s="4"/>
      <c r="K19" s="4">
        <v>0</v>
      </c>
      <c r="L19" s="4"/>
      <c r="M19" s="4">
        <v>0</v>
      </c>
      <c r="N19" s="4"/>
      <c r="O19" s="4">
        <v>0</v>
      </c>
      <c r="P19" s="4"/>
      <c r="Q19" s="4">
        <v>0</v>
      </c>
      <c r="R19" s="4"/>
      <c r="S19" s="4">
        <v>0</v>
      </c>
      <c r="T19" s="4"/>
      <c r="U19" s="4">
        <f t="shared" si="0"/>
        <v>12725</v>
      </c>
      <c r="V19" s="4"/>
      <c r="W19" s="4">
        <f t="shared" si="1"/>
        <v>118</v>
      </c>
    </row>
    <row r="20" spans="1:23" ht="12.75">
      <c r="A20" t="s">
        <v>23</v>
      </c>
      <c r="E20" s="4">
        <v>1258</v>
      </c>
      <c r="F20" s="4"/>
      <c r="G20" s="4">
        <v>10</v>
      </c>
      <c r="H20" s="4"/>
      <c r="I20" s="4">
        <v>0</v>
      </c>
      <c r="J20" s="4"/>
      <c r="K20" s="4">
        <v>0</v>
      </c>
      <c r="L20" s="4"/>
      <c r="M20" s="4">
        <v>0</v>
      </c>
      <c r="N20" s="4"/>
      <c r="O20" s="4">
        <v>0</v>
      </c>
      <c r="P20" s="4"/>
      <c r="Q20" s="4">
        <v>0</v>
      </c>
      <c r="R20" s="4"/>
      <c r="S20" s="4">
        <v>0</v>
      </c>
      <c r="T20" s="4"/>
      <c r="U20" s="4">
        <f t="shared" si="0"/>
        <v>1258</v>
      </c>
      <c r="V20" s="4"/>
      <c r="W20" s="4">
        <f t="shared" si="1"/>
        <v>10</v>
      </c>
    </row>
    <row r="21" spans="1:23" ht="12.75">
      <c r="A21" t="s">
        <v>25</v>
      </c>
      <c r="E21" s="4">
        <v>2423</v>
      </c>
      <c r="F21" s="4"/>
      <c r="G21" s="4">
        <v>37</v>
      </c>
      <c r="H21" s="4"/>
      <c r="I21" s="4">
        <v>0</v>
      </c>
      <c r="J21" s="4"/>
      <c r="K21" s="4">
        <v>0</v>
      </c>
      <c r="L21" s="4"/>
      <c r="M21" s="4">
        <v>0</v>
      </c>
      <c r="N21" s="4"/>
      <c r="O21" s="4">
        <v>0</v>
      </c>
      <c r="P21" s="4"/>
      <c r="Q21" s="4">
        <v>0</v>
      </c>
      <c r="R21" s="4"/>
      <c r="S21" s="4">
        <v>0</v>
      </c>
      <c r="T21" s="4"/>
      <c r="U21" s="4">
        <f t="shared" si="0"/>
        <v>2423</v>
      </c>
      <c r="V21" s="4"/>
      <c r="W21" s="4">
        <f t="shared" si="1"/>
        <v>37</v>
      </c>
    </row>
    <row r="22" spans="1:23" ht="12.75">
      <c r="A22" t="s">
        <v>26</v>
      </c>
      <c r="E22" s="4">
        <v>263</v>
      </c>
      <c r="F22" s="4"/>
      <c r="G22" s="4">
        <v>5</v>
      </c>
      <c r="H22" s="4"/>
      <c r="I22" s="4">
        <v>0</v>
      </c>
      <c r="J22" s="4"/>
      <c r="K22" s="4">
        <v>0</v>
      </c>
      <c r="L22" s="4"/>
      <c r="M22" s="4">
        <v>0</v>
      </c>
      <c r="N22" s="4"/>
      <c r="O22" s="4">
        <v>0</v>
      </c>
      <c r="P22" s="4"/>
      <c r="Q22" s="4">
        <v>0</v>
      </c>
      <c r="R22" s="4"/>
      <c r="S22" s="4">
        <v>0</v>
      </c>
      <c r="T22" s="4"/>
      <c r="U22" s="4">
        <f t="shared" si="0"/>
        <v>263</v>
      </c>
      <c r="V22" s="4"/>
      <c r="W22" s="4">
        <f t="shared" si="1"/>
        <v>5</v>
      </c>
    </row>
    <row r="23" spans="5:23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11" t="s">
        <v>37</v>
      </c>
      <c r="E24" s="12">
        <f>SUM(E25:E30)</f>
        <v>26779</v>
      </c>
      <c r="F24" s="13"/>
      <c r="G24" s="12">
        <f>SUM(G25:G30)</f>
        <v>191</v>
      </c>
      <c r="H24" s="4"/>
      <c r="I24" s="12">
        <f>SUM(I25:I30)</f>
        <v>0</v>
      </c>
      <c r="J24" s="13"/>
      <c r="K24" s="12">
        <f>SUM(K25:K30)</f>
        <v>0</v>
      </c>
      <c r="L24" s="4"/>
      <c r="M24" s="12">
        <f>SUM(M25:M30)</f>
        <v>0</v>
      </c>
      <c r="N24" s="13"/>
      <c r="O24" s="12">
        <f>SUM(O25:O30)</f>
        <v>0</v>
      </c>
      <c r="P24" s="4"/>
      <c r="Q24" s="12">
        <f>SUM(Q25:Q30)</f>
        <v>47323</v>
      </c>
      <c r="R24" s="13"/>
      <c r="S24" s="12">
        <f>SUM(S25:S30)</f>
        <v>511</v>
      </c>
      <c r="T24" s="4"/>
      <c r="U24" s="12">
        <f>SUM(U25:U30)</f>
        <v>74102</v>
      </c>
      <c r="V24" s="13"/>
      <c r="W24" s="12">
        <f>SUM(W25:W30)</f>
        <v>702</v>
      </c>
    </row>
    <row r="25" spans="1:23" ht="12.75">
      <c r="A25" t="s">
        <v>53</v>
      </c>
      <c r="E25" s="4">
        <v>19585</v>
      </c>
      <c r="F25" s="4"/>
      <c r="G25" s="4">
        <v>141</v>
      </c>
      <c r="H25" s="4"/>
      <c r="I25" s="4">
        <v>0</v>
      </c>
      <c r="J25" s="4"/>
      <c r="K25" s="4">
        <v>0</v>
      </c>
      <c r="L25" s="4"/>
      <c r="M25" s="4">
        <v>0</v>
      </c>
      <c r="N25" s="4"/>
      <c r="O25" s="4">
        <v>0</v>
      </c>
      <c r="P25" s="4"/>
      <c r="Q25" s="4">
        <v>0</v>
      </c>
      <c r="R25" s="4"/>
      <c r="S25" s="4">
        <v>0</v>
      </c>
      <c r="T25" s="4"/>
      <c r="U25" s="4">
        <f aca="true" t="shared" si="2" ref="U25:U30">+E25+I25+M25+Q25</f>
        <v>19585</v>
      </c>
      <c r="V25" s="4"/>
      <c r="W25" s="4">
        <f aca="true" t="shared" si="3" ref="W25:W30">+G25+K25+O25+S25</f>
        <v>141</v>
      </c>
    </row>
    <row r="26" spans="1:23" ht="12.75">
      <c r="A26" t="s">
        <v>54</v>
      </c>
      <c r="E26" s="4">
        <v>1200</v>
      </c>
      <c r="F26" s="4"/>
      <c r="G26" s="4">
        <v>9</v>
      </c>
      <c r="H26" s="4"/>
      <c r="I26" s="4">
        <v>0</v>
      </c>
      <c r="J26" s="4"/>
      <c r="K26" s="4">
        <v>0</v>
      </c>
      <c r="L26" s="4"/>
      <c r="M26" s="4">
        <v>0</v>
      </c>
      <c r="N26" s="4"/>
      <c r="O26" s="4">
        <v>0</v>
      </c>
      <c r="P26" s="4"/>
      <c r="Q26" s="4">
        <v>0</v>
      </c>
      <c r="R26" s="4"/>
      <c r="S26" s="4">
        <v>0</v>
      </c>
      <c r="T26" s="4"/>
      <c r="U26" s="4">
        <f t="shared" si="2"/>
        <v>1200</v>
      </c>
      <c r="V26" s="4"/>
      <c r="W26" s="4">
        <f t="shared" si="3"/>
        <v>9</v>
      </c>
    </row>
    <row r="27" spans="1:23" ht="12.75">
      <c r="A27" t="s">
        <v>56</v>
      </c>
      <c r="E27" s="4">
        <v>1140</v>
      </c>
      <c r="F27" s="4"/>
      <c r="G27" s="4">
        <v>8</v>
      </c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>
        <v>0</v>
      </c>
      <c r="P27" s="4"/>
      <c r="Q27" s="4">
        <v>0</v>
      </c>
      <c r="R27" s="4"/>
      <c r="S27" s="4">
        <v>0</v>
      </c>
      <c r="T27" s="4"/>
      <c r="U27" s="4">
        <f t="shared" si="2"/>
        <v>1140</v>
      </c>
      <c r="V27" s="4"/>
      <c r="W27" s="4">
        <f t="shared" si="3"/>
        <v>8</v>
      </c>
    </row>
    <row r="28" spans="1:23" ht="12.75">
      <c r="A28" t="s">
        <v>55</v>
      </c>
      <c r="E28" s="4">
        <v>4854</v>
      </c>
      <c r="F28" s="4"/>
      <c r="G28" s="4">
        <v>33</v>
      </c>
      <c r="H28" s="4"/>
      <c r="I28" s="4">
        <v>0</v>
      </c>
      <c r="J28" s="4"/>
      <c r="K28" s="4">
        <v>0</v>
      </c>
      <c r="L28" s="4"/>
      <c r="M28" s="4">
        <v>0</v>
      </c>
      <c r="N28" s="4"/>
      <c r="O28" s="4">
        <v>0</v>
      </c>
      <c r="P28" s="4"/>
      <c r="Q28" s="4">
        <v>0</v>
      </c>
      <c r="R28" s="4"/>
      <c r="S28" s="4">
        <v>0</v>
      </c>
      <c r="T28" s="4"/>
      <c r="U28" s="4">
        <f t="shared" si="2"/>
        <v>4854</v>
      </c>
      <c r="V28" s="4"/>
      <c r="W28" s="4">
        <f t="shared" si="3"/>
        <v>33</v>
      </c>
    </row>
    <row r="29" spans="1:23" ht="12.75">
      <c r="A29" t="s">
        <v>39</v>
      </c>
      <c r="E29" s="4">
        <v>0</v>
      </c>
      <c r="F29" s="4"/>
      <c r="G29" s="4">
        <v>0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0</v>
      </c>
      <c r="P29" s="4"/>
      <c r="Q29" s="4">
        <v>38965</v>
      </c>
      <c r="R29" s="4"/>
      <c r="S29" s="4">
        <v>354</v>
      </c>
      <c r="T29" s="4"/>
      <c r="U29" s="4">
        <f t="shared" si="2"/>
        <v>38965</v>
      </c>
      <c r="V29" s="4"/>
      <c r="W29" s="4">
        <f t="shared" si="3"/>
        <v>354</v>
      </c>
    </row>
    <row r="30" spans="1:23" ht="12.75">
      <c r="A30" t="s">
        <v>38</v>
      </c>
      <c r="E30" s="4">
        <v>0</v>
      </c>
      <c r="F30" s="4"/>
      <c r="G30" s="4">
        <v>0</v>
      </c>
      <c r="H30" s="4"/>
      <c r="I30" s="4">
        <v>0</v>
      </c>
      <c r="J30" s="4"/>
      <c r="K30" s="4">
        <v>0</v>
      </c>
      <c r="L30" s="4"/>
      <c r="M30" s="4">
        <v>0</v>
      </c>
      <c r="N30" s="4"/>
      <c r="O30" s="4">
        <v>0</v>
      </c>
      <c r="P30" s="4"/>
      <c r="Q30" s="4">
        <v>8358</v>
      </c>
      <c r="R30" s="4"/>
      <c r="S30" s="4">
        <v>157</v>
      </c>
      <c r="T30" s="4"/>
      <c r="U30" s="4">
        <f t="shared" si="2"/>
        <v>8358</v>
      </c>
      <c r="V30" s="4"/>
      <c r="W30" s="4">
        <f t="shared" si="3"/>
        <v>157</v>
      </c>
    </row>
    <row r="31" spans="5:23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11" t="s">
        <v>45</v>
      </c>
      <c r="E32" s="12">
        <f>SUM(E33:E39)</f>
        <v>0</v>
      </c>
      <c r="F32" s="13"/>
      <c r="G32" s="12">
        <f>SUM(G33:G39)</f>
        <v>0</v>
      </c>
      <c r="H32" s="4"/>
      <c r="I32" s="12">
        <f>SUM(I33:I39)</f>
        <v>133406</v>
      </c>
      <c r="J32" s="13"/>
      <c r="K32" s="12">
        <f>SUM(K33:K39)</f>
        <v>1162</v>
      </c>
      <c r="L32" s="4"/>
      <c r="M32" s="12">
        <f>SUM(M33:M39)</f>
        <v>930</v>
      </c>
      <c r="N32" s="13"/>
      <c r="O32" s="12">
        <f>SUM(O33:O39)</f>
        <v>5</v>
      </c>
      <c r="P32" s="4"/>
      <c r="Q32" s="12">
        <f>SUM(Q33:Q39)</f>
        <v>0</v>
      </c>
      <c r="R32" s="13"/>
      <c r="S32" s="12">
        <f>SUM(S33:S39)</f>
        <v>0</v>
      </c>
      <c r="T32" s="4"/>
      <c r="U32" s="12">
        <f>SUM(U33:U39)</f>
        <v>134336</v>
      </c>
      <c r="V32" s="13"/>
      <c r="W32" s="12">
        <f>SUM(W33:W39)</f>
        <v>1167</v>
      </c>
    </row>
    <row r="33" spans="1:23" ht="12.75">
      <c r="A33" t="s">
        <v>52</v>
      </c>
      <c r="E33" s="4">
        <v>0</v>
      </c>
      <c r="F33" s="4"/>
      <c r="G33" s="4">
        <v>0</v>
      </c>
      <c r="H33" s="4"/>
      <c r="I33" s="4">
        <v>7824</v>
      </c>
      <c r="J33" s="4"/>
      <c r="K33" s="4">
        <v>54</v>
      </c>
      <c r="L33" s="4"/>
      <c r="M33" s="4">
        <v>0</v>
      </c>
      <c r="N33" s="4"/>
      <c r="O33" s="4">
        <v>0</v>
      </c>
      <c r="P33" s="4"/>
      <c r="Q33" s="4">
        <v>0</v>
      </c>
      <c r="R33" s="4"/>
      <c r="S33" s="4">
        <v>0</v>
      </c>
      <c r="T33" s="4"/>
      <c r="U33" s="4">
        <f aca="true" t="shared" si="4" ref="U33:U39">+E33+I33+M33+Q33</f>
        <v>7824</v>
      </c>
      <c r="V33" s="4"/>
      <c r="W33" s="4">
        <f aca="true" t="shared" si="5" ref="W33:W39">+G33+K33+O33+S33</f>
        <v>54</v>
      </c>
    </row>
    <row r="34" spans="1:23" ht="12.75">
      <c r="A34" t="s">
        <v>51</v>
      </c>
      <c r="E34" s="4">
        <v>0</v>
      </c>
      <c r="F34" s="4"/>
      <c r="G34" s="4">
        <v>0</v>
      </c>
      <c r="H34" s="4"/>
      <c r="I34" s="4">
        <v>59842</v>
      </c>
      <c r="J34" s="4"/>
      <c r="K34" s="4">
        <v>813</v>
      </c>
      <c r="L34" s="4"/>
      <c r="M34" s="4">
        <v>0</v>
      </c>
      <c r="N34" s="4"/>
      <c r="O34" s="4">
        <v>0</v>
      </c>
      <c r="P34" s="4"/>
      <c r="Q34" s="4">
        <v>0</v>
      </c>
      <c r="R34" s="4"/>
      <c r="S34" s="4">
        <v>0</v>
      </c>
      <c r="T34" s="4"/>
      <c r="U34" s="4">
        <f t="shared" si="4"/>
        <v>59842</v>
      </c>
      <c r="V34" s="4"/>
      <c r="W34" s="4">
        <f t="shared" si="5"/>
        <v>813</v>
      </c>
    </row>
    <row r="35" spans="1:23" ht="12.75">
      <c r="A35" t="s">
        <v>46</v>
      </c>
      <c r="E35" s="4">
        <v>0</v>
      </c>
      <c r="F35" s="4"/>
      <c r="G35" s="4">
        <v>0</v>
      </c>
      <c r="H35" s="4"/>
      <c r="I35" s="4">
        <v>1304</v>
      </c>
      <c r="J35" s="4"/>
      <c r="K35" s="4">
        <v>16</v>
      </c>
      <c r="L35" s="4"/>
      <c r="M35" s="4">
        <v>930</v>
      </c>
      <c r="N35" s="4"/>
      <c r="O35" s="4">
        <v>5</v>
      </c>
      <c r="P35" s="4"/>
      <c r="Q35" s="4">
        <v>0</v>
      </c>
      <c r="R35" s="4"/>
      <c r="S35" s="4">
        <v>0</v>
      </c>
      <c r="T35" s="4"/>
      <c r="U35" s="4">
        <f t="shared" si="4"/>
        <v>2234</v>
      </c>
      <c r="V35" s="4"/>
      <c r="W35" s="4">
        <f t="shared" si="5"/>
        <v>21</v>
      </c>
    </row>
    <row r="36" spans="1:23" ht="12.75">
      <c r="A36" t="s">
        <v>50</v>
      </c>
      <c r="E36" s="4">
        <v>0</v>
      </c>
      <c r="F36" s="4"/>
      <c r="G36" s="4">
        <v>0</v>
      </c>
      <c r="H36" s="4"/>
      <c r="I36" s="4">
        <v>27640</v>
      </c>
      <c r="J36" s="4"/>
      <c r="K36" s="4">
        <v>8</v>
      </c>
      <c r="L36" s="4"/>
      <c r="M36" s="4">
        <v>0</v>
      </c>
      <c r="N36" s="4"/>
      <c r="O36" s="4">
        <v>0</v>
      </c>
      <c r="P36" s="4"/>
      <c r="Q36" s="4">
        <v>0</v>
      </c>
      <c r="R36" s="4"/>
      <c r="S36" s="4">
        <v>0</v>
      </c>
      <c r="T36" s="4"/>
      <c r="U36" s="4">
        <f t="shared" si="4"/>
        <v>27640</v>
      </c>
      <c r="V36" s="4"/>
      <c r="W36" s="4">
        <f t="shared" si="5"/>
        <v>8</v>
      </c>
    </row>
    <row r="37" spans="1:23" ht="12.75">
      <c r="A37" t="s">
        <v>49</v>
      </c>
      <c r="E37" s="4">
        <v>0</v>
      </c>
      <c r="F37" s="4"/>
      <c r="G37" s="4">
        <v>0</v>
      </c>
      <c r="H37" s="4"/>
      <c r="I37" s="4">
        <v>10062</v>
      </c>
      <c r="J37" s="4"/>
      <c r="K37" s="4">
        <v>81</v>
      </c>
      <c r="L37" s="4"/>
      <c r="M37" s="4">
        <v>0</v>
      </c>
      <c r="N37" s="4"/>
      <c r="O37" s="4">
        <v>0</v>
      </c>
      <c r="P37" s="4"/>
      <c r="Q37" s="4">
        <v>0</v>
      </c>
      <c r="R37" s="4"/>
      <c r="S37" s="4">
        <v>0</v>
      </c>
      <c r="T37" s="4"/>
      <c r="U37" s="4">
        <f t="shared" si="4"/>
        <v>10062</v>
      </c>
      <c r="V37" s="4"/>
      <c r="W37" s="4">
        <f t="shared" si="5"/>
        <v>81</v>
      </c>
    </row>
    <row r="38" spans="1:23" ht="12.75">
      <c r="A38" t="s">
        <v>48</v>
      </c>
      <c r="E38" s="4">
        <v>0</v>
      </c>
      <c r="F38" s="4"/>
      <c r="G38" s="4">
        <v>0</v>
      </c>
      <c r="H38" s="4"/>
      <c r="I38" s="4">
        <v>1000</v>
      </c>
      <c r="J38" s="4"/>
      <c r="K38" s="4">
        <v>7</v>
      </c>
      <c r="L38" s="4"/>
      <c r="M38" s="4">
        <v>0</v>
      </c>
      <c r="N38" s="4"/>
      <c r="O38" s="4">
        <v>0</v>
      </c>
      <c r="P38" s="4"/>
      <c r="Q38" s="4">
        <v>0</v>
      </c>
      <c r="R38" s="4"/>
      <c r="S38" s="4">
        <v>0</v>
      </c>
      <c r="T38" s="4"/>
      <c r="U38" s="4">
        <f t="shared" si="4"/>
        <v>1000</v>
      </c>
      <c r="V38" s="4"/>
      <c r="W38" s="4">
        <f t="shared" si="5"/>
        <v>7</v>
      </c>
    </row>
    <row r="39" spans="1:23" ht="12.75">
      <c r="A39" t="s">
        <v>47</v>
      </c>
      <c r="E39" s="4">
        <v>0</v>
      </c>
      <c r="F39" s="4"/>
      <c r="G39" s="4">
        <v>0</v>
      </c>
      <c r="H39" s="4"/>
      <c r="I39" s="4">
        <v>25734</v>
      </c>
      <c r="J39" s="4"/>
      <c r="K39" s="4">
        <v>183</v>
      </c>
      <c r="L39" s="4"/>
      <c r="M39" s="4">
        <v>0</v>
      </c>
      <c r="N39" s="4"/>
      <c r="O39" s="4">
        <v>0</v>
      </c>
      <c r="P39" s="4"/>
      <c r="Q39" s="4">
        <v>0</v>
      </c>
      <c r="R39" s="4"/>
      <c r="S39" s="4">
        <v>0</v>
      </c>
      <c r="T39" s="4"/>
      <c r="U39" s="4">
        <f t="shared" si="4"/>
        <v>25734</v>
      </c>
      <c r="V39" s="4"/>
      <c r="W39" s="4">
        <f t="shared" si="5"/>
        <v>183</v>
      </c>
    </row>
    <row r="40" spans="5:23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1" t="s">
        <v>17</v>
      </c>
      <c r="B41" s="11"/>
      <c r="C41" s="11"/>
      <c r="D41" s="11"/>
      <c r="E41" s="12">
        <f>SUM(E42:E46)</f>
        <v>8342</v>
      </c>
      <c r="F41" s="13"/>
      <c r="G41" s="12">
        <f>SUM(G42:G46)</f>
        <v>78</v>
      </c>
      <c r="H41" s="13"/>
      <c r="I41" s="12">
        <f>SUM(I42:I46)</f>
        <v>0</v>
      </c>
      <c r="J41" s="13"/>
      <c r="K41" s="12">
        <f>SUM(K42:K46)</f>
        <v>0</v>
      </c>
      <c r="L41" s="13"/>
      <c r="M41" s="12">
        <f>SUM(M42:M46)</f>
        <v>300</v>
      </c>
      <c r="N41" s="13"/>
      <c r="O41" s="12">
        <f>SUM(O42:O46)</f>
        <v>3</v>
      </c>
      <c r="P41" s="13"/>
      <c r="Q41" s="12">
        <f>SUM(Q42:Q46)</f>
        <v>0</v>
      </c>
      <c r="R41" s="13"/>
      <c r="S41" s="12">
        <f>SUM(S42:S46)</f>
        <v>0</v>
      </c>
      <c r="T41" s="13"/>
      <c r="U41" s="12">
        <f>SUM(U42:U46)</f>
        <v>8642</v>
      </c>
      <c r="V41" s="13"/>
      <c r="W41" s="12">
        <f>SUM(W42:W46)</f>
        <v>81</v>
      </c>
    </row>
    <row r="42" spans="1:23" ht="12.75">
      <c r="A42" t="s">
        <v>8</v>
      </c>
      <c r="E42" s="4">
        <f>ROUND(8342*0.1617,0)</f>
        <v>1349</v>
      </c>
      <c r="F42" s="4"/>
      <c r="G42" s="4">
        <v>13</v>
      </c>
      <c r="H42" s="4"/>
      <c r="I42" s="4">
        <v>0</v>
      </c>
      <c r="J42" s="4"/>
      <c r="K42" s="4">
        <v>0</v>
      </c>
      <c r="L42" s="4"/>
      <c r="M42" s="4">
        <v>0</v>
      </c>
      <c r="N42" s="4"/>
      <c r="O42" s="4">
        <v>0</v>
      </c>
      <c r="P42" s="4"/>
      <c r="Q42" s="4">
        <v>0</v>
      </c>
      <c r="R42" s="4"/>
      <c r="S42" s="4">
        <v>0</v>
      </c>
      <c r="T42" s="4"/>
      <c r="U42" s="4">
        <f>+E42+I42+M42+Q42</f>
        <v>1349</v>
      </c>
      <c r="V42" s="4"/>
      <c r="W42" s="4">
        <f>+G42+K42+O42+S42</f>
        <v>13</v>
      </c>
    </row>
    <row r="43" spans="1:23" ht="12.75">
      <c r="A43" t="s">
        <v>9</v>
      </c>
      <c r="E43" s="4">
        <f>ROUND(8342*0.249,0)-6</f>
        <v>2071</v>
      </c>
      <c r="F43" s="4"/>
      <c r="G43" s="4">
        <v>19</v>
      </c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>
        <v>0</v>
      </c>
      <c r="P43" s="4"/>
      <c r="Q43" s="4">
        <v>0</v>
      </c>
      <c r="R43" s="4"/>
      <c r="S43" s="4">
        <v>0</v>
      </c>
      <c r="T43" s="4"/>
      <c r="U43" s="4">
        <f>+E43+I43+M43+Q43</f>
        <v>2071</v>
      </c>
      <c r="V43" s="4"/>
      <c r="W43" s="4">
        <f>+G43+K43+O43+S43</f>
        <v>19</v>
      </c>
    </row>
    <row r="44" spans="1:23" ht="12.75">
      <c r="A44" t="s">
        <v>10</v>
      </c>
      <c r="E44" s="4">
        <f>ROUND(8342*0.1951,0)</f>
        <v>1628</v>
      </c>
      <c r="F44" s="4"/>
      <c r="G44" s="4">
        <v>15</v>
      </c>
      <c r="H44" s="4"/>
      <c r="I44" s="4">
        <v>0</v>
      </c>
      <c r="J44" s="4"/>
      <c r="K44" s="4">
        <v>0</v>
      </c>
      <c r="L44" s="4"/>
      <c r="M44" s="4">
        <v>0</v>
      </c>
      <c r="N44" s="4"/>
      <c r="O44" s="4">
        <v>0</v>
      </c>
      <c r="P44" s="4"/>
      <c r="Q44" s="4">
        <v>0</v>
      </c>
      <c r="R44" s="4"/>
      <c r="S44" s="4">
        <v>0</v>
      </c>
      <c r="T44" s="4"/>
      <c r="U44" s="4">
        <f>+E44+I44+M44+Q44</f>
        <v>1628</v>
      </c>
      <c r="V44" s="4"/>
      <c r="W44" s="4">
        <f>+G44+K44+O44+S44</f>
        <v>15</v>
      </c>
    </row>
    <row r="45" spans="1:23" ht="12.75">
      <c r="A45" t="s">
        <v>18</v>
      </c>
      <c r="E45" s="4">
        <f>ROUND(8342*0.3942,0)+6</f>
        <v>3294</v>
      </c>
      <c r="F45" s="4"/>
      <c r="G45" s="4">
        <v>31</v>
      </c>
      <c r="H45" s="4"/>
      <c r="I45" s="4">
        <v>0</v>
      </c>
      <c r="J45" s="4"/>
      <c r="K45" s="4">
        <v>0</v>
      </c>
      <c r="L45" s="4"/>
      <c r="M45" s="4">
        <v>0</v>
      </c>
      <c r="N45" s="4"/>
      <c r="O45" s="4">
        <v>0</v>
      </c>
      <c r="P45" s="4"/>
      <c r="Q45" s="4">
        <v>0</v>
      </c>
      <c r="R45" s="4"/>
      <c r="S45" s="4">
        <v>0</v>
      </c>
      <c r="T45" s="4"/>
      <c r="U45" s="4">
        <f>+E45+I45+M45+Q45</f>
        <v>3294</v>
      </c>
      <c r="V45" s="4"/>
      <c r="W45" s="4">
        <f>+G45+K45+O45+S45</f>
        <v>31</v>
      </c>
    </row>
    <row r="46" spans="1:23" ht="12.75">
      <c r="A46" t="s">
        <v>40</v>
      </c>
      <c r="E46" s="4">
        <v>0</v>
      </c>
      <c r="F46" s="4"/>
      <c r="G46" s="4">
        <v>0</v>
      </c>
      <c r="H46" s="4"/>
      <c r="I46" s="4">
        <v>0</v>
      </c>
      <c r="J46" s="4"/>
      <c r="K46" s="4">
        <v>0</v>
      </c>
      <c r="L46" s="4"/>
      <c r="M46" s="4">
        <v>300</v>
      </c>
      <c r="N46" s="4"/>
      <c r="O46" s="4">
        <v>3</v>
      </c>
      <c r="P46" s="4"/>
      <c r="Q46" s="4">
        <v>0</v>
      </c>
      <c r="R46" s="4"/>
      <c r="S46" s="4">
        <v>0</v>
      </c>
      <c r="T46" s="4"/>
      <c r="U46" s="4">
        <f>+E46+I46+M46+Q46</f>
        <v>300</v>
      </c>
      <c r="V46" s="4"/>
      <c r="W46" s="4">
        <f>+G46+K46+O46+S46</f>
        <v>3</v>
      </c>
    </row>
    <row r="47" spans="5:23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5:23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5:23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5:23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5:23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5:23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9">
        <v>23</v>
      </c>
      <c r="B53" s="9"/>
      <c r="C53" s="9"/>
      <c r="D53" s="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.75">
      <c r="A54" s="9" t="s">
        <v>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9" t="s">
        <v>20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2.75">
      <c r="A57" s="9" t="s">
        <v>68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2.75">
      <c r="A58" s="10" t="s">
        <v>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60" ht="12.75">
      <c r="M60" t="s">
        <v>4</v>
      </c>
    </row>
    <row r="61" spans="5:23" ht="12.75">
      <c r="E61" s="2" t="s">
        <v>3</v>
      </c>
      <c r="F61" s="2"/>
      <c r="G61" s="2"/>
      <c r="I61" s="2" t="s">
        <v>2</v>
      </c>
      <c r="J61" s="2"/>
      <c r="K61" s="2"/>
      <c r="M61" s="2" t="s">
        <v>5</v>
      </c>
      <c r="N61" s="2"/>
      <c r="O61" s="2"/>
      <c r="Q61" s="2" t="s">
        <v>6</v>
      </c>
      <c r="R61" s="2"/>
      <c r="S61" s="2"/>
      <c r="U61" s="2" t="s">
        <v>7</v>
      </c>
      <c r="V61" s="2"/>
      <c r="W61" s="2"/>
    </row>
    <row r="62" spans="5:7" ht="12.75">
      <c r="E62" s="3"/>
      <c r="F62" s="3"/>
      <c r="G62" s="3"/>
    </row>
    <row r="63" spans="5:23" ht="12.75">
      <c r="E63" s="7" t="s">
        <v>11</v>
      </c>
      <c r="F63" s="3"/>
      <c r="G63" s="8" t="s">
        <v>12</v>
      </c>
      <c r="I63" s="7" t="s">
        <v>11</v>
      </c>
      <c r="J63" s="3"/>
      <c r="K63" s="8" t="s">
        <v>12</v>
      </c>
      <c r="M63" s="7" t="s">
        <v>11</v>
      </c>
      <c r="N63" s="3"/>
      <c r="O63" s="8" t="s">
        <v>12</v>
      </c>
      <c r="Q63" s="7" t="s">
        <v>11</v>
      </c>
      <c r="R63" s="3"/>
      <c r="S63" s="8" t="s">
        <v>12</v>
      </c>
      <c r="U63" s="7" t="s">
        <v>11</v>
      </c>
      <c r="V63" s="3"/>
      <c r="W63" s="8" t="s">
        <v>12</v>
      </c>
    </row>
    <row r="64" spans="5:23" ht="12.75">
      <c r="E64" s="5"/>
      <c r="F64" s="3"/>
      <c r="G64" s="6"/>
      <c r="I64" s="5"/>
      <c r="J64" s="3"/>
      <c r="K64" s="6"/>
      <c r="M64" s="5"/>
      <c r="N64" s="3"/>
      <c r="O64" s="6"/>
      <c r="Q64" s="5"/>
      <c r="R64" s="3"/>
      <c r="S64" s="6"/>
      <c r="U64" s="5"/>
      <c r="V64" s="3"/>
      <c r="W64" s="6"/>
    </row>
    <row r="65" spans="1:23" ht="12.75">
      <c r="A65" s="11" t="s">
        <v>16</v>
      </c>
      <c r="B65" s="11"/>
      <c r="C65" s="11"/>
      <c r="D65" s="11"/>
      <c r="E65" s="12">
        <f>SUM(E66:E69)</f>
        <v>3251</v>
      </c>
      <c r="F65" s="13"/>
      <c r="G65" s="12">
        <f>SUM(G66:G69)</f>
        <v>39</v>
      </c>
      <c r="H65" s="4"/>
      <c r="I65" s="12">
        <f>SUM(I66:I69)</f>
        <v>0</v>
      </c>
      <c r="J65" s="13"/>
      <c r="K65" s="12">
        <f>SUM(K66:K69)</f>
        <v>0</v>
      </c>
      <c r="L65" s="4"/>
      <c r="M65" s="12">
        <f>SUM(M66:M69)</f>
        <v>165</v>
      </c>
      <c r="N65" s="13"/>
      <c r="O65" s="12">
        <f>SUM(O66:O69)</f>
        <v>5</v>
      </c>
      <c r="P65" s="4"/>
      <c r="Q65" s="12">
        <f>SUM(Q66:Q69)</f>
        <v>234429</v>
      </c>
      <c r="R65" s="13"/>
      <c r="S65" s="12">
        <f>SUM(S66:S69)</f>
        <v>53</v>
      </c>
      <c r="T65" s="4"/>
      <c r="U65" s="12">
        <f>SUM(U66:U69)</f>
        <v>237845</v>
      </c>
      <c r="V65" s="13"/>
      <c r="W65" s="12">
        <f>SUM(W66:W69)</f>
        <v>97</v>
      </c>
    </row>
    <row r="66" spans="1:23" ht="12.75">
      <c r="A66" t="s">
        <v>13</v>
      </c>
      <c r="E66" s="4">
        <f>ROUND(3251*0.51,0)</f>
        <v>1658</v>
      </c>
      <c r="F66" s="4"/>
      <c r="G66" s="4">
        <f>ROUND(39*0.51,0)</f>
        <v>20</v>
      </c>
      <c r="H66" s="4"/>
      <c r="I66" s="4">
        <v>0</v>
      </c>
      <c r="J66" s="4"/>
      <c r="K66" s="4">
        <v>0</v>
      </c>
      <c r="L66" s="4"/>
      <c r="M66" s="4">
        <v>0</v>
      </c>
      <c r="N66" s="4"/>
      <c r="O66" s="4">
        <v>0</v>
      </c>
      <c r="P66" s="4"/>
      <c r="Q66" s="4">
        <v>0</v>
      </c>
      <c r="R66" s="4"/>
      <c r="S66" s="4">
        <v>0</v>
      </c>
      <c r="T66" s="4"/>
      <c r="U66" s="4">
        <f>+E66+I66+M66+Q66</f>
        <v>1658</v>
      </c>
      <c r="V66" s="4"/>
      <c r="W66" s="4">
        <f>+G66+K66+O66+S66</f>
        <v>20</v>
      </c>
    </row>
    <row r="67" spans="1:23" ht="12.75">
      <c r="A67" t="s">
        <v>14</v>
      </c>
      <c r="E67" s="4">
        <f>ROUND(3251*0.28,0)</f>
        <v>910</v>
      </c>
      <c r="F67" s="4"/>
      <c r="G67" s="4">
        <f>ROUND(39*0.28,0)</f>
        <v>11</v>
      </c>
      <c r="H67" s="4"/>
      <c r="I67" s="4">
        <v>0</v>
      </c>
      <c r="J67" s="4"/>
      <c r="K67" s="4">
        <v>0</v>
      </c>
      <c r="L67" s="4"/>
      <c r="M67" s="4">
        <v>0</v>
      </c>
      <c r="N67" s="4"/>
      <c r="O67" s="4">
        <v>0</v>
      </c>
      <c r="P67" s="4"/>
      <c r="Q67" s="4">
        <v>0</v>
      </c>
      <c r="R67" s="4"/>
      <c r="S67" s="4">
        <v>0</v>
      </c>
      <c r="T67" s="4"/>
      <c r="U67" s="4">
        <f>+E67+I67+M67+Q67</f>
        <v>910</v>
      </c>
      <c r="V67" s="4"/>
      <c r="W67" s="4">
        <f>+G67+K67+O67+S67</f>
        <v>11</v>
      </c>
    </row>
    <row r="68" spans="1:23" ht="12.75">
      <c r="A68" t="s">
        <v>15</v>
      </c>
      <c r="E68" s="4">
        <f>ROUND(3251*0.21,0)</f>
        <v>683</v>
      </c>
      <c r="F68" s="4"/>
      <c r="G68" s="4">
        <f>ROUND(39*0.21,0)</f>
        <v>8</v>
      </c>
      <c r="H68" s="4"/>
      <c r="I68" s="4">
        <v>0</v>
      </c>
      <c r="J68" s="4"/>
      <c r="K68" s="4">
        <v>0</v>
      </c>
      <c r="L68" s="4"/>
      <c r="M68" s="4">
        <v>0</v>
      </c>
      <c r="N68" s="4"/>
      <c r="O68" s="4">
        <v>0</v>
      </c>
      <c r="P68" s="4"/>
      <c r="Q68" s="4">
        <v>0</v>
      </c>
      <c r="R68" s="4"/>
      <c r="S68" s="4">
        <v>0</v>
      </c>
      <c r="T68" s="4"/>
      <c r="U68" s="4">
        <f>+E68+I68+M68+Q68</f>
        <v>683</v>
      </c>
      <c r="V68" s="4"/>
      <c r="W68" s="4">
        <f>+G68+K68+O68+S68</f>
        <v>8</v>
      </c>
    </row>
    <row r="69" spans="1:23" ht="12.75">
      <c r="A69" t="s">
        <v>36</v>
      </c>
      <c r="E69" s="4">
        <v>0</v>
      </c>
      <c r="F69" s="4"/>
      <c r="G69" s="4">
        <v>0</v>
      </c>
      <c r="H69" s="4"/>
      <c r="I69" s="4">
        <v>0</v>
      </c>
      <c r="J69" s="4"/>
      <c r="K69" s="4">
        <v>0</v>
      </c>
      <c r="L69" s="4"/>
      <c r="M69" s="4">
        <v>165</v>
      </c>
      <c r="N69" s="4"/>
      <c r="O69" s="4">
        <v>5</v>
      </c>
      <c r="P69" s="4"/>
      <c r="Q69" s="4">
        <v>234429</v>
      </c>
      <c r="R69" s="4"/>
      <c r="S69" s="4">
        <v>53</v>
      </c>
      <c r="T69" s="4"/>
      <c r="U69" s="4">
        <f>+E69+I69+M69+Q69</f>
        <v>234594</v>
      </c>
      <c r="V69" s="4"/>
      <c r="W69" s="4">
        <f>+G69+K69+O69+S69</f>
        <v>58</v>
      </c>
    </row>
    <row r="70" spans="5:23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>
      <c r="A71" s="11" t="s">
        <v>43</v>
      </c>
      <c r="E71" s="12">
        <f>SUM(E72:E75)</f>
        <v>4618</v>
      </c>
      <c r="F71" s="13"/>
      <c r="G71" s="12">
        <f>SUM(G72:G75)</f>
        <v>44</v>
      </c>
      <c r="H71" s="4"/>
      <c r="I71" s="12">
        <f>SUM(I72:I75)</f>
        <v>0</v>
      </c>
      <c r="J71" s="13"/>
      <c r="K71" s="12">
        <f>SUM(K72:K75)</f>
        <v>0</v>
      </c>
      <c r="L71" s="4"/>
      <c r="M71" s="12">
        <f>SUM(M72:M75)</f>
        <v>845</v>
      </c>
      <c r="N71" s="13"/>
      <c r="O71" s="12">
        <f>SUM(O72:O75)</f>
        <v>8</v>
      </c>
      <c r="P71" s="4"/>
      <c r="Q71" s="12">
        <f>SUM(Q72:Q75)</f>
        <v>38797</v>
      </c>
      <c r="R71" s="13"/>
      <c r="S71" s="12">
        <f>SUM(S72:S75)</f>
        <v>27</v>
      </c>
      <c r="T71" s="4"/>
      <c r="U71" s="12">
        <f>SUM(U72:U75)</f>
        <v>44260</v>
      </c>
      <c r="V71" s="13"/>
      <c r="W71" s="12">
        <f>SUM(W72:W75)</f>
        <v>79</v>
      </c>
    </row>
    <row r="72" spans="1:23" ht="12.75">
      <c r="A72" t="s">
        <v>27</v>
      </c>
      <c r="E72" s="4">
        <f>ROUND(4618*0.509,0)</f>
        <v>2351</v>
      </c>
      <c r="F72" s="4"/>
      <c r="G72" s="4">
        <f>ROUND(44*0.509,0)</f>
        <v>22</v>
      </c>
      <c r="H72" s="4"/>
      <c r="I72" s="4">
        <v>0</v>
      </c>
      <c r="J72" s="4"/>
      <c r="K72" s="4">
        <v>0</v>
      </c>
      <c r="L72" s="4"/>
      <c r="M72" s="4">
        <v>0</v>
      </c>
      <c r="N72" s="4"/>
      <c r="O72" s="4">
        <v>0</v>
      </c>
      <c r="P72" s="4"/>
      <c r="Q72" s="4">
        <v>0</v>
      </c>
      <c r="R72" s="4"/>
      <c r="S72" s="4">
        <v>0</v>
      </c>
      <c r="T72" s="4"/>
      <c r="U72" s="4">
        <f>+E72+I72+M72+Q72</f>
        <v>2351</v>
      </c>
      <c r="V72" s="4"/>
      <c r="W72" s="4">
        <f>+G72+K72+O72+S72</f>
        <v>22</v>
      </c>
    </row>
    <row r="73" spans="1:23" ht="12.75">
      <c r="A73" t="s">
        <v>28</v>
      </c>
      <c r="E73" s="4">
        <f>ROUND(4618*0.183,0)</f>
        <v>845</v>
      </c>
      <c r="F73" s="4"/>
      <c r="G73" s="4">
        <f>ROUND(44*0.183,0)</f>
        <v>8</v>
      </c>
      <c r="H73" s="4"/>
      <c r="I73" s="4">
        <v>0</v>
      </c>
      <c r="J73" s="4"/>
      <c r="K73" s="4">
        <v>0</v>
      </c>
      <c r="L73" s="4"/>
      <c r="M73" s="4">
        <v>0</v>
      </c>
      <c r="N73" s="4"/>
      <c r="O73" s="4">
        <v>0</v>
      </c>
      <c r="P73" s="4"/>
      <c r="Q73" s="4">
        <v>0</v>
      </c>
      <c r="R73" s="4"/>
      <c r="S73" s="4">
        <v>0</v>
      </c>
      <c r="T73" s="4"/>
      <c r="U73" s="4">
        <f>+E73+I73+M73+Q73</f>
        <v>845</v>
      </c>
      <c r="V73" s="4"/>
      <c r="W73" s="4">
        <f>+G73+K73+O73+S73</f>
        <v>8</v>
      </c>
    </row>
    <row r="74" spans="1:23" ht="12.75">
      <c r="A74" t="s">
        <v>10</v>
      </c>
      <c r="E74" s="4">
        <f>ROUND(4618*0.308,0)</f>
        <v>1422</v>
      </c>
      <c r="F74" s="4"/>
      <c r="G74" s="4">
        <f>ROUND(44*0.308,0)</f>
        <v>14</v>
      </c>
      <c r="H74" s="4"/>
      <c r="I74" s="4">
        <v>0</v>
      </c>
      <c r="J74" s="4"/>
      <c r="K74" s="4">
        <v>0</v>
      </c>
      <c r="L74" s="4"/>
      <c r="M74" s="4">
        <v>845</v>
      </c>
      <c r="N74" s="4"/>
      <c r="O74" s="4">
        <v>8</v>
      </c>
      <c r="P74" s="4"/>
      <c r="Q74" s="4">
        <v>0</v>
      </c>
      <c r="R74" s="4"/>
      <c r="S74" s="4">
        <v>0</v>
      </c>
      <c r="T74" s="4"/>
      <c r="U74" s="4">
        <f>+E74+I74+M74+Q74</f>
        <v>2267</v>
      </c>
      <c r="V74" s="4"/>
      <c r="W74" s="4">
        <f>+G74+K74+O74+S74</f>
        <v>22</v>
      </c>
    </row>
    <row r="75" spans="1:23" ht="12.75">
      <c r="A75" t="s">
        <v>41</v>
      </c>
      <c r="E75" s="4">
        <v>0</v>
      </c>
      <c r="F75" s="4"/>
      <c r="G75" s="4">
        <v>0</v>
      </c>
      <c r="H75" s="4"/>
      <c r="I75" s="4">
        <v>0</v>
      </c>
      <c r="J75" s="4"/>
      <c r="K75" s="4">
        <v>0</v>
      </c>
      <c r="L75" s="4"/>
      <c r="M75" s="4">
        <v>0</v>
      </c>
      <c r="N75" s="4"/>
      <c r="O75" s="4">
        <v>0</v>
      </c>
      <c r="P75" s="4"/>
      <c r="Q75" s="4">
        <v>38797</v>
      </c>
      <c r="R75" s="4"/>
      <c r="S75" s="4">
        <v>27</v>
      </c>
      <c r="T75" s="4"/>
      <c r="U75" s="4">
        <f>+E75+I75+M75+Q75</f>
        <v>38797</v>
      </c>
      <c r="V75" s="4"/>
      <c r="W75" s="4">
        <f>+G75+K75+O75+S75</f>
        <v>27</v>
      </c>
    </row>
    <row r="76" spans="5:23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>
      <c r="A77" s="11" t="s">
        <v>35</v>
      </c>
      <c r="E77" s="12">
        <f>SUM(E78:E84)</f>
        <v>2581</v>
      </c>
      <c r="F77" s="13"/>
      <c r="G77" s="12">
        <f>SUM(G78:G84)</f>
        <v>23</v>
      </c>
      <c r="H77" s="4"/>
      <c r="I77" s="12">
        <f>SUM(I78:I84)</f>
        <v>0</v>
      </c>
      <c r="J77" s="13"/>
      <c r="K77" s="12">
        <f>SUM(K78:K84)</f>
        <v>0</v>
      </c>
      <c r="L77" s="4"/>
      <c r="M77" s="12">
        <f>SUM(M78:M84)</f>
        <v>0</v>
      </c>
      <c r="N77" s="13"/>
      <c r="O77" s="12">
        <f>SUM(O78:O84)</f>
        <v>1</v>
      </c>
      <c r="P77" s="4"/>
      <c r="Q77" s="12">
        <f>SUM(Q78:Q84)</f>
        <v>32947</v>
      </c>
      <c r="R77" s="13"/>
      <c r="S77" s="12">
        <f>SUM(S78:S84)</f>
        <v>78</v>
      </c>
      <c r="T77" s="4"/>
      <c r="U77" s="12">
        <f>SUM(U78:U84)</f>
        <v>35528</v>
      </c>
      <c r="V77" s="13"/>
      <c r="W77" s="12">
        <f>SUM(W78:W84)</f>
        <v>102</v>
      </c>
    </row>
    <row r="78" spans="1:23" ht="12.75">
      <c r="A78" t="s">
        <v>29</v>
      </c>
      <c r="E78" s="4">
        <f>ROUND(2581*0.12,0)</f>
        <v>310</v>
      </c>
      <c r="F78" s="4"/>
      <c r="G78" s="4">
        <f>ROUND(23*0.12,0)</f>
        <v>3</v>
      </c>
      <c r="H78" s="4"/>
      <c r="I78" s="4">
        <v>0</v>
      </c>
      <c r="J78" s="4"/>
      <c r="K78" s="4">
        <v>0</v>
      </c>
      <c r="L78" s="4"/>
      <c r="M78" s="4">
        <v>0</v>
      </c>
      <c r="N78" s="4"/>
      <c r="O78" s="4">
        <v>0</v>
      </c>
      <c r="P78" s="4"/>
      <c r="Q78" s="4">
        <v>0</v>
      </c>
      <c r="R78" s="4"/>
      <c r="S78" s="4">
        <v>0</v>
      </c>
      <c r="T78" s="4"/>
      <c r="U78" s="4">
        <f aca="true" t="shared" si="6" ref="U78:U83">+E78+I78+M78+Q78</f>
        <v>310</v>
      </c>
      <c r="V78" s="4"/>
      <c r="W78" s="4">
        <f aca="true" t="shared" si="7" ref="W78:W83">+G78+K78+O78+S78</f>
        <v>3</v>
      </c>
    </row>
    <row r="79" spans="1:23" ht="12.75">
      <c r="A79" t="s">
        <v>30</v>
      </c>
      <c r="E79" s="4">
        <f>ROUND(2581*0.12,0)</f>
        <v>310</v>
      </c>
      <c r="F79" s="4"/>
      <c r="G79" s="4">
        <f>ROUND(23*0.12,0)</f>
        <v>3</v>
      </c>
      <c r="H79" s="4"/>
      <c r="I79" s="4">
        <v>0</v>
      </c>
      <c r="J79" s="4"/>
      <c r="K79" s="4"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/>
      <c r="S79" s="4">
        <v>0</v>
      </c>
      <c r="T79" s="4"/>
      <c r="U79" s="4">
        <f t="shared" si="6"/>
        <v>310</v>
      </c>
      <c r="V79" s="4"/>
      <c r="W79" s="4">
        <f t="shared" si="7"/>
        <v>3</v>
      </c>
    </row>
    <row r="80" spans="1:23" ht="12.75">
      <c r="A80" t="s">
        <v>31</v>
      </c>
      <c r="E80" s="4">
        <f>ROUND(2581*0.13,0)</f>
        <v>336</v>
      </c>
      <c r="F80" s="4"/>
      <c r="G80" s="4">
        <f>ROUND(23*0.13,0)</f>
        <v>3</v>
      </c>
      <c r="H80" s="4"/>
      <c r="I80" s="4">
        <v>0</v>
      </c>
      <c r="J80" s="4"/>
      <c r="K80" s="4">
        <v>0</v>
      </c>
      <c r="L80" s="4"/>
      <c r="M80" s="4">
        <v>0</v>
      </c>
      <c r="N80" s="4"/>
      <c r="O80" s="4">
        <v>0</v>
      </c>
      <c r="P80" s="4"/>
      <c r="Q80" s="4">
        <v>0</v>
      </c>
      <c r="R80" s="4"/>
      <c r="S80" s="4">
        <v>0</v>
      </c>
      <c r="T80" s="4"/>
      <c r="U80" s="4">
        <f t="shared" si="6"/>
        <v>336</v>
      </c>
      <c r="V80" s="4"/>
      <c r="W80" s="4">
        <f t="shared" si="7"/>
        <v>3</v>
      </c>
    </row>
    <row r="81" spans="1:23" ht="12.75">
      <c r="A81" t="s">
        <v>32</v>
      </c>
      <c r="E81" s="4">
        <f>ROUND(2581*0.28,0)-1</f>
        <v>722</v>
      </c>
      <c r="F81" s="4"/>
      <c r="G81" s="4">
        <f>ROUND(23*0.28,0)</f>
        <v>6</v>
      </c>
      <c r="H81" s="4"/>
      <c r="I81" s="4">
        <v>0</v>
      </c>
      <c r="J81" s="4"/>
      <c r="K81" s="4">
        <v>0</v>
      </c>
      <c r="L81" s="4"/>
      <c r="M81" s="4">
        <v>0</v>
      </c>
      <c r="N81" s="4"/>
      <c r="O81" s="4">
        <v>0</v>
      </c>
      <c r="P81" s="4"/>
      <c r="Q81" s="4">
        <v>0</v>
      </c>
      <c r="R81" s="4"/>
      <c r="S81" s="4">
        <v>0</v>
      </c>
      <c r="T81" s="4"/>
      <c r="U81" s="4">
        <f t="shared" si="6"/>
        <v>722</v>
      </c>
      <c r="V81" s="4"/>
      <c r="W81" s="4">
        <f t="shared" si="7"/>
        <v>6</v>
      </c>
    </row>
    <row r="82" spans="1:23" ht="12.75">
      <c r="A82" t="s">
        <v>33</v>
      </c>
      <c r="E82" s="4">
        <f>ROUND(2581*0.09,0)</f>
        <v>232</v>
      </c>
      <c r="F82" s="4"/>
      <c r="G82" s="4">
        <f>ROUND(23*0.09,0)</f>
        <v>2</v>
      </c>
      <c r="H82" s="4"/>
      <c r="I82" s="4">
        <v>0</v>
      </c>
      <c r="J82" s="4"/>
      <c r="K82" s="4">
        <v>0</v>
      </c>
      <c r="L82" s="4"/>
      <c r="M82" s="4">
        <v>0</v>
      </c>
      <c r="N82" s="4"/>
      <c r="O82" s="4">
        <v>0</v>
      </c>
      <c r="P82" s="4"/>
      <c r="Q82" s="4">
        <v>0</v>
      </c>
      <c r="R82" s="4"/>
      <c r="S82" s="4">
        <v>0</v>
      </c>
      <c r="T82" s="4"/>
      <c r="U82" s="4">
        <f t="shared" si="6"/>
        <v>232</v>
      </c>
      <c r="V82" s="4"/>
      <c r="W82" s="4">
        <f t="shared" si="7"/>
        <v>2</v>
      </c>
    </row>
    <row r="83" spans="1:23" ht="12.75">
      <c r="A83" t="s">
        <v>34</v>
      </c>
      <c r="E83" s="4">
        <f>ROUND(2581*0.26,0)</f>
        <v>671</v>
      </c>
      <c r="F83" s="4"/>
      <c r="G83" s="4">
        <f>ROUND(23*0.26,0)</f>
        <v>6</v>
      </c>
      <c r="H83" s="4"/>
      <c r="I83" s="4">
        <v>0</v>
      </c>
      <c r="J83" s="4"/>
      <c r="K83" s="4">
        <v>0</v>
      </c>
      <c r="L83" s="4"/>
      <c r="M83" s="4">
        <v>0</v>
      </c>
      <c r="N83" s="4"/>
      <c r="O83" s="4">
        <v>0</v>
      </c>
      <c r="P83" s="4"/>
      <c r="Q83" s="4">
        <v>430</v>
      </c>
      <c r="R83" s="4"/>
      <c r="S83" s="4">
        <v>0</v>
      </c>
      <c r="T83" s="4"/>
      <c r="U83" s="4">
        <f t="shared" si="6"/>
        <v>1101</v>
      </c>
      <c r="V83" s="4"/>
      <c r="W83" s="4">
        <f t="shared" si="7"/>
        <v>6</v>
      </c>
    </row>
    <row r="84" spans="1:23" ht="12.75">
      <c r="A84" t="s">
        <v>42</v>
      </c>
      <c r="E84" s="4">
        <v>0</v>
      </c>
      <c r="F84" s="4"/>
      <c r="G84" s="4">
        <v>0</v>
      </c>
      <c r="H84" s="4"/>
      <c r="I84" s="4">
        <v>0</v>
      </c>
      <c r="J84" s="4"/>
      <c r="K84" s="4">
        <v>0</v>
      </c>
      <c r="L84" s="4"/>
      <c r="M84" s="4">
        <v>0</v>
      </c>
      <c r="N84" s="4"/>
      <c r="O84" s="4">
        <v>1</v>
      </c>
      <c r="P84" s="4"/>
      <c r="Q84" s="4">
        <v>32517</v>
      </c>
      <c r="R84" s="4"/>
      <c r="S84" s="4">
        <v>78</v>
      </c>
      <c r="T84" s="4"/>
      <c r="U84" s="4">
        <f>+E84+I84+M84+Q84</f>
        <v>32517</v>
      </c>
      <c r="V84" s="4"/>
      <c r="W84" s="4">
        <f>+G84+K84+O84+S84</f>
        <v>79</v>
      </c>
    </row>
    <row r="85" spans="5:23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11" t="s">
        <v>44</v>
      </c>
      <c r="E86" s="12">
        <f>+E87+E88+E92</f>
        <v>50826</v>
      </c>
      <c r="F86" s="13"/>
      <c r="G86" s="12">
        <f>+G87+G88+G92</f>
        <v>106</v>
      </c>
      <c r="H86" s="4"/>
      <c r="I86" s="12">
        <f>+I87+I88+I92</f>
        <v>8858</v>
      </c>
      <c r="J86" s="13"/>
      <c r="K86" s="12">
        <f>+K87+K88+K92</f>
        <v>39</v>
      </c>
      <c r="L86" s="4"/>
      <c r="M86" s="12">
        <f>+M87+M88+M92</f>
        <v>14070</v>
      </c>
      <c r="N86" s="13"/>
      <c r="O86" s="12">
        <f>+O87+O88+O92</f>
        <v>74</v>
      </c>
      <c r="P86" s="4"/>
      <c r="Q86" s="12">
        <f>+Q87+Q88+Q92</f>
        <v>0</v>
      </c>
      <c r="R86" s="13"/>
      <c r="S86" s="12">
        <f>+S87+S88+S92</f>
        <v>0</v>
      </c>
      <c r="T86" s="4"/>
      <c r="U86" s="12">
        <f>+U87+U88+U92</f>
        <v>73754</v>
      </c>
      <c r="V86" s="13"/>
      <c r="W86" s="12">
        <f>+W87+W88+W92</f>
        <v>219</v>
      </c>
    </row>
    <row r="87" spans="1:23" ht="12.75">
      <c r="A87" t="s">
        <v>57</v>
      </c>
      <c r="E87" s="4">
        <v>1803</v>
      </c>
      <c r="F87" s="4"/>
      <c r="G87" s="4">
        <v>21</v>
      </c>
      <c r="H87" s="4"/>
      <c r="I87" s="4">
        <v>1602</v>
      </c>
      <c r="J87" s="4"/>
      <c r="K87" s="4">
        <v>16</v>
      </c>
      <c r="L87" s="4"/>
      <c r="M87" s="4">
        <v>1451</v>
      </c>
      <c r="N87" s="4"/>
      <c r="O87" s="4">
        <v>15</v>
      </c>
      <c r="P87" s="4"/>
      <c r="Q87" s="4">
        <v>0</v>
      </c>
      <c r="R87" s="4"/>
      <c r="S87" s="4">
        <v>0</v>
      </c>
      <c r="T87" s="4"/>
      <c r="U87" s="4">
        <f>+E87+I87+M87+Q87</f>
        <v>4856</v>
      </c>
      <c r="V87" s="4"/>
      <c r="W87" s="4">
        <f>+G87+K87+O87+S87</f>
        <v>52</v>
      </c>
    </row>
    <row r="88" spans="1:23" ht="15">
      <c r="A88" t="s">
        <v>62</v>
      </c>
      <c r="E88" s="14">
        <f>+E89+E90+E91</f>
        <v>47231</v>
      </c>
      <c r="F88" s="4"/>
      <c r="G88" s="14">
        <f>+G89+G90+G91</f>
        <v>69</v>
      </c>
      <c r="H88" s="4"/>
      <c r="I88" s="14">
        <f>+I89+I90+I91</f>
        <v>5404</v>
      </c>
      <c r="J88" s="4"/>
      <c r="K88" s="14">
        <f>+K89+K90+K91</f>
        <v>7</v>
      </c>
      <c r="L88" s="4"/>
      <c r="M88" s="14">
        <f>+M89+M90+M91</f>
        <v>10539</v>
      </c>
      <c r="N88" s="4"/>
      <c r="O88" s="14">
        <f>+O89+O90+O91</f>
        <v>22</v>
      </c>
      <c r="P88" s="4"/>
      <c r="Q88" s="14">
        <f>+Q89+Q90+Q91</f>
        <v>0</v>
      </c>
      <c r="R88" s="4"/>
      <c r="S88" s="14">
        <f>+S89+S90+S91</f>
        <v>0</v>
      </c>
      <c r="T88" s="4"/>
      <c r="U88" s="14">
        <f>+U89+U90+U91</f>
        <v>63174</v>
      </c>
      <c r="V88" s="4"/>
      <c r="W88" s="14">
        <f>+W89+W90+W91</f>
        <v>98</v>
      </c>
    </row>
    <row r="89" spans="1:23" ht="12.75">
      <c r="A89" t="s">
        <v>58</v>
      </c>
      <c r="E89" s="4">
        <v>24000</v>
      </c>
      <c r="F89" s="4"/>
      <c r="G89" s="4">
        <v>0</v>
      </c>
      <c r="H89" s="4"/>
      <c r="I89" s="4">
        <v>0</v>
      </c>
      <c r="J89" s="4"/>
      <c r="K89" s="4">
        <v>0</v>
      </c>
      <c r="L89" s="4"/>
      <c r="M89" s="4">
        <v>0</v>
      </c>
      <c r="N89" s="4"/>
      <c r="O89" s="4">
        <v>0</v>
      </c>
      <c r="P89" s="4"/>
      <c r="Q89" s="4">
        <v>0</v>
      </c>
      <c r="R89" s="4"/>
      <c r="S89" s="4">
        <v>0</v>
      </c>
      <c r="T89" s="4"/>
      <c r="U89" s="4">
        <f>+E89+I89+M89+Q89</f>
        <v>24000</v>
      </c>
      <c r="V89" s="4"/>
      <c r="W89" s="4">
        <f>+G89+K89+O89+S89</f>
        <v>0</v>
      </c>
    </row>
    <row r="90" spans="1:23" ht="12.75">
      <c r="A90" t="s">
        <v>59</v>
      </c>
      <c r="E90" s="4">
        <v>8300</v>
      </c>
      <c r="F90" s="4"/>
      <c r="G90" s="4">
        <v>0</v>
      </c>
      <c r="H90" s="4"/>
      <c r="I90" s="4">
        <v>0</v>
      </c>
      <c r="J90" s="4"/>
      <c r="K90" s="4">
        <v>0</v>
      </c>
      <c r="L90" s="4"/>
      <c r="M90" s="4">
        <v>0</v>
      </c>
      <c r="N90" s="4"/>
      <c r="O90" s="4">
        <v>0</v>
      </c>
      <c r="P90" s="4"/>
      <c r="Q90" s="4">
        <v>0</v>
      </c>
      <c r="R90" s="4"/>
      <c r="S90" s="4">
        <v>0</v>
      </c>
      <c r="T90" s="4"/>
      <c r="U90" s="4">
        <f>+E90+I90+M90+Q90</f>
        <v>8300</v>
      </c>
      <c r="V90" s="4"/>
      <c r="W90" s="4">
        <f>+G90+K90+O90+S90</f>
        <v>0</v>
      </c>
    </row>
    <row r="91" spans="1:23" ht="12.75">
      <c r="A91" t="s">
        <v>60</v>
      </c>
      <c r="E91" s="15">
        <f>3600+11331</f>
        <v>14931</v>
      </c>
      <c r="F91" s="4"/>
      <c r="G91" s="4">
        <v>69</v>
      </c>
      <c r="H91" s="4"/>
      <c r="I91" s="15">
        <v>5404</v>
      </c>
      <c r="J91" s="4"/>
      <c r="K91" s="4">
        <v>7</v>
      </c>
      <c r="L91" s="4"/>
      <c r="M91" s="15">
        <v>10539</v>
      </c>
      <c r="N91" s="4"/>
      <c r="O91" s="4">
        <v>22</v>
      </c>
      <c r="P91" s="4"/>
      <c r="Q91" s="4">
        <v>0</v>
      </c>
      <c r="R91" s="4"/>
      <c r="S91" s="4">
        <v>0</v>
      </c>
      <c r="T91" s="4"/>
      <c r="U91" s="4">
        <f>+E91+I91+M91+Q91</f>
        <v>30874</v>
      </c>
      <c r="V91" s="4"/>
      <c r="W91" s="4">
        <f>+G91+K91+O91+S91</f>
        <v>98</v>
      </c>
    </row>
    <row r="92" spans="1:23" ht="12.75">
      <c r="A92" t="s">
        <v>61</v>
      </c>
      <c r="E92" s="4">
        <v>1792</v>
      </c>
      <c r="F92" s="4"/>
      <c r="G92" s="4">
        <v>16</v>
      </c>
      <c r="H92" s="4"/>
      <c r="I92" s="4">
        <v>1852</v>
      </c>
      <c r="J92" s="4"/>
      <c r="K92" s="15">
        <f>16</f>
        <v>16</v>
      </c>
      <c r="L92" s="4"/>
      <c r="M92" s="4">
        <v>2080</v>
      </c>
      <c r="N92" s="4"/>
      <c r="O92" s="15">
        <f>21+2+14</f>
        <v>37</v>
      </c>
      <c r="P92" s="4"/>
      <c r="Q92" s="4">
        <v>0</v>
      </c>
      <c r="R92" s="4"/>
      <c r="S92" s="4">
        <v>0</v>
      </c>
      <c r="T92" s="4"/>
      <c r="U92" s="4">
        <f>+E92+I92+M92+Q92</f>
        <v>5724</v>
      </c>
      <c r="V92" s="4"/>
      <c r="W92" s="4">
        <f>+G92+K92+O92+S92</f>
        <v>69</v>
      </c>
    </row>
    <row r="93" spans="5:23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>
      <c r="A94" s="11" t="s">
        <v>63</v>
      </c>
      <c r="E94" s="13">
        <v>10876</v>
      </c>
      <c r="F94" s="13"/>
      <c r="G94" s="13">
        <v>107</v>
      </c>
      <c r="H94" s="13"/>
      <c r="I94" s="13">
        <v>3090</v>
      </c>
      <c r="J94" s="13"/>
      <c r="K94" s="13">
        <v>25</v>
      </c>
      <c r="L94" s="13"/>
      <c r="M94" s="13">
        <v>7690</v>
      </c>
      <c r="N94" s="13"/>
      <c r="O94" s="13">
        <v>45</v>
      </c>
      <c r="P94" s="13"/>
      <c r="Q94" s="13">
        <v>0</v>
      </c>
      <c r="R94" s="13"/>
      <c r="S94" s="13">
        <v>0</v>
      </c>
      <c r="T94" s="13"/>
      <c r="U94" s="13">
        <f>+E94+I94+M94+Q94</f>
        <v>21656</v>
      </c>
      <c r="V94" s="13"/>
      <c r="W94" s="13">
        <f>+G94+K94+O94+S94</f>
        <v>177</v>
      </c>
    </row>
    <row r="95" spans="1:23" ht="12.75">
      <c r="A95" s="1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2.75">
      <c r="A96" t="s">
        <v>65</v>
      </c>
      <c r="E96" s="4">
        <v>0</v>
      </c>
      <c r="F96" s="4"/>
      <c r="G96" s="4">
        <v>0</v>
      </c>
      <c r="H96" s="4"/>
      <c r="I96" s="4">
        <v>0</v>
      </c>
      <c r="J96" s="4"/>
      <c r="K96" s="4">
        <v>0</v>
      </c>
      <c r="L96" s="4"/>
      <c r="M96" s="4">
        <v>-21760</v>
      </c>
      <c r="N96" s="4"/>
      <c r="O96" s="4">
        <v>0</v>
      </c>
      <c r="P96" s="4"/>
      <c r="Q96" s="4">
        <v>0</v>
      </c>
      <c r="R96" s="4"/>
      <c r="S96" s="4">
        <v>0</v>
      </c>
      <c r="T96" s="4"/>
      <c r="U96" s="4">
        <f>+E96+I96+M96+Q96</f>
        <v>-21760</v>
      </c>
      <c r="V96" s="4"/>
      <c r="W96" s="4">
        <f>+G96+K96+O96+S96</f>
        <v>0</v>
      </c>
    </row>
    <row r="97" spans="5:23" ht="12.75">
      <c r="E97" s="17"/>
      <c r="F97" s="4"/>
      <c r="G97" s="17"/>
      <c r="H97" s="4"/>
      <c r="I97" s="17"/>
      <c r="J97" s="4"/>
      <c r="K97" s="17"/>
      <c r="L97" s="4"/>
      <c r="M97" s="17"/>
      <c r="N97" s="4"/>
      <c r="O97" s="17"/>
      <c r="P97" s="4"/>
      <c r="Q97" s="17"/>
      <c r="R97" s="4"/>
      <c r="S97" s="17"/>
      <c r="T97" s="4"/>
      <c r="U97" s="17"/>
      <c r="V97" s="4"/>
      <c r="W97" s="17"/>
    </row>
    <row r="98" spans="1:23" ht="12.75">
      <c r="A98" s="11" t="s">
        <v>64</v>
      </c>
      <c r="E98" s="13">
        <f>+E16+E24+E32+E41+E65+E71+E77+E86+E94+E96</f>
        <v>128736</v>
      </c>
      <c r="F98" s="4"/>
      <c r="G98" s="13">
        <f>+G16+G24+G32+G41+G65+G71+G77+G86+G94+G96</f>
        <v>802</v>
      </c>
      <c r="H98" s="4"/>
      <c r="I98" s="13">
        <f>+I16+I24+I32+I41+I65+I71+I77+I86+I94+I96</f>
        <v>145354</v>
      </c>
      <c r="J98" s="4"/>
      <c r="K98" s="13">
        <f>+K16+K24+K32+K41+K65+K71+K77+K86+K94+K96</f>
        <v>1226</v>
      </c>
      <c r="L98" s="4"/>
      <c r="M98" s="13">
        <f>+M16+M24+M32+M41+M65+M71+M77+M86+M94+M96</f>
        <v>2240</v>
      </c>
      <c r="N98" s="4"/>
      <c r="O98" s="13">
        <f>+O16+O24+O32+O41+O65+O71+O77+O86+O94+O96</f>
        <v>141</v>
      </c>
      <c r="P98" s="4"/>
      <c r="Q98" s="13">
        <f>+Q16+Q24+Q32+Q41+Q65+Q71+Q77+Q86+Q94+Q96</f>
        <v>353496</v>
      </c>
      <c r="R98" s="4"/>
      <c r="S98" s="13">
        <f>+S16+S24+S32+S41+S65+S71+S77+S86+S94+S96</f>
        <v>669</v>
      </c>
      <c r="T98" s="4"/>
      <c r="U98" s="13">
        <f>+U16+U24+U32+U41+U65+U71+U77+U86+U94+U96</f>
        <v>629826</v>
      </c>
      <c r="V98" s="4"/>
      <c r="W98" s="13">
        <f>+W16+W24+W32+W41+W65+W71+W77+W86+W94+W96</f>
        <v>2838</v>
      </c>
    </row>
    <row r="99" spans="5:23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>
      <c r="A100" s="11" t="s">
        <v>67</v>
      </c>
      <c r="E100" s="4">
        <v>1498</v>
      </c>
      <c r="F100" s="4"/>
      <c r="G100" s="4">
        <v>15</v>
      </c>
      <c r="H100" s="4"/>
      <c r="I100" s="4">
        <v>10766</v>
      </c>
      <c r="J100" s="4"/>
      <c r="K100" s="4">
        <v>91</v>
      </c>
      <c r="L100" s="4"/>
      <c r="M100" s="4">
        <v>150</v>
      </c>
      <c r="N100" s="4"/>
      <c r="O100" s="4">
        <v>1</v>
      </c>
      <c r="P100" s="4"/>
      <c r="Q100" s="4">
        <v>0</v>
      </c>
      <c r="R100" s="4"/>
      <c r="S100" s="4">
        <v>0</v>
      </c>
      <c r="T100" s="4"/>
      <c r="U100" s="4">
        <f>+E100+I100+M100+Q100</f>
        <v>12414</v>
      </c>
      <c r="V100" s="4"/>
      <c r="W100" s="4">
        <f>+G100+K100+O100+S100</f>
        <v>107</v>
      </c>
    </row>
    <row r="101" spans="1:23" ht="12.75">
      <c r="A101" s="1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>
      <c r="A102" s="1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>
      <c r="A103" s="1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>
      <c r="A104" s="1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1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9">
        <v>24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</sheetData>
  <printOptions/>
  <pageMargins left="0.75" right="0.31" top="1" bottom="0.21" header="0.5" footer="0.21"/>
  <pageSetup fitToHeight="2" fitToWidth="1" horizontalDpi="1200" verticalDpi="1200" orientation="landscape" scale="78" r:id="rId1"/>
  <rowBreaks count="1" manualBreakCount="1">
    <brk id="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2002-01-30T18:28:42Z</cp:lastPrinted>
  <dcterms:created xsi:type="dcterms:W3CDTF">2002-01-25T19:54:08Z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