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8505" yWindow="65521" windowWidth="8580" windowHeight="5115" activeTab="0"/>
  </bookViews>
  <sheets>
    <sheet name="Table" sheetId="1" r:id="rId1"/>
    <sheet name="Values" sheetId="2" r:id="rId2"/>
  </sheets>
  <definedNames>
    <definedName name="_list">'Table'!$A$52</definedName>
    <definedName name="_num">'Table'!$A$56</definedName>
    <definedName name="_travel_time">'Table'!$A$53</definedName>
    <definedName name="Constants">'Values'!$N$21:$P$27</definedName>
    <definedName name="DC_used">'Table'!$A$58</definedName>
    <definedName name="DxR">'Values'!$P$27</definedName>
    <definedName name="eMax">'Table'!$C$1</definedName>
    <definedName name="Incr">'Values'!$V$20:$W$29</definedName>
    <definedName name="Incr_DC">'Values'!$Y$20:$Z$27</definedName>
    <definedName name="Lanes">'Table'!$C$3</definedName>
    <definedName name="Lanes_adj">'Values'!$S$21:$T$26</definedName>
    <definedName name="Length">'Table'!$B$4</definedName>
    <definedName name="Metric">'Table'!$A$57</definedName>
    <definedName name="MinR">'Table'!$C$8</definedName>
    <definedName name="NC">'Table'!$C$2</definedName>
    <definedName name="Round_e">'Table'!$A$54</definedName>
    <definedName name="Round_L">'Table'!$A$55</definedName>
    <definedName name="Speed2">'Values'!$A$3:$L$14</definedName>
    <definedName name="Speed3">'Values'!$N$3:$Z$16</definedName>
    <definedName name="Speeds2">'Values'!$A$3:$A$14</definedName>
    <definedName name="Speeds3">'Values'!$N$3:$N$16</definedName>
    <definedName name="Travel_time">'Values'!$E$16</definedName>
    <definedName name="V">'Table'!$A$2</definedName>
    <definedName name="Width">'Table'!$A$4</definedName>
  </definedNames>
  <calcPr fullCalcOnLoad="1"/>
</workbook>
</file>

<file path=xl/comments2.xml><?xml version="1.0" encoding="utf-8"?>
<comments xmlns="http://schemas.openxmlformats.org/spreadsheetml/2006/main">
  <authors>
    <author>SC Chapman</author>
  </authors>
  <commentList>
    <comment ref="B2" authorId="0">
      <text>
        <r>
          <rPr>
            <sz val="9"/>
            <rFont val="Tahoma"/>
            <family val="2"/>
          </rPr>
          <t>Exhibit 3-15</t>
        </r>
      </text>
    </comment>
    <comment ref="C2" authorId="0">
      <text>
        <r>
          <rPr>
            <sz val="9"/>
            <rFont val="Tahoma"/>
            <family val="2"/>
          </rPr>
          <t>Exhibit 3-14</t>
        </r>
      </text>
    </comment>
    <comment ref="D2" authorId="0">
      <text>
        <r>
          <rPr>
            <sz val="9"/>
            <rFont val="Tahoma"/>
            <family val="0"/>
          </rPr>
          <t>Exhibit 3-30</t>
        </r>
      </text>
    </comment>
    <comment ref="O2" authorId="0">
      <text>
        <r>
          <rPr>
            <sz val="9"/>
            <rFont val="Tahoma"/>
            <family val="2"/>
          </rPr>
          <t>Exhibit 3-15</t>
        </r>
      </text>
    </comment>
    <comment ref="P2" authorId="0">
      <text>
        <r>
          <rPr>
            <sz val="9"/>
            <rFont val="Tahoma"/>
            <family val="2"/>
          </rPr>
          <t>Exhibit 3-14</t>
        </r>
      </text>
    </comment>
    <comment ref="Q2" authorId="0">
      <text>
        <r>
          <rPr>
            <sz val="9"/>
            <rFont val="Tahoma"/>
            <family val="0"/>
          </rPr>
          <t>Exhibit 3-30</t>
        </r>
      </text>
    </comment>
  </commentList>
</comments>
</file>

<file path=xl/sharedStrings.xml><?xml version="1.0" encoding="utf-8"?>
<sst xmlns="http://schemas.openxmlformats.org/spreadsheetml/2006/main" count="121" uniqueCount="88">
  <si>
    <t>e</t>
  </si>
  <si>
    <t>f</t>
  </si>
  <si>
    <t>MRG</t>
  </si>
  <si>
    <t>Rmin</t>
  </si>
  <si>
    <t>Rpi</t>
  </si>
  <si>
    <t>hPI</t>
  </si>
  <si>
    <t>S1</t>
  </si>
  <si>
    <t>S2</t>
  </si>
  <si>
    <t>MO</t>
  </si>
  <si>
    <t xml:space="preserve">Rmin = </t>
  </si>
  <si>
    <t xml:space="preserve">Rpi = </t>
  </si>
  <si>
    <t xml:space="preserve">hPI = </t>
  </si>
  <si>
    <t xml:space="preserve">S1 = </t>
  </si>
  <si>
    <t xml:space="preserve">S2 = </t>
  </si>
  <si>
    <t xml:space="preserve">MO = </t>
  </si>
  <si>
    <t>Speed (km/h)</t>
  </si>
  <si>
    <t>Vr (km/h)</t>
  </si>
  <si>
    <t>pmin</t>
  </si>
  <si>
    <t>C</t>
  </si>
  <si>
    <t>pmax</t>
  </si>
  <si>
    <t>Equation 3-10</t>
  </si>
  <si>
    <t>Equation 3-13</t>
  </si>
  <si>
    <t>Current eMax =</t>
  </si>
  <si>
    <t>Speed (MPH)</t>
  </si>
  <si>
    <t>Vr (MPH)</t>
  </si>
  <si>
    <t>Equation 3-14</t>
  </si>
  <si>
    <t>Equation 3-15</t>
  </si>
  <si>
    <t># Lanes</t>
  </si>
  <si>
    <r>
      <t>n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b</t>
    </r>
    <r>
      <rPr>
        <vertAlign val="subscript"/>
        <sz val="10"/>
        <rFont val="Arial"/>
        <family val="2"/>
      </rPr>
      <t>w</t>
    </r>
  </si>
  <si>
    <t>Lanes_adj</t>
  </si>
  <si>
    <t>Deg of Curv</t>
  </si>
  <si>
    <r>
      <t>L</t>
    </r>
    <r>
      <rPr>
        <b/>
        <vertAlign val="subscript"/>
        <sz val="10"/>
        <rFont val="Arial"/>
        <family val="2"/>
      </rPr>
      <t>r</t>
    </r>
  </si>
  <si>
    <t>Calc. e</t>
  </si>
  <si>
    <r>
      <t>R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</si>
  <si>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(des) =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</si>
  <si>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(min)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</si>
  <si>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(max)</t>
    </r>
  </si>
  <si>
    <t>Metric</t>
  </si>
  <si>
    <t>Constants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</si>
  <si>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(best)</t>
    </r>
  </si>
  <si>
    <t>US Customary</t>
  </si>
  <si>
    <t>DxR</t>
  </si>
  <si>
    <t>_num</t>
  </si>
  <si>
    <t>round</t>
  </si>
  <si>
    <t>Ls</t>
  </si>
  <si>
    <t>Superelevation rounding</t>
  </si>
  <si>
    <t>Ls(des)</t>
  </si>
  <si>
    <t>Ls(des) =</t>
  </si>
  <si>
    <t>Speed2</t>
  </si>
  <si>
    <t>Speed3</t>
  </si>
  <si>
    <t>Is this Metric?</t>
  </si>
  <si>
    <t>Radius list toggle</t>
  </si>
  <si>
    <t>Variables</t>
  </si>
  <si>
    <r>
      <t>Min. 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(best) occurs at R =</t>
    </r>
  </si>
  <si>
    <r>
      <t>Calc. 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for spiral use =</t>
    </r>
  </si>
  <si>
    <t>lat_accel</t>
  </si>
  <si>
    <t>Beginning R</t>
  </si>
  <si>
    <t>Beginning D</t>
  </si>
  <si>
    <t>▼ R_List</t>
  </si>
  <si>
    <t>Degree of Curvature used?</t>
  </si>
  <si>
    <t>Incr</t>
  </si>
  <si>
    <t>Incr_DC</t>
  </si>
  <si>
    <t>Equations</t>
  </si>
  <si>
    <t>V^2 / [127 * (eMax + f)]</t>
  </si>
  <si>
    <t>Vr^2 / (127 * eMax)</t>
  </si>
  <si>
    <t>eMax * [(V / Vr)^2 - 1]</t>
  </si>
  <si>
    <t>hPI * Rpi / DxR</t>
  </si>
  <si>
    <t>Equation 3-16</t>
  </si>
  <si>
    <r>
      <t xml:space="preserve">US Customary </t>
    </r>
    <r>
      <rPr>
        <i/>
        <u val="single"/>
        <sz val="10"/>
        <rFont val="Arial"/>
        <family val="2"/>
      </rPr>
      <t>(if different)</t>
    </r>
  </si>
  <si>
    <t xml:space="preserve">e = </t>
  </si>
  <si>
    <t>(eMax + f) * Rmin / R - f '</t>
  </si>
  <si>
    <t>For 1/R &gt; 1/Rpi,  f ' =</t>
  </si>
  <si>
    <t>(f - hPI) / [DxR * (1/Rmin - 1/Rpi)]</t>
  </si>
  <si>
    <t>1 / RPI * (1/Rmin - 1/Rpi) * (S2 - S1) / 2 * Rmin</t>
  </si>
  <si>
    <t>MO * [(1/Rmin - 1/R) / (1/Rmin - 1/Rpi)]^2 + hPI + DxR * S2 * (1/R - 1/Rpi)</t>
  </si>
  <si>
    <t>For 1/R ≤ 1/Rpi,  f ' =</t>
  </si>
  <si>
    <t>MO * (Rpi / R)^2 + DxR * S1 / R</t>
  </si>
  <si>
    <t>Equation 3-18</t>
  </si>
  <si>
    <t>Equation 3-22 &amp; 24</t>
  </si>
  <si>
    <t>Equation 3-23</t>
  </si>
  <si>
    <t>Equation 3-21</t>
  </si>
  <si>
    <t>Exhibit 3-37</t>
  </si>
  <si>
    <t>s Travel time on curve (Green Book value is 2 sec)</t>
  </si>
  <si>
    <t>Green Book values are 1.3 [4.25]</t>
  </si>
  <si>
    <r>
      <t>Max 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using 4 sec rule =</t>
    </r>
  </si>
  <si>
    <t>PDDM</t>
  </si>
  <si>
    <t>Desirable Spiral Length</t>
  </si>
  <si>
    <t>US_Customary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</si>
</sst>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d\-mmmm\-yyyy"/>
    <numFmt numFmtId="166" formatCode="d\ mmmm\ yyyy"/>
    <numFmt numFmtId="167" formatCode="_([$€-2]* #,##0.00_);_([$€-2]* \(#,##0.00\);_([$€-2]* &quot;-&quot;??_)"/>
    <numFmt numFmtId="168" formatCode="0.00000"/>
    <numFmt numFmtId="169" formatCode="0.0000"/>
    <numFmt numFmtId="170" formatCode="0.000"/>
    <numFmt numFmtId="171" formatCode="0.000000"/>
    <numFmt numFmtId="172" formatCode="0.0"/>
    <numFmt numFmtId="173" formatCode="[h]\°\ m\'\ ss\&quot;"/>
    <numFmt numFmtId="174" formatCode="0.0%"/>
    <numFmt numFmtId="175" formatCode="0.0####%"/>
    <numFmt numFmtId="176" formatCode="0\+000.000"/>
    <numFmt numFmtId="177" formatCode="0.0000%"/>
    <numFmt numFmtId="178" formatCode="&quot;V = &quot;0"/>
    <numFmt numFmtId="179" formatCode="\N\C\ \=\ 0.00%"/>
    <numFmt numFmtId="180" formatCode="\(General"/>
    <numFmt numFmtId="181" formatCode="&quot;eMax = &quot;0%"/>
    <numFmt numFmtId="182" formatCode="&quot;# Lanes = &quot;General"/>
    <numFmt numFmtId="183" formatCode="&quot;Used &quot;General"/>
    <numFmt numFmtId="184" formatCode="0;;&quot;&quot;"/>
    <numFmt numFmtId="185" formatCode="0.E+00"/>
    <numFmt numFmtId="186" formatCode="0\ &quot;km/h&quot;"/>
    <numFmt numFmtId="187" formatCode="0\ &quot;mph&quot;"/>
    <numFmt numFmtId="188" formatCode="0.00000%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8"/>
      <color indexed="44"/>
      <name val="Arial"/>
      <family val="2"/>
    </font>
    <font>
      <sz val="10"/>
      <color indexed="44"/>
      <name val="Arial"/>
      <family val="2"/>
    </font>
    <font>
      <b/>
      <vertAlign val="subscript"/>
      <sz val="10"/>
      <name val="Arial"/>
      <family val="2"/>
    </font>
    <font>
      <b/>
      <sz val="10"/>
      <color indexed="5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9"/>
      <name val="Tahoma"/>
      <family val="0"/>
    </font>
    <font>
      <b/>
      <sz val="10"/>
      <color indexed="20"/>
      <name val="Arial"/>
      <family val="2"/>
    </font>
    <font>
      <b/>
      <sz val="12"/>
      <color indexed="18"/>
      <name val="Arial"/>
      <family val="2"/>
    </font>
    <font>
      <b/>
      <sz val="10"/>
      <color indexed="49"/>
      <name val="Arial"/>
      <family val="2"/>
    </font>
    <font>
      <b/>
      <sz val="10"/>
      <color indexed="50"/>
      <name val="Arial"/>
      <family val="2"/>
    </font>
    <font>
      <i/>
      <u val="single"/>
      <sz val="10"/>
      <name val="Arial"/>
      <family val="2"/>
    </font>
    <font>
      <sz val="8"/>
      <name val="Tahoma"/>
      <family val="2"/>
    </font>
    <font>
      <sz val="10"/>
      <color indexed="58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Dashed">
        <color indexed="56"/>
      </left>
      <right>
        <color indexed="63"/>
      </right>
      <top style="mediumDashed">
        <color indexed="56"/>
      </top>
      <bottom>
        <color indexed="63"/>
      </bottom>
    </border>
    <border>
      <left>
        <color indexed="63"/>
      </left>
      <right style="mediumDashed">
        <color indexed="56"/>
      </right>
      <top style="mediumDashed">
        <color indexed="56"/>
      </top>
      <bottom>
        <color indexed="63"/>
      </bottom>
    </border>
    <border>
      <left style="mediumDashed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6"/>
      </right>
      <top>
        <color indexed="63"/>
      </top>
      <bottom>
        <color indexed="63"/>
      </bottom>
    </border>
    <border>
      <left style="mediumDashed">
        <color indexed="56"/>
      </left>
      <right>
        <color indexed="63"/>
      </right>
      <top>
        <color indexed="63"/>
      </top>
      <bottom style="mediumDashed">
        <color indexed="56"/>
      </bottom>
    </border>
    <border>
      <left>
        <color indexed="63"/>
      </left>
      <right style="mediumDashed">
        <color indexed="56"/>
      </right>
      <top>
        <color indexed="63"/>
      </top>
      <bottom style="mediumDashed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indexed="18"/>
      </top>
      <bottom style="hair">
        <color indexed="18"/>
      </bottom>
    </border>
    <border>
      <left>
        <color indexed="63"/>
      </left>
      <right style="mediumDashed">
        <color indexed="18"/>
      </right>
      <top style="mediumDashed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mediumDashed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mediumDashed">
        <color indexed="18"/>
      </bottom>
    </border>
    <border>
      <left>
        <color indexed="63"/>
      </left>
      <right style="mediumDashed">
        <color indexed="18"/>
      </right>
      <top style="hair">
        <color indexed="18"/>
      </top>
      <bottom style="mediumDashed">
        <color indexed="18"/>
      </bottom>
    </border>
    <border>
      <left style="mediumDashed">
        <color indexed="18"/>
      </left>
      <right>
        <color indexed="63"/>
      </right>
      <top style="mediumDashed">
        <color indexed="18"/>
      </top>
      <bottom style="hair">
        <color indexed="18"/>
      </bottom>
    </border>
    <border>
      <left style="mediumDashed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Dashed">
        <color indexed="18"/>
      </left>
      <right>
        <color indexed="63"/>
      </right>
      <top style="hair">
        <color indexed="18"/>
      </top>
      <bottom style="mediumDashed">
        <color indexed="18"/>
      </bottom>
    </border>
    <border>
      <left>
        <color indexed="63"/>
      </left>
      <right>
        <color indexed="63"/>
      </right>
      <top style="mediumDashed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mediumDashed">
        <color indexed="58"/>
      </bottom>
    </border>
    <border>
      <left style="mediumDashed">
        <color indexed="58"/>
      </left>
      <right>
        <color indexed="63"/>
      </right>
      <top style="mediumDashed">
        <color indexed="58"/>
      </top>
      <bottom style="hair">
        <color indexed="58"/>
      </bottom>
    </border>
    <border>
      <left style="mediumDashed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Dashed">
        <color indexed="58"/>
      </left>
      <right>
        <color indexed="63"/>
      </right>
      <top style="hair">
        <color indexed="58"/>
      </top>
      <bottom style="mediumDashed">
        <color indexed="5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2"/>
      </left>
      <right style="medium"/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>
        <color indexed="58"/>
      </right>
      <top style="mediumDashed">
        <color indexed="58"/>
      </top>
      <bottom style="hair">
        <color indexed="58"/>
      </bottom>
    </border>
    <border>
      <left>
        <color indexed="63"/>
      </left>
      <right style="mediumDashed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 style="mediumDashed">
        <color indexed="58"/>
      </right>
      <top style="hair">
        <color indexed="58"/>
      </top>
      <bottom style="mediumDashed">
        <color indexed="58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mediumDashed">
        <color indexed="50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mediumDashed">
        <color indexed="50"/>
      </right>
      <top style="mediumDashed">
        <color indexed="50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0"/>
      </right>
      <top>
        <color indexed="63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mediumDashed">
        <color indexed="50"/>
      </right>
      <top>
        <color indexed="63"/>
      </top>
      <bottom style="mediumDashed">
        <color indexed="50"/>
      </bottom>
    </border>
    <border>
      <left style="mediumDashed">
        <color indexed="49"/>
      </left>
      <right>
        <color indexed="63"/>
      </right>
      <top style="mediumDashed">
        <color indexed="49"/>
      </top>
      <bottom>
        <color indexed="63"/>
      </bottom>
    </border>
    <border>
      <left>
        <color indexed="63"/>
      </left>
      <right style="mediumDashed">
        <color indexed="49"/>
      </right>
      <top style="mediumDashed">
        <color indexed="49"/>
      </top>
      <bottom>
        <color indexed="63"/>
      </bottom>
    </border>
    <border>
      <left style="mediumDashed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49"/>
      </right>
      <top>
        <color indexed="63"/>
      </top>
      <bottom>
        <color indexed="63"/>
      </bottom>
    </border>
    <border>
      <left style="mediumDashed">
        <color indexed="49"/>
      </left>
      <right>
        <color indexed="63"/>
      </right>
      <top>
        <color indexed="63"/>
      </top>
      <bottom style="mediumDashed">
        <color indexed="49"/>
      </bottom>
    </border>
    <border>
      <left>
        <color indexed="63"/>
      </left>
      <right style="mediumDashed">
        <color indexed="49"/>
      </right>
      <top>
        <color indexed="63"/>
      </top>
      <bottom style="mediumDashed">
        <color indexed="49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175" fontId="0" fillId="0" borderId="8" xfId="0" applyNumberFormat="1" applyBorder="1" applyAlignment="1">
      <alignment horizontal="center"/>
    </xf>
    <xf numFmtId="175" fontId="0" fillId="3" borderId="0" xfId="0" applyNumberFormat="1" applyFont="1" applyFill="1" applyAlignment="1" applyProtection="1">
      <alignment horizontal="center"/>
      <protection locked="0"/>
    </xf>
    <xf numFmtId="0" fontId="0" fillId="0" borderId="7" xfId="0" applyBorder="1" applyAlignment="1">
      <alignment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18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horizontal="right"/>
    </xf>
    <xf numFmtId="0" fontId="0" fillId="5" borderId="12" xfId="0" applyFill="1" applyBorder="1" applyAlignment="1">
      <alignment horizontal="center"/>
    </xf>
    <xf numFmtId="10" fontId="0" fillId="5" borderId="12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0" fontId="0" fillId="5" borderId="14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5" borderId="16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10" fontId="0" fillId="7" borderId="21" xfId="0" applyNumberForma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0" fontId="0" fillId="7" borderId="22" xfId="0" applyNumberForma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10" fontId="0" fillId="7" borderId="23" xfId="0" applyNumberForma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4" fillId="0" borderId="0" xfId="0" applyFont="1" applyAlignment="1">
      <alignment horizontal="left"/>
    </xf>
    <xf numFmtId="178" fontId="15" fillId="3" borderId="27" xfId="0" applyNumberFormat="1" applyFont="1" applyFill="1" applyBorder="1" applyAlignment="1" applyProtection="1">
      <alignment/>
      <protection locked="0"/>
    </xf>
    <xf numFmtId="180" fontId="14" fillId="0" borderId="10" xfId="19" applyNumberFormat="1" applyFont="1" applyBorder="1" applyAlignment="1">
      <alignment horizontal="right"/>
    </xf>
    <xf numFmtId="175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30" xfId="0" applyFont="1" applyBorder="1" applyAlignment="1" quotePrefix="1">
      <alignment/>
    </xf>
    <xf numFmtId="0" fontId="9" fillId="0" borderId="31" xfId="0" applyFont="1" applyBorder="1" applyAlignment="1" quotePrefix="1">
      <alignment/>
    </xf>
    <xf numFmtId="173" fontId="0" fillId="0" borderId="29" xfId="0" applyNumberFormat="1" applyFont="1" applyBorder="1" applyAlignment="1">
      <alignment horizontal="center"/>
    </xf>
    <xf numFmtId="173" fontId="11" fillId="3" borderId="8" xfId="0" applyNumberFormat="1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/>
      <protection/>
    </xf>
    <xf numFmtId="0" fontId="14" fillId="0" borderId="33" xfId="0" applyFont="1" applyFill="1" applyBorder="1" applyAlignment="1" applyProtection="1">
      <alignment horizontal="right"/>
      <protection/>
    </xf>
    <xf numFmtId="0" fontId="14" fillId="3" borderId="34" xfId="0" applyFont="1" applyFill="1" applyBorder="1" applyAlignment="1" applyProtection="1">
      <alignment horizontal="left"/>
      <protection locked="0"/>
    </xf>
    <xf numFmtId="183" fontId="14" fillId="0" borderId="35" xfId="0" applyNumberFormat="1" applyFont="1" applyFill="1" applyBorder="1" applyAlignment="1" applyProtection="1">
      <alignment/>
      <protection/>
    </xf>
    <xf numFmtId="0" fontId="14" fillId="0" borderId="36" xfId="0" applyNumberFormat="1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3" borderId="0" xfId="0" applyFill="1" applyAlignment="1" applyProtection="1">
      <alignment horizontal="center"/>
      <protection locked="0"/>
    </xf>
    <xf numFmtId="184" fontId="13" fillId="0" borderId="29" xfId="0" applyNumberFormat="1" applyFont="1" applyBorder="1" applyAlignment="1">
      <alignment horizontal="center"/>
    </xf>
    <xf numFmtId="184" fontId="13" fillId="0" borderId="8" xfId="0" applyNumberFormat="1" applyFont="1" applyBorder="1" applyAlignment="1">
      <alignment horizontal="center"/>
    </xf>
    <xf numFmtId="0" fontId="5" fillId="9" borderId="38" xfId="21" applyFill="1" applyBorder="1" applyAlignment="1">
      <alignment horizontal="center"/>
    </xf>
    <xf numFmtId="0" fontId="0" fillId="10" borderId="37" xfId="0" applyFill="1" applyBorder="1" applyAlignment="1">
      <alignment horizontal="centerContinuous"/>
    </xf>
    <xf numFmtId="0" fontId="0" fillId="10" borderId="0" xfId="0" applyFill="1" applyAlignment="1">
      <alignment horizontal="right"/>
    </xf>
    <xf numFmtId="0" fontId="0" fillId="10" borderId="0" xfId="0" applyFill="1" applyAlignment="1">
      <alignment/>
    </xf>
    <xf numFmtId="0" fontId="12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81" fontId="15" fillId="3" borderId="42" xfId="0" applyNumberFormat="1" applyFont="1" applyFill="1" applyBorder="1" applyAlignment="1" applyProtection="1">
      <alignment horizontal="center"/>
      <protection locked="0"/>
    </xf>
    <xf numFmtId="179" fontId="14" fillId="3" borderId="42" xfId="0" applyNumberFormat="1" applyFont="1" applyFill="1" applyBorder="1" applyAlignment="1" applyProtection="1">
      <alignment horizontal="center"/>
      <protection locked="0"/>
    </xf>
    <xf numFmtId="182" fontId="14" fillId="3" borderId="43" xfId="0" applyNumberFormat="1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 shrinkToFit="1"/>
      <protection/>
    </xf>
    <xf numFmtId="0" fontId="1" fillId="0" borderId="45" xfId="0" applyFont="1" applyBorder="1" applyAlignment="1">
      <alignment horizontal="center"/>
    </xf>
    <xf numFmtId="184" fontId="15" fillId="3" borderId="46" xfId="0" applyNumberFormat="1" applyFont="1" applyFill="1" applyBorder="1" applyAlignment="1" applyProtection="1">
      <alignment horizontal="center"/>
      <protection locked="0"/>
    </xf>
    <xf numFmtId="184" fontId="0" fillId="0" borderId="47" xfId="0" applyNumberForma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2" fontId="0" fillId="7" borderId="21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7" borderId="23" xfId="0" applyNumberFormat="1" applyFill="1" applyBorder="1" applyAlignment="1">
      <alignment horizontal="center"/>
    </xf>
    <xf numFmtId="184" fontId="13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84" fontId="0" fillId="0" borderId="48" xfId="0" applyNumberFormat="1" applyBorder="1" applyAlignment="1">
      <alignment horizontal="center"/>
    </xf>
    <xf numFmtId="184" fontId="13" fillId="0" borderId="49" xfId="0" applyNumberFormat="1" applyFont="1" applyBorder="1" applyAlignment="1">
      <alignment horizontal="center"/>
    </xf>
    <xf numFmtId="173" fontId="0" fillId="0" borderId="49" xfId="0" applyNumberFormat="1" applyFont="1" applyBorder="1" applyAlignment="1">
      <alignment horizontal="center"/>
    </xf>
    <xf numFmtId="184" fontId="0" fillId="0" borderId="50" xfId="0" applyNumberFormat="1" applyBorder="1" applyAlignment="1">
      <alignment horizontal="center"/>
    </xf>
    <xf numFmtId="175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9" fillId="0" borderId="51" xfId="0" applyFont="1" applyBorder="1" applyAlignment="1" quotePrefix="1">
      <alignment/>
    </xf>
    <xf numFmtId="1" fontId="0" fillId="0" borderId="52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0" fillId="7" borderId="53" xfId="0" applyNumberFormat="1" applyFill="1" applyBorder="1" applyAlignment="1">
      <alignment/>
    </xf>
    <xf numFmtId="0" fontId="0" fillId="7" borderId="54" xfId="0" applyNumberFormat="1" applyFill="1" applyBorder="1" applyAlignment="1">
      <alignment/>
    </xf>
    <xf numFmtId="0" fontId="0" fillId="7" borderId="55" xfId="0" applyNumberFormat="1" applyFill="1" applyBorder="1" applyAlignment="1">
      <alignment/>
    </xf>
    <xf numFmtId="184" fontId="0" fillId="0" borderId="46" xfId="0" applyNumberFormat="1" applyBorder="1" applyAlignment="1">
      <alignment horizontal="center"/>
    </xf>
    <xf numFmtId="175" fontId="0" fillId="0" borderId="29" xfId="0" applyNumberFormat="1" applyBorder="1" applyAlignment="1">
      <alignment horizontal="center"/>
    </xf>
    <xf numFmtId="184" fontId="12" fillId="3" borderId="56" xfId="0" applyNumberFormat="1" applyFont="1" applyFill="1" applyBorder="1" applyAlignment="1" applyProtection="1">
      <alignment horizontal="center"/>
      <protection locked="0"/>
    </xf>
    <xf numFmtId="173" fontId="0" fillId="0" borderId="56" xfId="0" applyNumberFormat="1" applyFont="1" applyBorder="1" applyAlignment="1">
      <alignment horizontal="center"/>
    </xf>
    <xf numFmtId="184" fontId="0" fillId="0" borderId="57" xfId="0" applyNumberFormat="1" applyBorder="1" applyAlignment="1">
      <alignment horizontal="center"/>
    </xf>
    <xf numFmtId="175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9" fillId="0" borderId="58" xfId="0" applyFont="1" applyBorder="1" applyAlignment="1" quotePrefix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73" fontId="0" fillId="0" borderId="65" xfId="0" applyNumberFormat="1" applyFont="1" applyBorder="1" applyAlignment="1">
      <alignment horizontal="center" shrinkToFit="1"/>
    </xf>
    <xf numFmtId="173" fontId="0" fillId="0" borderId="66" xfId="0" applyNumberFormat="1" applyFont="1" applyBorder="1" applyAlignment="1">
      <alignment horizontal="center" shrinkToFit="1"/>
    </xf>
    <xf numFmtId="173" fontId="0" fillId="0" borderId="67" xfId="0" applyNumberFormat="1" applyFont="1" applyBorder="1" applyAlignment="1">
      <alignment horizontal="center" shrinkToFit="1"/>
    </xf>
    <xf numFmtId="173" fontId="0" fillId="0" borderId="68" xfId="0" applyNumberFormat="1" applyFont="1" applyBorder="1" applyAlignment="1">
      <alignment horizontal="center" shrinkToFit="1"/>
    </xf>
    <xf numFmtId="173" fontId="0" fillId="0" borderId="69" xfId="0" applyNumberFormat="1" applyFont="1" applyBorder="1" applyAlignment="1">
      <alignment horizontal="center" shrinkToFit="1"/>
    </xf>
    <xf numFmtId="173" fontId="0" fillId="0" borderId="70" xfId="0" applyNumberFormat="1" applyFont="1" applyBorder="1" applyAlignment="1">
      <alignment horizontal="center" shrinkToFit="1"/>
    </xf>
    <xf numFmtId="184" fontId="13" fillId="0" borderId="5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84" fontId="0" fillId="0" borderId="0" xfId="0" applyNumberFormat="1" applyAlignment="1">
      <alignment/>
    </xf>
    <xf numFmtId="184" fontId="0" fillId="0" borderId="44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0" applyFont="1" applyBorder="1" applyAlignment="1" quotePrefix="1">
      <alignment/>
    </xf>
    <xf numFmtId="180" fontId="24" fillId="0" borderId="0" xfId="19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11" fillId="7" borderId="0" xfId="0" applyFont="1" applyFill="1" applyBorder="1" applyAlignment="1">
      <alignment/>
    </xf>
    <xf numFmtId="0" fontId="11" fillId="7" borderId="0" xfId="0" applyFont="1" applyFill="1" applyAlignment="1">
      <alignment horizontal="left"/>
    </xf>
    <xf numFmtId="0" fontId="0" fillId="11" borderId="0" xfId="0" applyFill="1" applyAlignment="1">
      <alignment/>
    </xf>
    <xf numFmtId="0" fontId="15" fillId="5" borderId="10" xfId="0" applyFont="1" applyFill="1" applyBorder="1" applyAlignment="1">
      <alignment/>
    </xf>
    <xf numFmtId="0" fontId="15" fillId="5" borderId="0" xfId="0" applyFont="1" applyFill="1" applyAlignment="1">
      <alignment horizontal="left"/>
    </xf>
    <xf numFmtId="0" fontId="9" fillId="0" borderId="49" xfId="0" applyFont="1" applyBorder="1" applyAlignment="1" quotePrefix="1">
      <alignment/>
    </xf>
    <xf numFmtId="0" fontId="9" fillId="0" borderId="0" xfId="0" applyFont="1" applyBorder="1" applyAlignment="1" quotePrefix="1">
      <alignment/>
    </xf>
    <xf numFmtId="175" fontId="0" fillId="0" borderId="71" xfId="0" applyNumberFormat="1" applyBorder="1" applyAlignment="1">
      <alignment horizontal="center"/>
    </xf>
    <xf numFmtId="0" fontId="11" fillId="7" borderId="10" xfId="0" applyFont="1" applyFill="1" applyBorder="1" applyAlignment="1">
      <alignment/>
    </xf>
    <xf numFmtId="0" fontId="0" fillId="10" borderId="11" xfId="0" applyFill="1" applyBorder="1" applyAlignment="1">
      <alignment/>
    </xf>
    <xf numFmtId="0" fontId="19" fillId="12" borderId="72" xfId="0" applyNumberFormat="1" applyFont="1" applyFill="1" applyBorder="1" applyAlignment="1" applyProtection="1">
      <alignment horizontal="center"/>
      <protection locked="0"/>
    </xf>
    <xf numFmtId="0" fontId="14" fillId="12" borderId="36" xfId="0" applyNumberFormat="1" applyFont="1" applyFill="1" applyBorder="1" applyAlignment="1" applyProtection="1">
      <alignment horizontal="center"/>
      <protection locked="0"/>
    </xf>
    <xf numFmtId="0" fontId="5" fillId="9" borderId="73" xfId="21" applyFill="1" applyBorder="1" applyAlignment="1">
      <alignment horizontal="center"/>
    </xf>
    <xf numFmtId="0" fontId="0" fillId="0" borderId="74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dxfs count="7">
    <dxf>
      <font>
        <color rgb="FFFFFFFF"/>
      </font>
      <fill>
        <patternFill>
          <bgColor rgb="FFFF0000"/>
        </patternFill>
      </fill>
      <border/>
    </dxf>
    <dxf>
      <font>
        <b val="0"/>
        <i/>
        <color rgb="FFFF0000"/>
      </font>
      <border/>
    </dxf>
    <dxf>
      <font>
        <color rgb="FFC0C0C0"/>
      </font>
      <border/>
    </dxf>
    <dxf>
      <font>
        <b/>
        <i/>
        <color rgb="FFFF0000"/>
      </font>
      <border/>
    </dxf>
    <dxf>
      <font>
        <b val="0"/>
        <i val="0"/>
        <u val="single"/>
        <color rgb="FF0000FF"/>
      </font>
      <border/>
    </dxf>
    <dxf>
      <font>
        <color rgb="FF993366"/>
      </font>
      <fill>
        <patternFill>
          <bgColor rgb="FFC0C0C0"/>
        </patternFill>
      </fill>
      <border/>
    </dxf>
    <dxf>
      <font>
        <b val="0"/>
        <i/>
        <color rgb="FF80008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showGridLines="0" showRowColHeaders="0" tabSelected="1" showOutlineSymbol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8" sqref="D8"/>
    </sheetView>
  </sheetViews>
  <sheetFormatPr defaultColWidth="8.7109375" defaultRowHeight="12.75"/>
  <cols>
    <col min="1" max="3" width="13.7109375" style="0" customWidth="1"/>
  </cols>
  <sheetData>
    <row r="1" spans="1:10" ht="16.5" thickBot="1">
      <c r="A1" s="155" t="s">
        <v>87</v>
      </c>
      <c r="B1" s="156"/>
      <c r="C1" s="80">
        <v>0.06</v>
      </c>
      <c r="J1" s="19"/>
    </row>
    <row r="2" spans="1:10" ht="13.5" thickBot="1">
      <c r="A2" s="53">
        <v>60</v>
      </c>
      <c r="B2" s="61" t="str">
        <f>IF(Metric,"km/h","mph")</f>
        <v>mph</v>
      </c>
      <c r="C2" s="81">
        <v>0.02</v>
      </c>
      <c r="J2" s="137"/>
    </row>
    <row r="3" spans="1:21" ht="15" thickBot="1">
      <c r="A3" s="62" t="str">
        <f>IF(OR(B3&lt;2.4,B3&gt;16,AND(B3&gt;4.8,B3&lt;8)),"ERROR  =&gt;","Trav Lane "&amp;IF(B3&lt;8,"(m)","(ft)")&amp;" =")</f>
        <v>Trav Lane (m) =</v>
      </c>
      <c r="B3" s="63">
        <v>3.6</v>
      </c>
      <c r="C3" s="82">
        <v>1</v>
      </c>
      <c r="D3" s="143">
        <f>ROUND(CONVERT(D4,IF(Metric,"km","mi"),IF(Metric,"mi","km")),0)</f>
        <v>89</v>
      </c>
      <c r="E3" s="144" t="str">
        <f>IF(Metric,"mph","km/h")&amp;")"</f>
        <v>km/h)</v>
      </c>
      <c r="F3" s="1"/>
      <c r="G3" s="72" t="s">
        <v>33</v>
      </c>
      <c r="H3" s="73">
        <f ca="1">VLOOKUP(D$4,INDIRECT("Speed"&amp;_num),6,0)</f>
        <v>1060</v>
      </c>
      <c r="I3" s="73" t="str">
        <f>Length</f>
        <v>ft</v>
      </c>
      <c r="J3" s="54">
        <f>ROUND(CONVERT(J4,IF(Metric,"km","mi"),IF(Metric,"mi","km")),0)</f>
        <v>97</v>
      </c>
      <c r="K3" s="52" t="str">
        <f>IF(Metric,"mph","km/h")&amp;")"</f>
        <v>km/h)</v>
      </c>
      <c r="M3" s="72" t="s">
        <v>33</v>
      </c>
      <c r="N3" s="73">
        <f ca="1">VLOOKUP(J$4,INDIRECT("Speed"&amp;_num),6,0)</f>
        <v>1330</v>
      </c>
      <c r="O3" s="73" t="str">
        <f>Length</f>
        <v>ft</v>
      </c>
      <c r="P3" s="54">
        <f>ROUND(CONVERT(P4,IF(Metric,"km","mi"),IF(Metric,"mi","km")),0)</f>
        <v>105</v>
      </c>
      <c r="Q3" s="144" t="str">
        <f>IF(Metric,"mph","km/h")&amp;")"</f>
        <v>km/h)</v>
      </c>
      <c r="S3" s="72" t="s">
        <v>33</v>
      </c>
      <c r="T3" s="73">
        <f ca="1">VLOOKUP(P$4,INDIRECT("Speed"&amp;_num),6,0)</f>
        <v>1660</v>
      </c>
      <c r="U3" s="154" t="str">
        <f>Length</f>
        <v>ft</v>
      </c>
    </row>
    <row r="4" spans="1:21" ht="16.5" thickBot="1">
      <c r="A4" s="64">
        <f>IF(OR(B3&lt;2.4,B3&gt;16,AND(B3&gt;4.8,B3&lt;8)),IF(Metric,3.6,12),B3*IF(ISERR(FIND(Length,A3)),IF(B4="ft",1/0.3,0.3),1))</f>
        <v>12</v>
      </c>
      <c r="B4" s="65" t="str">
        <f>IF(Metric,"m","ft")</f>
        <v>ft</v>
      </c>
      <c r="C4" s="83" t="str">
        <f>IF(Metric,HYPERLINK("#A1","Rev. 11/28/2006"),HYPERLINK("#_list",_list))</f>
        <v>▼ R_List</v>
      </c>
      <c r="D4" s="145">
        <f ca="1">IF(V&lt;SMALL(INDIRECT("Speeds"&amp;_num),2),MIN(INDIRECT("Speeds"&amp;_num)),IF(V&gt;LARGE(INDIRECT("Speeds"&amp;_num),2),LARGE(INDIRECT("Speeds"&amp;_num),3),INDEX(INDIRECT("Speeds"&amp;_num),MATCH(V,INDIRECT("Speeds"&amp;_num))-1)))</f>
        <v>55</v>
      </c>
      <c r="E4" s="146" t="str">
        <f>$B$2</f>
        <v>mph</v>
      </c>
      <c r="F4" s="1"/>
      <c r="G4" s="1" t="s">
        <v>34</v>
      </c>
      <c r="H4" s="30">
        <f ca="1">MROUND(VLOOKUP(D$4,INDIRECT("Speed"&amp;_num),5,0),Round_L)</f>
        <v>185</v>
      </c>
      <c r="I4" s="19" t="str">
        <f>Length</f>
        <v>ft</v>
      </c>
      <c r="J4" s="148">
        <f ca="1">INDEX(INDIRECT("Speeds"&amp;_num),MATCH(D4,INDIRECT("Speeds"&amp;_num))+1)</f>
        <v>60</v>
      </c>
      <c r="K4" s="149" t="str">
        <f>$B$2</f>
        <v>mph</v>
      </c>
      <c r="M4" s="1" t="s">
        <v>34</v>
      </c>
      <c r="N4" s="30">
        <f ca="1">MROUND(VLOOKUP(J$4,INDIRECT("Speed"&amp;_num),5,0),Round_L)</f>
        <v>200</v>
      </c>
      <c r="O4" s="19" t="str">
        <f>Length</f>
        <v>ft</v>
      </c>
      <c r="P4" s="153">
        <f ca="1">INDEX(INDIRECT("Speeds"&amp;_num),MATCH(J4,INDIRECT("Speeds"&amp;_num))+1)</f>
        <v>65</v>
      </c>
      <c r="Q4" s="146" t="str">
        <f>$B$2</f>
        <v>mph</v>
      </c>
      <c r="S4" s="1" t="s">
        <v>34</v>
      </c>
      <c r="T4" s="30">
        <f ca="1">MROUND(VLOOKUP(P$4,INDIRECT("Speed"&amp;_num),5,0),Round_L)</f>
        <v>220</v>
      </c>
      <c r="U4" s="29" t="str">
        <f>Length</f>
        <v>ft</v>
      </c>
    </row>
    <row r="5" spans="1:21" ht="16.5" thickBot="1">
      <c r="A5" s="74" t="str">
        <f>"R ("&amp;IF(Metric,"ft","m")&amp;")"</f>
        <v>R (m)</v>
      </c>
      <c r="B5" s="75" t="s">
        <v>30</v>
      </c>
      <c r="C5" s="84" t="str">
        <f>"R ("&amp;Length&amp;")"</f>
        <v>R (ft)</v>
      </c>
      <c r="D5" s="75" t="s">
        <v>0</v>
      </c>
      <c r="E5" s="75" t="s">
        <v>31</v>
      </c>
      <c r="F5" s="77" t="s">
        <v>35</v>
      </c>
      <c r="G5" s="77" t="s">
        <v>39</v>
      </c>
      <c r="H5" s="77" t="s">
        <v>36</v>
      </c>
      <c r="I5" s="78" t="s">
        <v>32</v>
      </c>
      <c r="J5" s="76" t="s">
        <v>0</v>
      </c>
      <c r="K5" s="75" t="s">
        <v>31</v>
      </c>
      <c r="L5" s="77" t="s">
        <v>35</v>
      </c>
      <c r="M5" s="77" t="s">
        <v>39</v>
      </c>
      <c r="N5" s="77" t="s">
        <v>36</v>
      </c>
      <c r="O5" s="78" t="s">
        <v>32</v>
      </c>
      <c r="P5" s="76" t="s">
        <v>0</v>
      </c>
      <c r="Q5" s="75" t="s">
        <v>31</v>
      </c>
      <c r="R5" s="77" t="s">
        <v>35</v>
      </c>
      <c r="S5" s="77" t="s">
        <v>39</v>
      </c>
      <c r="T5" s="77" t="s">
        <v>36</v>
      </c>
      <c r="U5" s="79" t="s">
        <v>32</v>
      </c>
    </row>
    <row r="6" spans="1:21" ht="12.75">
      <c r="A6" s="97">
        <f>CONVERT(C6,Length,IF(Metric,"ft","m"))</f>
        <v>505.968</v>
      </c>
      <c r="B6" s="98">
        <f>IF(C6&gt;0,DxR/(IF(Metric,A6,C6)*24),"")</f>
        <v>0.1438147076132028</v>
      </c>
      <c r="C6" s="99">
        <f ca="1">IF(DC_used,DxR/MROUND(DxR/VLOOKUP(P4,INDIRECT("Speed"&amp;_num),6,0),0.25),T3)</f>
        <v>1660</v>
      </c>
      <c r="D6" s="100">
        <f>IF($C6&lt;MAX(H$3,MinR),"",IF(I6&lt;NC,IF(ROUND(I6,4)&gt;NC-0.005,NC,"NC"),CEILING(ROUND(I6,4),Round_e)))</f>
        <v>0.054</v>
      </c>
      <c r="E6" s="101">
        <f ca="1">IF(ISTEXT(D6),"",MROUND(Width*D6*VLOOKUP(Lanes,Lanes_adj,2,0)/VLOOKUP(D$4,INDIRECT("Speed"&amp;_num),4,0),Round_L))</f>
        <v>138</v>
      </c>
      <c r="F6" s="101">
        <f>IF(ISTEXT(D6),"",MROUND(MAX(SQRT(24*VLOOKUP("pmin",Constants,_num,0)*$C6),VLOOKUP("Ls",Constants,_num,0)*D$4^3/($C6*VLOOKUP("C",Constants,_num,0))),Round_L))</f>
        <v>162</v>
      </c>
      <c r="G6" s="101">
        <f>IF(E6="","",IF(MAX(H$4,E6)&lt;F6,IF(AND(E6&gt;H$4,F6-E6=1),F6,""),IF(MAX(H$4,E6)&gt;H6,"",MAX(H$4,E6))))</f>
        <v>185</v>
      </c>
      <c r="H6" s="101">
        <f>IF(ISTEXT(D6),"",MROUND(SQRT(24*VLOOKUP("pmax",Constants,_num,0)*$C6),Round_L))</f>
        <v>363</v>
      </c>
      <c r="I6" s="150">
        <f ca="1">(eMax+VLOOKUP(D$4,INDIRECT("Speed"&amp;_num),2,0))*VLOOKUP(D$4,INDIRECT("Speed"&amp;_num),6)/$C6-IF(1/$C6&gt;1/VLOOKUP(D$4,INDIRECT("Speed"&amp;_num),7,0),VLOOKUP(D$4,INDIRECT("Speed"&amp;_num),11,0)*((1/VLOOKUP(D$4,INDIRECT("Speed"&amp;_num),6,0)-1/$C6)/(1/VLOOKUP(D$4,INDIRECT("Speed"&amp;_num),6,0)-1/VLOOKUP(D$4,INDIRECT("Speed"&amp;_num),7,0)))^2+VLOOKUP(D$4,INDIRECT("Speed"&amp;_num),8,0)+VLOOKUP("DxR",Constants,_num,0)*VLOOKUP(D$4,INDIRECT("Speed"&amp;_num),10,0)*(1/$C6-1/VLOOKUP(D$4,INDIRECT("Speed"&amp;_num),7,0)),VLOOKUP(D$4,INDIRECT("Speed"&amp;_num),11,0)*(VLOOKUP(D$4,INDIRECT("Speed"&amp;_num),7,0)/$C6)^2+VLOOKUP("DxR",Constants,_num,0)*VLOOKUP(D$4,INDIRECT("Speed"&amp;_num),9,0)/$C6)</f>
        <v>0.05326663763487684</v>
      </c>
      <c r="J6" s="152">
        <f>IF($C6&lt;MAX(N$3,MinR),"",IF(O6&lt;NC,IF(ROUND(O6,4)&gt;NC-0.005,NC,"NC"),CEILING(ROUND(O6,4),Round_e)))</f>
        <v>0.058</v>
      </c>
      <c r="K6" s="101">
        <f ca="1">IF(ISTEXT(J6),"",MROUND(Width*J6*VLOOKUP(Lanes,Lanes_adj,2,0)/VLOOKUP(J$4,INDIRECT("Speed"&amp;_num),4,0),Round_L))</f>
        <v>155</v>
      </c>
      <c r="L6" s="101">
        <f>IF(ISTEXT(J6),"",MROUND(MAX(SQRT(24*VLOOKUP("pmin",Constants,_num,0)*$C6),VLOOKUP("Ls",Constants,_num,0)*J$4^3/($C6*VLOOKUP("C",Constants,_num,0))),Round_L))</f>
        <v>162</v>
      </c>
      <c r="M6" s="101">
        <f aca="true" t="shared" si="0" ref="M6:M50">IF(K6="","",IF(MAX(N$4,K6)&lt;L6,IF(AND(K6&gt;N$4,L6-K6=1),L6,""),IF(MAX(N$4,K6)&gt;N6,"",MAX(N$4,K6))))</f>
        <v>200</v>
      </c>
      <c r="N6" s="101">
        <f>IF(ISTEXT(J6),"",MROUND(SQRT(24*VLOOKUP("pmax",Constants,_num,0)*$C6),Round_L))</f>
        <v>363</v>
      </c>
      <c r="O6" s="102">
        <f ca="1">(eMax+VLOOKUP(J$4,INDIRECT("Speed"&amp;_num),2,0))*VLOOKUP(J$4,INDIRECT("Speed"&amp;_num),6)/$C6-IF(1/$C6&gt;1/VLOOKUP(J$4,INDIRECT("Speed"&amp;_num),7,0),VLOOKUP(J$4,INDIRECT("Speed"&amp;_num),11,0)*((1/VLOOKUP(J$4,INDIRECT("Speed"&amp;_num),6,0)-1/$C6)/(1/VLOOKUP(J$4,INDIRECT("Speed"&amp;_num),6,0)-1/VLOOKUP(J$4,INDIRECT("Speed"&amp;_num),7,0)))^2+VLOOKUP(J$4,INDIRECT("Speed"&amp;_num),8,0)+VLOOKUP("DxR",Constants,_num,0)*VLOOKUP(J$4,INDIRECT("Speed"&amp;_num),10,0)*(1/$C6-1/VLOOKUP(J$4,INDIRECT("Speed"&amp;_num),7,0)),VLOOKUP(J$4,INDIRECT("Speed"&amp;_num),11,0)*(VLOOKUP(J$4,INDIRECT("Speed"&amp;_num),7,0)/$C6)^2+VLOOKUP("DxR",Constants,_num,0)*VLOOKUP(J$4,INDIRECT("Speed"&amp;_num),9,0)/$C6)</f>
        <v>0.05781418209815445</v>
      </c>
      <c r="P6" s="152">
        <f>IF($C6&lt;MAX(T$3,MinR),"",IF(U6&lt;NC,IF(ROUND(U6,4)&gt;NC-0.005,NC,"NC"),CEILING(ROUND(U6,4),Round_e)))</f>
        <v>0.06</v>
      </c>
      <c r="Q6" s="101">
        <f ca="1">IF(ISTEXT(P6),"",MROUND(Width*P6*VLOOKUP(Lanes,Lanes_adj,2,0)/VLOOKUP(P$4,INDIRECT("Speed"&amp;_num),4,0),Round_L))</f>
        <v>167</v>
      </c>
      <c r="R6" s="101">
        <f>IF(ISTEXT(P6),"",MROUND(MAX(SQRT(24*VLOOKUP("pmin",Constants,_num,0)*$C6),VLOOKUP("Ls",Constants,_num,0)*P$4^3/($C6*VLOOKUP("C",Constants,_num,0))),Round_L))</f>
        <v>162</v>
      </c>
      <c r="S6" s="101">
        <f aca="true" t="shared" si="1" ref="S6:S50">IF(Q6="","",IF(MAX(T$4,Q6)&lt;R6,IF(AND(Q6&gt;T$4,R6-Q6=1),R6,""),IF(MAX(T$4,Q6)&gt;T6,"",MAX(T$4,Q6))))</f>
        <v>220</v>
      </c>
      <c r="T6" s="101">
        <f>IF(ISTEXT(P6),"",MROUND(SQRT(24*VLOOKUP("pmax",Constants,_num,0)*$C6),Round_L))</f>
        <v>363</v>
      </c>
      <c r="U6" s="102">
        <f ca="1">(eMax+VLOOKUP(P$4,INDIRECT("Speed"&amp;_num),2,0))*VLOOKUP(P$4,INDIRECT("Speed"&amp;_num),6)/$C6-IF(1/$C6&gt;1/VLOOKUP(P$4,INDIRECT("Speed"&amp;_num),7,0),VLOOKUP(P$4,INDIRECT("Speed"&amp;_num),11,0)*((1/VLOOKUP(P$4,INDIRECT("Speed"&amp;_num),6,0)-1/$C6)/(1/VLOOKUP(P$4,INDIRECT("Speed"&amp;_num),6,0)-1/VLOOKUP(P$4,INDIRECT("Speed"&amp;_num),7,0)))^2+VLOOKUP(P$4,INDIRECT("Speed"&amp;_num),8,0)+VLOOKUP("DxR",Constants,_num,0)*VLOOKUP(P$4,INDIRECT("Speed"&amp;_num),10,0)*(1/$C6-1/VLOOKUP(P$4,INDIRECT("Speed"&amp;_num),7,0)),VLOOKUP(P$4,INDIRECT("Speed"&amp;_num),11,0)*(VLOOKUP(P$4,INDIRECT("Speed"&amp;_num),7,0)/$C6)^2+VLOOKUP("DxR",Constants,_num,0)*VLOOKUP(P$4,INDIRECT("Speed"&amp;_num),9,0)/$C6)</f>
        <v>0.05999999999999997</v>
      </c>
    </row>
    <row r="7" spans="1:21" ht="12.75">
      <c r="A7" s="94">
        <f>CONVERT(C7,Length,IF(Metric,"ft","m"))</f>
        <v>405.384</v>
      </c>
      <c r="B7" s="95">
        <f>IF(C7&gt;0,DxR/(IF(Metric,A7,C7)*24),"")</f>
        <v>0.17949805611873432</v>
      </c>
      <c r="C7" s="139">
        <f ca="1">IF(DC_used,DxR/MROUND(DxR/VLOOKUP(J4,INDIRECT("Speed"&amp;_num),6,0),0.25),N3)</f>
        <v>1330</v>
      </c>
      <c r="D7" s="140">
        <f>IF($C7&lt;MAX(H$3,MinR),"",IF(I7&lt;NC,IF(ROUND(I7,4)&gt;NC-0.005,NC,"NC"),CEILING(ROUND(I7,4),Round_e)))</f>
        <v>0.058</v>
      </c>
      <c r="E7" s="141">
        <f ca="1">IF(ISTEXT(D7),"",MROUND(Width*D7*VLOOKUP(Lanes,Lanes_adj,2,0)/VLOOKUP(D$4,INDIRECT("Speed"&amp;_num),4,0),Round_L))</f>
        <v>148</v>
      </c>
      <c r="F7" s="141">
        <f>IF(ISTEXT(D7),"",MROUND(MAX(SQRT(24*VLOOKUP("pmin",Constants,_num,0)*$C7),VLOOKUP("Ls",Constants,_num,0)*D$4^3/($C7*VLOOKUP("C",Constants,_num,0))),Round_L))</f>
        <v>145</v>
      </c>
      <c r="G7" s="141">
        <f>IF(E7="","",IF(MAX(H$4,E7)&lt;F7,IF(AND(E7&gt;H$4,F7-E7=1),F7,""),IF(MAX(H$4,E7)&gt;H7,"",MAX(H$4,E7))))</f>
        <v>185</v>
      </c>
      <c r="H7" s="141">
        <f>IF(ISTEXT(D7),"",MROUND(SQRT(24*VLOOKUP("pmax",Constants,_num,0)*$C7),Round_L))</f>
        <v>325</v>
      </c>
      <c r="I7" s="151">
        <f ca="1">(eMax+VLOOKUP(D$4,INDIRECT("Speed"&amp;_num),2,0))*VLOOKUP(D$4,INDIRECT("Speed"&amp;_num),6)/$C7-IF(1/$C7&gt;1/VLOOKUP(D$4,INDIRECT("Speed"&amp;_num),7,0),VLOOKUP(D$4,INDIRECT("Speed"&amp;_num),11,0)*((1/VLOOKUP(D$4,INDIRECT("Speed"&amp;_num),6,0)-1/$C7)/(1/VLOOKUP(D$4,INDIRECT("Speed"&amp;_num),6,0)-1/VLOOKUP(D$4,INDIRECT("Speed"&amp;_num),7,0)))^2+VLOOKUP(D$4,INDIRECT("Speed"&amp;_num),8,0)+VLOOKUP("DxR",Constants,_num,0)*VLOOKUP(D$4,INDIRECT("Speed"&amp;_num),10,0)*(1/$C7-1/VLOOKUP(D$4,INDIRECT("Speed"&amp;_num),7,0)),VLOOKUP(D$4,INDIRECT("Speed"&amp;_num),11,0)*(VLOOKUP(D$4,INDIRECT("Speed"&amp;_num),7,0)/$C7)^2+VLOOKUP("DxR",Constants,_num,0)*VLOOKUP(D$4,INDIRECT("Speed"&amp;_num),9,0)/$C7)</f>
        <v>0.0578601046978348</v>
      </c>
      <c r="J7" s="55">
        <f>IF($C7&lt;MAX(N$3,MinR),"",IF(O7&lt;NC,IF(ROUND(O7,4)&gt;NC-0.005,NC,"NC"),CEILING(ROUND(O7,4),Round_e)))</f>
        <v>0.06</v>
      </c>
      <c r="K7" s="141">
        <f ca="1">IF(ISTEXT(J7),"",MROUND(Width*J7*VLOOKUP(Lanes,Lanes_adj,2,0)/VLOOKUP(J$4,INDIRECT("Speed"&amp;_num),4,0),Round_L))</f>
        <v>160</v>
      </c>
      <c r="L7" s="141">
        <f>IF(ISTEXT(J7),"",MROUND(MAX(SQRT(24*VLOOKUP("pmin",Constants,_num,0)*$C7),VLOOKUP("Ls",Constants,_num,0)*J$4^3/($C7*VLOOKUP("C",Constants,_num,0))),Round_L))</f>
        <v>145</v>
      </c>
      <c r="M7" s="141">
        <f t="shared" si="0"/>
        <v>200</v>
      </c>
      <c r="N7" s="141">
        <f>IF(ISTEXT(J7),"",MROUND(SQRT(24*VLOOKUP("pmax",Constants,_num,0)*$C7),Round_L))</f>
        <v>325</v>
      </c>
      <c r="O7" s="142">
        <f ca="1">(eMax+VLOOKUP(J$4,INDIRECT("Speed"&amp;_num),2,0))*VLOOKUP(J$4,INDIRECT("Speed"&amp;_num),6)/$C7-IF(1/$C7&gt;1/VLOOKUP(J$4,INDIRECT("Speed"&amp;_num),7,0),VLOOKUP(J$4,INDIRECT("Speed"&amp;_num),11,0)*((1/VLOOKUP(J$4,INDIRECT("Speed"&amp;_num),6,0)-1/$C7)/(1/VLOOKUP(J$4,INDIRECT("Speed"&amp;_num),6,0)-1/VLOOKUP(J$4,INDIRECT("Speed"&amp;_num),7,0)))^2+VLOOKUP(J$4,INDIRECT("Speed"&amp;_num),8,0)+VLOOKUP("DxR",Constants,_num,0)*VLOOKUP(J$4,INDIRECT("Speed"&amp;_num),10,0)*(1/$C7-1/VLOOKUP(J$4,INDIRECT("Speed"&amp;_num),7,0)),VLOOKUP(J$4,INDIRECT("Speed"&amp;_num),11,0)*(VLOOKUP(J$4,INDIRECT("Speed"&amp;_num),7,0)/$C7)^2+VLOOKUP("DxR",Constants,_num,0)*VLOOKUP(J$4,INDIRECT("Speed"&amp;_num),9,0)/$C7)</f>
        <v>0.06000000000000001</v>
      </c>
      <c r="P7" s="55">
        <f>IF($C7&lt;MAX(T$3,MinR),"",IF(U7&lt;NC,IF(ROUND(U7,4)&gt;NC-0.005,NC,"NC"),CEILING(ROUND(U7,4),Round_e)))</f>
      </c>
      <c r="Q7" s="141">
        <f ca="1">IF(ISTEXT(P7),"",MROUND(Width*P7*VLOOKUP(Lanes,Lanes_adj,2,0)/VLOOKUP(P$4,INDIRECT("Speed"&amp;_num),4,0),Round_L))</f>
      </c>
      <c r="R7" s="141">
        <f>IF(ISTEXT(P7),"",MROUND(MAX(SQRT(24*VLOOKUP("pmin",Constants,_num,0)*$C7),VLOOKUP("Ls",Constants,_num,0)*P$4^3/($C7*VLOOKUP("C",Constants,_num,0))),Round_L))</f>
      </c>
      <c r="S7" s="141">
        <f t="shared" si="1"/>
      </c>
      <c r="T7" s="141">
        <f>IF(ISTEXT(P7),"",MROUND(SQRT(24*VLOOKUP("pmax",Constants,_num,0)*$C7),Round_L))</f>
      </c>
      <c r="U7" s="142">
        <f ca="1">(eMax+VLOOKUP(P$4,INDIRECT("Speed"&amp;_num),2,0))*VLOOKUP(P$4,INDIRECT("Speed"&amp;_num),6)/$C7-IF(1/$C7&gt;1/VLOOKUP(P$4,INDIRECT("Speed"&amp;_num),7,0),VLOOKUP(P$4,INDIRECT("Speed"&amp;_num),11,0)*((1/VLOOKUP(P$4,INDIRECT("Speed"&amp;_num),6,0)-1/$C7)/(1/VLOOKUP(P$4,INDIRECT("Speed"&amp;_num),6,0)-1/VLOOKUP(P$4,INDIRECT("Speed"&amp;_num),7,0)))^2+VLOOKUP(P$4,INDIRECT("Speed"&amp;_num),8,0)+VLOOKUP("DxR",Constants,_num,0)*VLOOKUP(P$4,INDIRECT("Speed"&amp;_num),10,0)*(1/$C7-1/VLOOKUP(P$4,INDIRECT("Speed"&amp;_num),7,0)),VLOOKUP(P$4,INDIRECT("Speed"&amp;_num),11,0)*(VLOOKUP(P$4,INDIRECT("Speed"&amp;_num),7,0)/$C7)^2+VLOOKUP("DxR",Constants,_num,0)*VLOOKUP(P$4,INDIRECT("Speed"&amp;_num),9,0)/$C7)</f>
        <v>0.05625395458791291</v>
      </c>
    </row>
    <row r="8" spans="1:21" ht="12.75">
      <c r="A8" s="130">
        <f>CONVERT(C8,Length,IF(Metric,"ft","m"))</f>
        <v>323.088</v>
      </c>
      <c r="B8" s="111">
        <f>IF(C8&gt;0,DxR/(IF(Metric,A8,C8)*24),"")</f>
        <v>0.2252192590923742</v>
      </c>
      <c r="C8" s="112">
        <f ca="1">IF(DC_used,DxR/MROUND(DxR/VLOOKUP(D4,INDIRECT("Speed"&amp;_num),6,0),0.25),H3)</f>
        <v>1060</v>
      </c>
      <c r="D8" s="113">
        <f>IF($C8&lt;MAX(H$3,MinR),"",IF(I8&lt;NC,IF(ROUND(I8,4)&gt;NC-0.005,NC,"NC"),CEILING(ROUND(I8,4),Round_e)))</f>
        <v>0.06</v>
      </c>
      <c r="E8" s="114">
        <f ca="1">IF(ISTEXT(D8),"",MROUND(Width*D8*VLOOKUP(Lanes,Lanes_adj,2,0)/VLOOKUP(D$4,INDIRECT("Speed"&amp;_num),4,0),Round_L))</f>
        <v>153</v>
      </c>
      <c r="F8" s="114">
        <f>IF(ISTEXT(D8),"",MROUND(MAX(SQRT(24*VLOOKUP("pmin",Constants,_num,0)*$C8),VLOOKUP("Ls",Constants,_num,0)*D$4^3/($C8*VLOOKUP("C",Constants,_num,0))),Round_L))</f>
        <v>130</v>
      </c>
      <c r="G8" s="114">
        <f>IF(E8="","",IF(MAX(H$4,E8)&lt;F8,IF(AND(E8&gt;H$4,F8-E8=1),F8,""),IF(MAX(H$4,E8)&gt;H8,"",MAX(H$4,E8))))</f>
        <v>185</v>
      </c>
      <c r="H8" s="114">
        <f>IF(ISTEXT(D8),"",MROUND(SQRT(24*VLOOKUP("pmax",Constants,_num,0)*$C8),Round_L))</f>
        <v>290</v>
      </c>
      <c r="I8" s="115">
        <f ca="1">(eMax+VLOOKUP(D$4,INDIRECT("Speed"&amp;_num),2,0))*VLOOKUP(D$4,INDIRECT("Speed"&amp;_num),6)/$C8-IF(1/$C8&gt;1/VLOOKUP(D$4,INDIRECT("Speed"&amp;_num),7,0),VLOOKUP(D$4,INDIRECT("Speed"&amp;_num),11,0)*((1/VLOOKUP(D$4,INDIRECT("Speed"&amp;_num),6,0)-1/$C8)/(1/VLOOKUP(D$4,INDIRECT("Speed"&amp;_num),6,0)-1/VLOOKUP(D$4,INDIRECT("Speed"&amp;_num),7,0)))^2+VLOOKUP(D$4,INDIRECT("Speed"&amp;_num),8,0)+VLOOKUP("DxR",Constants,_num,0)*VLOOKUP(D$4,INDIRECT("Speed"&amp;_num),10,0)*(1/$C8-1/VLOOKUP(D$4,INDIRECT("Speed"&amp;_num),7,0)),VLOOKUP(D$4,INDIRECT("Speed"&amp;_num),11,0)*(VLOOKUP(D$4,INDIRECT("Speed"&amp;_num),7,0)/$C8)^2+VLOOKUP("DxR",Constants,_num,0)*VLOOKUP(D$4,INDIRECT("Speed"&amp;_num),9,0)/$C8)</f>
        <v>0.06</v>
      </c>
      <c r="J8" s="113">
        <f>IF($C8&lt;MAX(N$3,MinR),"",IF(O8&lt;NC,IF(ROUND(O8,4)&gt;NC-0.005,NC,"NC"),CEILING(ROUND(O8,4),Round_e)))</f>
      </c>
      <c r="K8" s="114">
        <f ca="1">IF(ISTEXT(J8),"",MROUND(Width*J8*VLOOKUP(Lanes,Lanes_adj,2,0)/VLOOKUP(J$4,INDIRECT("Speed"&amp;_num),4,0),Round_L))</f>
      </c>
      <c r="L8" s="114">
        <f>IF(ISTEXT(J8),"",MROUND(MAX(SQRT(24*VLOOKUP("pmin",Constants,_num,0)*$C8),VLOOKUP("Ls",Constants,_num,0)*J$4^3/($C8*VLOOKUP("C",Constants,_num,0))),Round_L))</f>
      </c>
      <c r="M8" s="114">
        <f t="shared" si="0"/>
      </c>
      <c r="N8" s="114">
        <f>IF(ISTEXT(J8),"",MROUND(SQRT(24*VLOOKUP("pmax",Constants,_num,0)*$C8),Round_L))</f>
      </c>
      <c r="O8" s="115">
        <f ca="1">(eMax+VLOOKUP(J$4,INDIRECT("Speed"&amp;_num),2,0))*VLOOKUP(J$4,INDIRECT("Speed"&amp;_num),6)/$C8-IF(1/$C8&gt;1/VLOOKUP(J$4,INDIRECT("Speed"&amp;_num),7,0),VLOOKUP(J$4,INDIRECT("Speed"&amp;_num),11,0)*((1/VLOOKUP(J$4,INDIRECT("Speed"&amp;_num),6,0)-1/$C8)/(1/VLOOKUP(J$4,INDIRECT("Speed"&amp;_num),6,0)-1/VLOOKUP(J$4,INDIRECT("Speed"&amp;_num),7,0)))^2+VLOOKUP(J$4,INDIRECT("Speed"&amp;_num),8,0)+VLOOKUP("DxR",Constants,_num,0)*VLOOKUP(J$4,INDIRECT("Speed"&amp;_num),10,0)*(1/$C8-1/VLOOKUP(J$4,INDIRECT("Speed"&amp;_num),7,0)),VLOOKUP(J$4,INDIRECT("Speed"&amp;_num),11,0)*(VLOOKUP(J$4,INDIRECT("Speed"&amp;_num),7,0)/$C8)^2+VLOOKUP("DxR",Constants,_num,0)*VLOOKUP(J$4,INDIRECT("Speed"&amp;_num),9,0)/$C8)</f>
        <v>0.056619677221845355</v>
      </c>
      <c r="P8" s="113">
        <f>IF($C8&lt;MAX(T$3,MinR),"",IF(U8&lt;NC,IF(ROUND(U8,4)&gt;NC-0.005,NC,"NC"),CEILING(ROUND(U8,4),Round_e)))</f>
      </c>
      <c r="Q8" s="114">
        <f ca="1">IF(ISTEXT(P8),"",MROUND(Width*P8*VLOOKUP(Lanes,Lanes_adj,2,0)/VLOOKUP(P$4,INDIRECT("Speed"&amp;_num),4,0),Round_L))</f>
      </c>
      <c r="R8" s="114">
        <f>IF(ISTEXT(P8),"",MROUND(MAX(SQRT(24*VLOOKUP("pmin",Constants,_num,0)*$C8),VLOOKUP("Ls",Constants,_num,0)*P$4^3/($C8*VLOOKUP("C",Constants,_num,0))),Round_L))</f>
      </c>
      <c r="S8" s="114">
        <f t="shared" si="1"/>
      </c>
      <c r="T8" s="114">
        <f>IF(ISTEXT(P8),"",MROUND(SQRT(24*VLOOKUP("pmax",Constants,_num,0)*$C8),Round_L))</f>
      </c>
      <c r="U8" s="115">
        <f ca="1">(eMax+VLOOKUP(P$4,INDIRECT("Speed"&amp;_num),2,0))*VLOOKUP(P$4,INDIRECT("Speed"&amp;_num),6)/$C8-IF(1/$C8&gt;1/VLOOKUP(P$4,INDIRECT("Speed"&amp;_num),7,0),VLOOKUP(P$4,INDIRECT("Speed"&amp;_num),11,0)*((1/VLOOKUP(P$4,INDIRECT("Speed"&amp;_num),6,0)-1/$C8)/(1/VLOOKUP(P$4,INDIRECT("Speed"&amp;_num),6,0)-1/VLOOKUP(P$4,INDIRECT("Speed"&amp;_num),7,0)))^2+VLOOKUP(P$4,INDIRECT("Speed"&amp;_num),8,0)+VLOOKUP("DxR",Constants,_num,0)*VLOOKUP(P$4,INDIRECT("Speed"&amp;_num),10,0)*(1/$C8-1/VLOOKUP(P$4,INDIRECT("Speed"&amp;_num),7,0)),VLOOKUP(P$4,INDIRECT("Speed"&amp;_num),11,0)*(VLOOKUP(P$4,INDIRECT("Speed"&amp;_num),7,0)/$C8)^2+VLOOKUP("DxR",Constants,_num,0)*VLOOKUP(P$4,INDIRECT("Speed"&amp;_num),9,0)/$C8)</f>
        <v>0.040731668949127636</v>
      </c>
    </row>
    <row r="9" spans="1:21" ht="12.75">
      <c r="A9" s="68">
        <f>CONVERT(C9,Length,IF(Metric,"ft","m"))</f>
        <v>533.4</v>
      </c>
      <c r="B9" s="59">
        <f>IF(C9&gt;0,DxR/(IF(Metric,A9,C9)*24),"")</f>
        <v>0.1364185226502381</v>
      </c>
      <c r="C9" s="85">
        <v>1750</v>
      </c>
      <c r="D9" s="55">
        <f aca="true" t="shared" si="2" ref="D9:D50">IF($C9&lt;MAX(H$3,MinR),"",IF(I9&lt;NC,IF(ROUND(I9,4)&gt;NC-0.005,NC,"NC"),CEILING(ROUND(I9,4),Round_e)))</f>
        <v>0.052000000000000005</v>
      </c>
      <c r="E9" s="56">
        <f ca="1">IF(ISTEXT(D9),"",MROUND(Width*D9*VLOOKUP(Lanes,Lanes_adj,2,0)/VLOOKUP(D$4,INDIRECT("Speed"&amp;_num),4,0),Round_L))</f>
        <v>133</v>
      </c>
      <c r="F9" s="56">
        <f>IF(ISTEXT(D9),"",MROUND(MAX(SQRT(24*VLOOKUP("pmin",Constants,_num,0)*$C9),VLOOKUP("Ls",Constants,_num,0)*D$4^3/($C9*VLOOKUP("C",Constants,_num,0))),Round_L))</f>
        <v>166</v>
      </c>
      <c r="G9" s="56">
        <f aca="true" t="shared" si="3" ref="G9:G50">IF(E9="","",IF(MAX(H$4,E9)&lt;F9,IF(AND(E9&gt;H$4,F9-E9=1),F9,""),IF(MAX(H$4,E9)&gt;H9,"",MAX(H$4,E9))))</f>
        <v>185</v>
      </c>
      <c r="H9" s="56">
        <f>IF(ISTEXT(D9),"",MROUND(SQRT(24*VLOOKUP("pmax",Constants,_num,0)*$C9),Round_L))</f>
        <v>372</v>
      </c>
      <c r="I9" s="57">
        <f aca="true" ca="1" t="shared" si="4" ref="I9:I50">(eMax+VLOOKUP(D$4,INDIRECT("Speed"&amp;_num),2,0))*VLOOKUP(D$4,INDIRECT("Speed"&amp;_num),6)/$C9-IF(1/$C9&gt;1/VLOOKUP(D$4,INDIRECT("Speed"&amp;_num),7,0),VLOOKUP(D$4,INDIRECT("Speed"&amp;_num),11,0)*((1/VLOOKUP(D$4,INDIRECT("Speed"&amp;_num),6,0)-1/$C9)/(1/VLOOKUP(D$4,INDIRECT("Speed"&amp;_num),6,0)-1/VLOOKUP(D$4,INDIRECT("Speed"&amp;_num),7,0)))^2+VLOOKUP(D$4,INDIRECT("Speed"&amp;_num),8,0)+VLOOKUP("DxR",Constants,_num,0)*VLOOKUP(D$4,INDIRECT("Speed"&amp;_num),10,0)*(1/$C9-1/VLOOKUP(D$4,INDIRECT("Speed"&amp;_num),7,0)),VLOOKUP(D$4,INDIRECT("Speed"&amp;_num),11,0)*(VLOOKUP(D$4,INDIRECT("Speed"&amp;_num),7,0)/$C9)^2+VLOOKUP("DxR",Constants,_num,0)*VLOOKUP(D$4,INDIRECT("Speed"&amp;_num),9,0)/$C9)</f>
        <v>0.051993874111564614</v>
      </c>
      <c r="J9" s="55">
        <f aca="true" t="shared" si="5" ref="J9:J50">IF($C9&lt;MAX(N$3,MinR),"",IF(O9&lt;NC,IF(ROUND(O9,4)&gt;NC-0.005,NC,"NC"),CEILING(ROUND(O9,4),Round_e)))</f>
        <v>0.058</v>
      </c>
      <c r="K9" s="56">
        <f ca="1">IF(ISTEXT(J9),"",MROUND(Width*J9*VLOOKUP(Lanes,Lanes_adj,2,0)/VLOOKUP(J$4,INDIRECT("Speed"&amp;_num),4,0),Round_L))</f>
        <v>155</v>
      </c>
      <c r="L9" s="56">
        <f>IF(ISTEXT(J9),"",MROUND(MAX(SQRT(24*VLOOKUP("pmin",Constants,_num,0)*$C9),VLOOKUP("Ls",Constants,_num,0)*J$4^3/($C9*VLOOKUP("C",Constants,_num,0))),Round_L))</f>
        <v>166</v>
      </c>
      <c r="M9" s="56">
        <f t="shared" si="0"/>
        <v>200</v>
      </c>
      <c r="N9" s="56">
        <f>IF(ISTEXT(J9),"",MROUND(SQRT(24*VLOOKUP("pmax",Constants,_num,0)*$C9),Round_L))</f>
        <v>372</v>
      </c>
      <c r="O9" s="57">
        <f aca="true" ca="1" t="shared" si="6" ref="O9:O50">(eMax+VLOOKUP(J$4,INDIRECT("Speed"&amp;_num),2,0))*VLOOKUP(J$4,INDIRECT("Speed"&amp;_num),6)/$C9-IF(1/$C9&gt;1/VLOOKUP(J$4,INDIRECT("Speed"&amp;_num),7,0),VLOOKUP(J$4,INDIRECT("Speed"&amp;_num),11,0)*((1/VLOOKUP(J$4,INDIRECT("Speed"&amp;_num),6,0)-1/$C9)/(1/VLOOKUP(J$4,INDIRECT("Speed"&amp;_num),6,0)-1/VLOOKUP(J$4,INDIRECT("Speed"&amp;_num),7,0)))^2+VLOOKUP(J$4,INDIRECT("Speed"&amp;_num),8,0)+VLOOKUP("DxR",Constants,_num,0)*VLOOKUP(J$4,INDIRECT("Speed"&amp;_num),10,0)*(1/$C9-1/VLOOKUP(J$4,INDIRECT("Speed"&amp;_num),7,0)),VLOOKUP(J$4,INDIRECT("Speed"&amp;_num),11,0)*(VLOOKUP(J$4,INDIRECT("Speed"&amp;_num),7,0)/$C9)^2+VLOOKUP("DxR",Constants,_num,0)*VLOOKUP(J$4,INDIRECT("Speed"&amp;_num),9,0)/$C9)</f>
        <v>0.056831979329375976</v>
      </c>
      <c r="P9" s="55">
        <f aca="true" t="shared" si="7" ref="P9:P50">IF($C9&lt;MAX(T$3,MinR),"",IF(U9&lt;NC,IF(ROUND(U9,4)&gt;NC-0.005,NC,"NC"),CEILING(ROUND(U9,4),Round_e)))</f>
        <v>0.06</v>
      </c>
      <c r="Q9" s="56">
        <f ca="1">IF(ISTEXT(P9),"",MROUND(Width*P9*VLOOKUP(Lanes,Lanes_adj,2,0)/VLOOKUP(P$4,INDIRECT("Speed"&amp;_num),4,0),Round_L))</f>
        <v>167</v>
      </c>
      <c r="R9" s="56">
        <f>IF(ISTEXT(P9),"",MROUND(MAX(SQRT(24*VLOOKUP("pmin",Constants,_num,0)*$C9),VLOOKUP("Ls",Constants,_num,0)*P$4^3/($C9*VLOOKUP("C",Constants,_num,0))),Round_L))</f>
        <v>166</v>
      </c>
      <c r="S9" s="56">
        <f t="shared" si="1"/>
        <v>220</v>
      </c>
      <c r="T9" s="56">
        <f>IF(ISTEXT(P9),"",MROUND(SQRT(24*VLOOKUP("pmax",Constants,_num,0)*$C9),Round_L))</f>
        <v>372</v>
      </c>
      <c r="U9" s="57">
        <f aca="true" ca="1" t="shared" si="8" ref="U9:U50">(eMax+VLOOKUP(P$4,INDIRECT("Speed"&amp;_num),2,0))*VLOOKUP(P$4,INDIRECT("Speed"&amp;_num),6)/$C9-IF(1/$C9&gt;1/VLOOKUP(P$4,INDIRECT("Speed"&amp;_num),7,0),VLOOKUP(P$4,INDIRECT("Speed"&amp;_num),11,0)*((1/VLOOKUP(P$4,INDIRECT("Speed"&amp;_num),6,0)-1/$C9)/(1/VLOOKUP(P$4,INDIRECT("Speed"&amp;_num),6,0)-1/VLOOKUP(P$4,INDIRECT("Speed"&amp;_num),7,0)))^2+VLOOKUP(P$4,INDIRECT("Speed"&amp;_num),8,0)+VLOOKUP("DxR",Constants,_num,0)*VLOOKUP(P$4,INDIRECT("Speed"&amp;_num),10,0)*(1/$C9-1/VLOOKUP(P$4,INDIRECT("Speed"&amp;_num),7,0)),VLOOKUP(P$4,INDIRECT("Speed"&amp;_num),11,0)*(VLOOKUP(P$4,INDIRECT("Speed"&amp;_num),7,0)/$C9)^2+VLOOKUP("DxR",Constants,_num,0)*VLOOKUP(P$4,INDIRECT("Speed"&amp;_num),9,0)/$C9)</f>
        <v>0.05985852842209213</v>
      </c>
    </row>
    <row r="10" spans="1:21" ht="12.75">
      <c r="A10" s="69">
        <f>CONVERT(DxR/(B10*24),"ft",IF(Metric,"ft","m"))</f>
        <v>582.125119853096</v>
      </c>
      <c r="B10" s="60">
        <v>0.125</v>
      </c>
      <c r="C10" s="86">
        <f>CONVERT(DxR/(B10*24),"ft",Length)</f>
        <v>1909.8593171033333</v>
      </c>
      <c r="D10" s="20">
        <f t="shared" si="2"/>
        <v>0.05</v>
      </c>
      <c r="E10" s="14">
        <f ca="1">IF(ISTEXT(D10),"",MROUND(Width*D10*VLOOKUP(Lanes,Lanes_adj,2,0)/VLOOKUP(D$4,INDIRECT("Speed"&amp;_num),4,0),Round_L))</f>
        <v>128</v>
      </c>
      <c r="F10" s="14">
        <f>IF(ISTEXT(D10),"",MROUND(MAX(SQRT(24*VLOOKUP("pmin",Constants,_num,0)*$C10),VLOOKUP("Ls",Constants,_num,0)*D$4^3/($C10*VLOOKUP("C",Constants,_num,0))),Round_L))</f>
        <v>174</v>
      </c>
      <c r="G10" s="14">
        <f t="shared" si="3"/>
        <v>185</v>
      </c>
      <c r="H10" s="14">
        <f>IF(ISTEXT(D10),"",MROUND(SQRT(24*VLOOKUP("pmax",Constants,_num,0)*$C10),Round_L))</f>
        <v>389</v>
      </c>
      <c r="I10" s="58">
        <f ca="1" t="shared" si="4"/>
        <v>0.04981272057930888</v>
      </c>
      <c r="J10" s="20">
        <f t="shared" si="5"/>
        <v>0.056</v>
      </c>
      <c r="K10" s="14">
        <f ca="1">IF(ISTEXT(J10),"",MROUND(Width*J10*VLOOKUP(Lanes,Lanes_adj,2,0)/VLOOKUP(J$4,INDIRECT("Speed"&amp;_num),4,0),Round_L))</f>
        <v>149</v>
      </c>
      <c r="L10" s="14">
        <f>IF(ISTEXT(J10),"",MROUND(MAX(SQRT(24*VLOOKUP("pmin",Constants,_num,0)*$C10),VLOOKUP("Ls",Constants,_num,0)*J$4^3/($C10*VLOOKUP("C",Constants,_num,0))),Round_L))</f>
        <v>174</v>
      </c>
      <c r="M10" s="14">
        <f t="shared" si="0"/>
        <v>200</v>
      </c>
      <c r="N10" s="14">
        <f>IF(ISTEXT(J10),"",MROUND(SQRT(24*VLOOKUP("pmax",Constants,_num,0)*$C10),Round_L))</f>
        <v>389</v>
      </c>
      <c r="O10" s="58">
        <f ca="1" t="shared" si="6"/>
        <v>0.05495883535037144</v>
      </c>
      <c r="P10" s="20">
        <f t="shared" si="7"/>
        <v>0.06</v>
      </c>
      <c r="Q10" s="14">
        <f ca="1">IF(ISTEXT(P10),"",MROUND(Width*P10*VLOOKUP(Lanes,Lanes_adj,2,0)/VLOOKUP(P$4,INDIRECT("Speed"&amp;_num),4,0),Round_L))</f>
        <v>167</v>
      </c>
      <c r="R10" s="14">
        <f>IF(ISTEXT(P10),"",MROUND(MAX(SQRT(24*VLOOKUP("pmin",Constants,_num,0)*$C10),VLOOKUP("Ls",Constants,_num,0)*P$4^3/($C10*VLOOKUP("C",Constants,_num,0))),Round_L))</f>
        <v>174</v>
      </c>
      <c r="S10" s="14">
        <f t="shared" si="1"/>
        <v>220</v>
      </c>
      <c r="T10" s="14">
        <f>IF(ISTEXT(P10),"",MROUND(SQRT(24*VLOOKUP("pmax",Constants,_num,0)*$C10),Round_L))</f>
        <v>389</v>
      </c>
      <c r="U10" s="58">
        <f ca="1" t="shared" si="8"/>
        <v>0.05902119738252988</v>
      </c>
    </row>
    <row r="11" spans="1:21" ht="12.75">
      <c r="A11" s="110">
        <v>500</v>
      </c>
      <c r="B11" s="111">
        <f aca="true" t="shared" si="9" ref="B11:B50">IF(C11&gt;0,DxR/(IF(Metric,A11,C11)*24),"")</f>
        <v>0.1455685455109248</v>
      </c>
      <c r="C11" s="112">
        <f>ROUND(CONVERT(A11,IF(Metric,"ft","m"),Length),0)</f>
        <v>1640</v>
      </c>
      <c r="D11" s="113">
        <f t="shared" si="2"/>
        <v>0.054</v>
      </c>
      <c r="E11" s="114">
        <f ca="1">IF(ISTEXT(D11),"",MROUND(Width*D11*VLOOKUP(Lanes,Lanes_adj,2,0)/VLOOKUP(D$4,INDIRECT("Speed"&amp;_num),4,0),Round_L))</f>
        <v>138</v>
      </c>
      <c r="F11" s="114">
        <f>IF(ISTEXT(D11),"",MROUND(MAX(SQRT(24*VLOOKUP("pmin",Constants,_num,0)*$C11),VLOOKUP("Ls",Constants,_num,0)*D$4^3/($C11*VLOOKUP("C",Constants,_num,0))),Round_L))</f>
        <v>161</v>
      </c>
      <c r="G11" s="114">
        <f t="shared" si="3"/>
        <v>185</v>
      </c>
      <c r="H11" s="114">
        <f>IF(ISTEXT(D11),"",MROUND(SQRT(24*VLOOKUP("pmax",Constants,_num,0)*$C11),Round_L))</f>
        <v>360</v>
      </c>
      <c r="I11" s="115">
        <f ca="1" t="shared" si="4"/>
        <v>0.0535522943574151</v>
      </c>
      <c r="J11" s="113">
        <f t="shared" si="5"/>
        <v>0.058</v>
      </c>
      <c r="K11" s="114">
        <f ca="1">IF(ISTEXT(J11),"",MROUND(Width*J11*VLOOKUP(Lanes,Lanes_adj,2,0)/VLOOKUP(J$4,INDIRECT("Speed"&amp;_num),4,0),Round_L))</f>
        <v>155</v>
      </c>
      <c r="L11" s="114">
        <f>IF(ISTEXT(J11),"",MROUND(MAX(SQRT(24*VLOOKUP("pmin",Constants,_num,0)*$C11),VLOOKUP("Ls",Constants,_num,0)*J$4^3/($C11*VLOOKUP("C",Constants,_num,0))),Round_L))</f>
        <v>161</v>
      </c>
      <c r="M11" s="114">
        <f t="shared" si="0"/>
        <v>200</v>
      </c>
      <c r="N11" s="114">
        <f>IF(ISTEXT(J11),"",MROUND(SQRT(24*VLOOKUP("pmax",Constants,_num,0)*$C11),Round_L))</f>
        <v>360</v>
      </c>
      <c r="O11" s="115">
        <f ca="1" t="shared" si="6"/>
        <v>0.05802043875759093</v>
      </c>
      <c r="P11" s="113">
        <f t="shared" si="7"/>
      </c>
      <c r="Q11" s="114">
        <f ca="1">IF(ISTEXT(P11),"",MROUND(Width*P11*VLOOKUP(Lanes,Lanes_adj,2,0)/VLOOKUP(P$4,INDIRECT("Speed"&amp;_num),4,0),Round_L))</f>
      </c>
      <c r="R11" s="114">
        <f>IF(ISTEXT(P11),"",MROUND(MAX(SQRT(24*VLOOKUP("pmin",Constants,_num,0)*$C11),VLOOKUP("Ls",Constants,_num,0)*P$4^3/($C11*VLOOKUP("C",Constants,_num,0))),Round_L))</f>
      </c>
      <c r="S11" s="114">
        <f t="shared" si="1"/>
      </c>
      <c r="T11" s="114">
        <f>IF(ISTEXT(P11),"",MROUND(SQRT(24*VLOOKUP("pmax",Constants,_num,0)*$C11),Round_L))</f>
      </c>
      <c r="U11" s="115">
        <f ca="1" t="shared" si="8"/>
        <v>0.059987315079875175</v>
      </c>
    </row>
    <row r="12" spans="1:21" ht="12.75">
      <c r="A12" s="68">
        <f>CONVERT(C12,Length,IF(Metric,"ft","m"))</f>
        <v>3810</v>
      </c>
      <c r="B12" s="59">
        <f t="shared" si="9"/>
        <v>0.019098593171033334</v>
      </c>
      <c r="C12" s="108">
        <f ca="1">VLOOKUP(V,INDIRECT("Speed"&amp;_num),12+DC_used,0)</f>
        <v>12500</v>
      </c>
      <c r="D12" s="109" t="str">
        <f t="shared" si="2"/>
        <v>NC</v>
      </c>
      <c r="E12" s="56">
        <f ca="1">IF(ISTEXT(D12),"",MROUND(Width*D12*VLOOKUP(Lanes,Lanes_adj,2,0)/VLOOKUP(D$4,INDIRECT("Speed"&amp;_num),4,0),Round_L))</f>
      </c>
      <c r="F12" s="56">
        <f>IF(ISTEXT(D12),"",MROUND(MAX(SQRT(24*VLOOKUP("pmin",Constants,_num,0)*$C12),VLOOKUP("Ls",Constants,_num,0)*D$4^3/($C12*VLOOKUP("C",Constants,_num,0))),Round_L))</f>
      </c>
      <c r="G12" s="56">
        <f t="shared" si="3"/>
      </c>
      <c r="H12" s="56">
        <f>IF(ISTEXT(D12),"",MROUND(SQRT(24*VLOOKUP("pmax",Constants,_num,0)*$C12),Round_L))</f>
      </c>
      <c r="I12" s="57">
        <f ca="1" t="shared" si="4"/>
        <v>0.011531571200000002</v>
      </c>
      <c r="J12" s="109" t="str">
        <f t="shared" si="5"/>
        <v>NC</v>
      </c>
      <c r="K12" s="56">
        <f ca="1">IF(ISTEXT(J12),"",MROUND(Width*J12*VLOOKUP(Lanes,Lanes_adj,2,0)/VLOOKUP(J$4,INDIRECT("Speed"&amp;_num),4,0),Round_L))</f>
      </c>
      <c r="L12" s="56">
        <f>IF(ISTEXT(J12),"",MROUND(MAX(SQRT(24*VLOOKUP("pmin",Constants,_num,0)*$C12),VLOOKUP("Ls",Constants,_num,0)*J$4^3/($C12*VLOOKUP("C",Constants,_num,0))),Round_L))</f>
      </c>
      <c r="M12" s="56">
        <f t="shared" si="0"/>
      </c>
      <c r="N12" s="56">
        <f>IF(ISTEXT(J12),"",MROUND(SQRT(24*VLOOKUP("pmax",Constants,_num,0)*$C12),Round_L))</f>
      </c>
      <c r="O12" s="57">
        <f ca="1" t="shared" si="6"/>
        <v>0.01341319300740741</v>
      </c>
      <c r="P12" s="109">
        <f t="shared" si="7"/>
        <v>0.02</v>
      </c>
      <c r="Q12" s="56">
        <f ca="1">IF(ISTEXT(P12),"",MROUND(Width*P12*VLOOKUP(Lanes,Lanes_adj,2,0)/VLOOKUP(P$4,INDIRECT("Speed"&amp;_num),4,0),Round_L))</f>
        <v>56</v>
      </c>
      <c r="R12" s="56">
        <f>IF(ISTEXT(P12),"",MROUND(MAX(SQRT(24*VLOOKUP("pmin",Constants,_num,0)*$C12),VLOOKUP("Ls",Constants,_num,0)*P$4^3/($C12*VLOOKUP("C",Constants,_num,0))),Round_L))</f>
        <v>445</v>
      </c>
      <c r="S12" s="56">
        <f t="shared" si="1"/>
      </c>
      <c r="T12" s="56">
        <f>IF(ISTEXT(P12),"",MROUND(SQRT(24*VLOOKUP("pmax",Constants,_num,0)*$C12),Round_L))</f>
        <v>995</v>
      </c>
      <c r="U12" s="57">
        <f ca="1" t="shared" si="8"/>
        <v>0.015072479999999996</v>
      </c>
    </row>
    <row r="13" spans="1:21" ht="12.75">
      <c r="A13" s="68">
        <f>CONVERT(C13,Length,IF(Metric,"ft","m"))</f>
        <v>3048</v>
      </c>
      <c r="B13" s="59">
        <f t="shared" si="9"/>
        <v>0.023873241463791665</v>
      </c>
      <c r="C13" s="86">
        <f aca="true" ca="1" t="shared" si="10" ref="C13:C50">IF(OFFSET(C13,-1,0)&lt;=MinR,0,MAX(IF(DC_used,DxR/(24*(OFFSET(C13,-1,-1)+VLOOKUP(OFFSET(C13,-1,-1),Incr_DC,2))),OFFSET(C13,-1,0)-VLOOKUP(OFFSET(C13,-1,0),Incr,2)),MinR))</f>
        <v>10000</v>
      </c>
      <c r="D13" s="20" t="str">
        <f t="shared" si="2"/>
        <v>NC</v>
      </c>
      <c r="E13" s="14">
        <f ca="1">IF(ISTEXT(D13),"",MROUND(Width*D13*VLOOKUP(Lanes,Lanes_adj,2,0)/VLOOKUP(D$4,INDIRECT("Speed"&amp;_num),4,0),Round_L))</f>
      </c>
      <c r="F13" s="14">
        <f>IF(ISTEXT(D13),"",MROUND(MAX(SQRT(24*VLOOKUP("pmin",Constants,_num,0)*$C13),VLOOKUP("Ls",Constants,_num,0)*D$4^3/($C13*VLOOKUP("C",Constants,_num,0))),Round_L))</f>
      </c>
      <c r="G13" s="14">
        <f t="shared" si="3"/>
      </c>
      <c r="H13" s="14">
        <f>IF(ISTEXT(D13),"",MROUND(SQRT(24*VLOOKUP("pmax",Constants,_num,0)*$C13),Round_L))</f>
      </c>
      <c r="I13" s="58">
        <f ca="1" t="shared" si="4"/>
        <v>0.014184746666666668</v>
      </c>
      <c r="J13" s="20">
        <f t="shared" si="5"/>
        <v>0.02</v>
      </c>
      <c r="K13" s="14">
        <f ca="1">IF(ISTEXT(J13),"",MROUND(Width*J13*VLOOKUP(Lanes,Lanes_adj,2,0)/VLOOKUP(J$4,INDIRECT("Speed"&amp;_num),4,0),Round_L))</f>
        <v>53</v>
      </c>
      <c r="L13" s="14">
        <f>IF(ISTEXT(J13),"",MROUND(MAX(SQRT(24*VLOOKUP("pmin",Constants,_num,0)*$C13),VLOOKUP("Ls",Constants,_num,0)*J$4^3/($C13*VLOOKUP("C",Constants,_num,0))),Round_L))</f>
        <v>398</v>
      </c>
      <c r="M13" s="14">
        <f t="shared" si="0"/>
      </c>
      <c r="N13" s="14">
        <f>IF(ISTEXT(J13),"",MROUND(SQRT(24*VLOOKUP("pmax",Constants,_num,0)*$C13),Round_L))</f>
        <v>890</v>
      </c>
      <c r="O13" s="58">
        <f ca="1" t="shared" si="6"/>
        <v>0.01646644740740741</v>
      </c>
      <c r="P13" s="20">
        <f t="shared" si="7"/>
        <v>0.02</v>
      </c>
      <c r="Q13" s="14">
        <f ca="1">IF(ISTEXT(P13),"",MROUND(Width*P13*VLOOKUP(Lanes,Lanes_adj,2,0)/VLOOKUP(P$4,INDIRECT("Speed"&amp;_num),4,0),Round_L))</f>
        <v>56</v>
      </c>
      <c r="R13" s="14">
        <f>IF(ISTEXT(P13),"",MROUND(MAX(SQRT(24*VLOOKUP("pmin",Constants,_num,0)*$C13),VLOOKUP("Ls",Constants,_num,0)*P$4^3/($C13*VLOOKUP("C",Constants,_num,0))),Round_L))</f>
        <v>398</v>
      </c>
      <c r="S13" s="14">
        <f t="shared" si="1"/>
      </c>
      <c r="T13" s="14">
        <f>IF(ISTEXT(P13),"",MROUND(SQRT(24*VLOOKUP("pmax",Constants,_num,0)*$C13),Round_L))</f>
        <v>890</v>
      </c>
      <c r="U13" s="58">
        <f ca="1" t="shared" si="8"/>
        <v>0.018495749999999995</v>
      </c>
    </row>
    <row r="14" spans="1:21" ht="12.75">
      <c r="A14" s="68">
        <f>CONVERT(C14,Length,IF(Metric,"ft","m"))</f>
        <v>2438.4</v>
      </c>
      <c r="B14" s="59">
        <f t="shared" si="9"/>
        <v>0.02984155182973958</v>
      </c>
      <c r="C14" s="86">
        <f ca="1" t="shared" si="10"/>
        <v>8000</v>
      </c>
      <c r="D14" s="20">
        <f t="shared" si="2"/>
        <v>0.02</v>
      </c>
      <c r="E14" s="14">
        <f ca="1">IF(ISTEXT(D14),"",MROUND(Width*D14*VLOOKUP(Lanes,Lanes_adj,2,0)/VLOOKUP(D$4,INDIRECT("Speed"&amp;_num),4,0),Round_L))</f>
        <v>51</v>
      </c>
      <c r="F14" s="14">
        <f>IF(ISTEXT(D14),"",MROUND(MAX(SQRT(24*VLOOKUP("pmin",Constants,_num,0)*$C14),VLOOKUP("Ls",Constants,_num,0)*D$4^3/($C14*VLOOKUP("C",Constants,_num,0))),Round_L))</f>
        <v>356</v>
      </c>
      <c r="G14" s="14">
        <f t="shared" si="3"/>
      </c>
      <c r="H14" s="14">
        <f>IF(ISTEXT(D14),"",MROUND(SQRT(24*VLOOKUP("pmax",Constants,_num,0)*$C14),Round_L))</f>
        <v>796</v>
      </c>
      <c r="I14" s="58">
        <f ca="1" t="shared" si="4"/>
        <v>0.017372</v>
      </c>
      <c r="J14" s="20">
        <f t="shared" si="5"/>
        <v>0.022</v>
      </c>
      <c r="K14" s="14">
        <f ca="1">IF(ISTEXT(J14),"",MROUND(Width*J14*VLOOKUP(Lanes,Lanes_adj,2,0)/VLOOKUP(J$4,INDIRECT("Speed"&amp;_num),4,0),Round_L))</f>
        <v>59</v>
      </c>
      <c r="L14" s="14">
        <f>IF(ISTEXT(J14),"",MROUND(MAX(SQRT(24*VLOOKUP("pmin",Constants,_num,0)*$C14),VLOOKUP("Ls",Constants,_num,0)*J$4^3/($C14*VLOOKUP("C",Constants,_num,0))),Round_L))</f>
        <v>356</v>
      </c>
      <c r="M14" s="14">
        <f t="shared" si="0"/>
      </c>
      <c r="N14" s="14">
        <f>IF(ISTEXT(J14),"",MROUND(SQRT(24*VLOOKUP("pmax",Constants,_num,0)*$C14),Round_L))</f>
        <v>796</v>
      </c>
      <c r="O14" s="58">
        <f ca="1" t="shared" si="6"/>
        <v>0.020114240740740745</v>
      </c>
      <c r="P14" s="20">
        <f t="shared" si="7"/>
        <v>0.024</v>
      </c>
      <c r="Q14" s="14">
        <f ca="1">IF(ISTEXT(P14),"",MROUND(Width*P14*VLOOKUP(Lanes,Lanes_adj,2,0)/VLOOKUP(P$4,INDIRECT("Speed"&amp;_num),4,0),Round_L))</f>
        <v>67</v>
      </c>
      <c r="R14" s="14">
        <f>IF(ISTEXT(P14),"",MROUND(MAX(SQRT(24*VLOOKUP("pmin",Constants,_num,0)*$C14),VLOOKUP("Ls",Constants,_num,0)*P$4^3/($C14*VLOOKUP("C",Constants,_num,0))),Round_L))</f>
        <v>356</v>
      </c>
      <c r="S14" s="14">
        <f t="shared" si="1"/>
      </c>
      <c r="T14" s="14">
        <f>IF(ISTEXT(P14),"",MROUND(SQRT(24*VLOOKUP("pmax",Constants,_num,0)*$C14),Round_L))</f>
        <v>796</v>
      </c>
      <c r="U14" s="58">
        <f ca="1" t="shared" si="8"/>
        <v>0.022580859374999998</v>
      </c>
    </row>
    <row r="15" spans="1:21" ht="12.75">
      <c r="A15" s="68">
        <f>CONVERT(C15,Length,IF(Metric,"ft","m"))</f>
        <v>1828.8</v>
      </c>
      <c r="B15" s="59">
        <f t="shared" si="9"/>
        <v>0.03978873577298611</v>
      </c>
      <c r="C15" s="86">
        <f ca="1" t="shared" si="10"/>
        <v>6000</v>
      </c>
      <c r="D15" s="20">
        <f t="shared" si="2"/>
        <v>0.024</v>
      </c>
      <c r="E15" s="14">
        <f ca="1">IF(ISTEXT(D15),"",MROUND(Width*D15*VLOOKUP(Lanes,Lanes_adj,2,0)/VLOOKUP(D$4,INDIRECT("Speed"&amp;_num),4,0),Round_L))</f>
        <v>61</v>
      </c>
      <c r="F15" s="14">
        <f>IF(ISTEXT(D15),"",MROUND(MAX(SQRT(24*VLOOKUP("pmin",Constants,_num,0)*$C15),VLOOKUP("Ls",Constants,_num,0)*D$4^3/($C15*VLOOKUP("C",Constants,_num,0))),Round_L))</f>
        <v>308</v>
      </c>
      <c r="G15" s="14">
        <f t="shared" si="3"/>
      </c>
      <c r="H15" s="14">
        <f>IF(ISTEXT(D15),"",MROUND(SQRT(24*VLOOKUP("pmax",Constants,_num,0)*$C15),Round_L))</f>
        <v>689</v>
      </c>
      <c r="I15" s="58">
        <f ca="1" t="shared" si="4"/>
        <v>0.022365037037037037</v>
      </c>
      <c r="J15" s="20">
        <f t="shared" si="5"/>
        <v>0.026000000000000002</v>
      </c>
      <c r="K15" s="14">
        <f ca="1">IF(ISTEXT(J15),"",MROUND(Width*J15*VLOOKUP(Lanes,Lanes_adj,2,0)/VLOOKUP(J$4,INDIRECT("Speed"&amp;_num),4,0),Round_L))</f>
        <v>69</v>
      </c>
      <c r="L15" s="14">
        <f>IF(ISTEXT(J15),"",MROUND(MAX(SQRT(24*VLOOKUP("pmin",Constants,_num,0)*$C15),VLOOKUP("Ls",Constants,_num,0)*J$4^3/($C15*VLOOKUP("C",Constants,_num,0))),Round_L))</f>
        <v>308</v>
      </c>
      <c r="M15" s="14">
        <f t="shared" si="0"/>
      </c>
      <c r="N15" s="14">
        <f>IF(ISTEXT(J15),"",MROUND(SQRT(24*VLOOKUP("pmax",Constants,_num,0)*$C15),Round_L))</f>
        <v>689</v>
      </c>
      <c r="O15" s="58">
        <f ca="1" t="shared" si="6"/>
        <v>0.02577716872427984</v>
      </c>
      <c r="P15" s="20">
        <f t="shared" si="7"/>
        <v>0.03</v>
      </c>
      <c r="Q15" s="14">
        <f ca="1">IF(ISTEXT(P15),"",MROUND(Width*P15*VLOOKUP(Lanes,Lanes_adj,2,0)/VLOOKUP(P$4,INDIRECT("Speed"&amp;_num),4,0),Round_L))</f>
        <v>84</v>
      </c>
      <c r="R15" s="14">
        <f>IF(ISTEXT(P15),"",MROUND(MAX(SQRT(24*VLOOKUP("pmin",Constants,_num,0)*$C15),VLOOKUP("Ls",Constants,_num,0)*P$4^3/($C15*VLOOKUP("C",Constants,_num,0))),Round_L))</f>
        <v>308</v>
      </c>
      <c r="S15" s="14">
        <f t="shared" si="1"/>
      </c>
      <c r="T15" s="14">
        <f>IF(ISTEXT(P15),"",MROUND(SQRT(24*VLOOKUP("pmax",Constants,_num,0)*$C15),Round_L))</f>
        <v>689</v>
      </c>
      <c r="U15" s="58">
        <f ca="1" t="shared" si="8"/>
        <v>0.028910416666666657</v>
      </c>
    </row>
    <row r="16" spans="1:21" ht="12.75">
      <c r="A16" s="68">
        <f>CONVERT(C16,Length,IF(Metric,"ft","m"))</f>
        <v>1524</v>
      </c>
      <c r="B16" s="59">
        <f t="shared" si="9"/>
        <v>0.04774648292758333</v>
      </c>
      <c r="C16" s="86">
        <f ca="1" t="shared" si="10"/>
        <v>5000</v>
      </c>
      <c r="D16" s="20">
        <f t="shared" si="2"/>
        <v>0.028</v>
      </c>
      <c r="E16" s="14">
        <f ca="1">IF(ISTEXT(D16),"",MROUND(Width*D16*VLOOKUP(Lanes,Lanes_adj,2,0)/VLOOKUP(D$4,INDIRECT("Speed"&amp;_num),4,0),Round_L))</f>
        <v>71</v>
      </c>
      <c r="F16" s="14">
        <f>IF(ISTEXT(D16),"",MROUND(MAX(SQRT(24*VLOOKUP("pmin",Constants,_num,0)*$C16),VLOOKUP("Ls",Constants,_num,0)*D$4^3/($C16*VLOOKUP("C",Constants,_num,0))),Round_L))</f>
        <v>281</v>
      </c>
      <c r="G16" s="14">
        <f t="shared" si="3"/>
      </c>
      <c r="H16" s="14">
        <f>IF(ISTEXT(D16),"",MROUND(SQRT(24*VLOOKUP("pmax",Constants,_num,0)*$C16),Round_L))</f>
        <v>629</v>
      </c>
      <c r="I16" s="58">
        <f ca="1" t="shared" si="4"/>
        <v>0.026072320000000003</v>
      </c>
      <c r="J16" s="20">
        <f t="shared" si="5"/>
        <v>0.03</v>
      </c>
      <c r="K16" s="14">
        <f ca="1">IF(ISTEXT(J16),"",MROUND(Width*J16*VLOOKUP(Lanes,Lanes_adj,2,0)/VLOOKUP(J$4,INDIRECT("Speed"&amp;_num),4,0),Round_L))</f>
        <v>80</v>
      </c>
      <c r="L16" s="14">
        <f>IF(ISTEXT(J16),"",MROUND(MAX(SQRT(24*VLOOKUP("pmin",Constants,_num,0)*$C16),VLOOKUP("Ls",Constants,_num,0)*J$4^3/($C16*VLOOKUP("C",Constants,_num,0))),Round_L))</f>
        <v>281</v>
      </c>
      <c r="M16" s="14">
        <f t="shared" si="0"/>
      </c>
      <c r="N16" s="14">
        <f>IF(ISTEXT(J16),"",MROUND(SQRT(24*VLOOKUP("pmax",Constants,_num,0)*$C16),Round_L))</f>
        <v>629</v>
      </c>
      <c r="O16" s="58">
        <f ca="1" t="shared" si="6"/>
        <v>0.029932456296296296</v>
      </c>
      <c r="P16" s="20">
        <f t="shared" si="7"/>
        <v>0.034</v>
      </c>
      <c r="Q16" s="14">
        <f ca="1">IF(ISTEXT(P16),"",MROUND(Width*P16*VLOOKUP(Lanes,Lanes_adj,2,0)/VLOOKUP(P$4,INDIRECT("Speed"&amp;_num),4,0),Round_L))</f>
        <v>95</v>
      </c>
      <c r="R16" s="14">
        <f>IF(ISTEXT(P16),"",MROUND(MAX(SQRT(24*VLOOKUP("pmin",Constants,_num,0)*$C16),VLOOKUP("Ls",Constants,_num,0)*P$4^3/($C16*VLOOKUP("C",Constants,_num,0))),Round_L))</f>
        <v>281</v>
      </c>
      <c r="S16" s="14">
        <f t="shared" si="1"/>
      </c>
      <c r="T16" s="14">
        <f>IF(ISTEXT(P16),"",MROUND(SQRT(24*VLOOKUP("pmax",Constants,_num,0)*$C16),Round_L))</f>
        <v>629</v>
      </c>
      <c r="U16" s="58">
        <f ca="1" t="shared" si="8"/>
        <v>0.03354299999999999</v>
      </c>
    </row>
    <row r="17" spans="1:21" ht="12.75">
      <c r="A17" s="68">
        <f>CONVERT(C17,Length,IF(Metric,"ft","m"))</f>
        <v>1219.2</v>
      </c>
      <c r="B17" s="59">
        <f t="shared" si="9"/>
        <v>0.05968310365947916</v>
      </c>
      <c r="C17" s="86">
        <f ca="1" t="shared" si="10"/>
        <v>4000</v>
      </c>
      <c r="D17" s="20">
        <f t="shared" si="2"/>
        <v>0.032</v>
      </c>
      <c r="E17" s="14">
        <f ca="1">IF(ISTEXT(D17),"",MROUND(Width*D17*VLOOKUP(Lanes,Lanes_adj,2,0)/VLOOKUP(D$4,INDIRECT("Speed"&amp;_num),4,0),Round_L))</f>
        <v>82</v>
      </c>
      <c r="F17" s="14">
        <f>IF(ISTEXT(D17),"",MROUND(MAX(SQRT(24*VLOOKUP("pmin",Constants,_num,0)*$C17),VLOOKUP("Ls",Constants,_num,0)*D$4^3/($C17*VLOOKUP("C",Constants,_num,0))),Round_L))</f>
        <v>252</v>
      </c>
      <c r="G17" s="14">
        <f t="shared" si="3"/>
      </c>
      <c r="H17" s="14">
        <f>IF(ISTEXT(D17),"",MROUND(SQRT(24*VLOOKUP("pmax",Constants,_num,0)*$C17),Round_L))</f>
        <v>563</v>
      </c>
      <c r="I17" s="58">
        <f ca="1" t="shared" si="4"/>
        <v>0.031154666666666664</v>
      </c>
      <c r="J17" s="20">
        <f t="shared" si="5"/>
        <v>0.036000000000000004</v>
      </c>
      <c r="K17" s="14">
        <f ca="1">IF(ISTEXT(J17),"",MROUND(Width*J17*VLOOKUP(Lanes,Lanes_adj,2,0)/VLOOKUP(J$4,INDIRECT("Speed"&amp;_num),4,0),Round_L))</f>
        <v>96</v>
      </c>
      <c r="L17" s="14">
        <f>IF(ISTEXT(J17),"",MROUND(MAX(SQRT(24*VLOOKUP("pmin",Constants,_num,0)*$C17),VLOOKUP("Ls",Constants,_num,0)*J$4^3/($C17*VLOOKUP("C",Constants,_num,0))),Round_L))</f>
        <v>252</v>
      </c>
      <c r="M17" s="14">
        <f t="shared" si="0"/>
      </c>
      <c r="N17" s="14">
        <f>IF(ISTEXT(J17),"",MROUND(SQRT(24*VLOOKUP("pmax",Constants,_num,0)*$C17),Round_L))</f>
        <v>563</v>
      </c>
      <c r="O17" s="58">
        <f ca="1" t="shared" si="6"/>
        <v>0.0355402962962963</v>
      </c>
      <c r="P17" s="20">
        <f t="shared" si="7"/>
        <v>0.04</v>
      </c>
      <c r="Q17" s="14">
        <f ca="1">IF(ISTEXT(P17),"",MROUND(Width*P17*VLOOKUP(Lanes,Lanes_adj,2,0)/VLOOKUP(P$4,INDIRECT("Speed"&amp;_num),4,0),Round_L))</f>
        <v>112</v>
      </c>
      <c r="R17" s="14">
        <f>IF(ISTEXT(P17),"",MROUND(MAX(SQRT(24*VLOOKUP("pmin",Constants,_num,0)*$C17),VLOOKUP("Ls",Constants,_num,0)*P$4^3/($C17*VLOOKUP("C",Constants,_num,0))),Round_L))</f>
        <v>252</v>
      </c>
      <c r="S17" s="14">
        <f t="shared" si="1"/>
      </c>
      <c r="T17" s="14">
        <f>IF(ISTEXT(P17),"",MROUND(SQRT(24*VLOOKUP("pmax",Constants,_num,0)*$C17),Round_L))</f>
        <v>563</v>
      </c>
      <c r="U17" s="58">
        <f ca="1" t="shared" si="8"/>
        <v>0.039773437499999995</v>
      </c>
    </row>
    <row r="18" spans="1:21" ht="12.75">
      <c r="A18" s="68">
        <f>CONVERT(C18,Length,IF(Metric,"ft","m"))</f>
        <v>1066.8</v>
      </c>
      <c r="B18" s="59">
        <f t="shared" si="9"/>
        <v>0.06820926132511905</v>
      </c>
      <c r="C18" s="86">
        <f ca="1" t="shared" si="10"/>
        <v>3500</v>
      </c>
      <c r="D18" s="20">
        <f t="shared" si="2"/>
        <v>0.036000000000000004</v>
      </c>
      <c r="E18" s="14">
        <f ca="1">IF(ISTEXT(D18),"",MROUND(Width*D18*VLOOKUP(Lanes,Lanes_adj,2,0)/VLOOKUP(D$4,INDIRECT("Speed"&amp;_num),4,0),Round_L))</f>
        <v>92</v>
      </c>
      <c r="F18" s="14">
        <f>IF(ISTEXT(D18),"",MROUND(MAX(SQRT(24*VLOOKUP("pmin",Constants,_num,0)*$C18),VLOOKUP("Ls",Constants,_num,0)*D$4^3/($C18*VLOOKUP("C",Constants,_num,0))),Round_L))</f>
        <v>235</v>
      </c>
      <c r="G18" s="14">
        <f t="shared" si="3"/>
      </c>
      <c r="H18" s="14">
        <f>IF(ISTEXT(D18),"",MROUND(SQRT(24*VLOOKUP("pmax",Constants,_num,0)*$C18),Round_L))</f>
        <v>526</v>
      </c>
      <c r="I18" s="58">
        <f ca="1" t="shared" si="4"/>
        <v>0.03443330612244898</v>
      </c>
      <c r="J18" s="20">
        <f t="shared" si="5"/>
        <v>0.04</v>
      </c>
      <c r="K18" s="14">
        <f ca="1">IF(ISTEXT(J18),"",MROUND(Width*J18*VLOOKUP(Lanes,Lanes_adj,2,0)/VLOOKUP(J$4,INDIRECT("Speed"&amp;_num),4,0),Round_L))</f>
        <v>107</v>
      </c>
      <c r="L18" s="14">
        <f>IF(ISTEXT(J18),"",MROUND(MAX(SQRT(24*VLOOKUP("pmin",Constants,_num,0)*$C18),VLOOKUP("Ls",Constants,_num,0)*J$4^3/($C18*VLOOKUP("C",Constants,_num,0))),Round_L))</f>
        <v>235</v>
      </c>
      <c r="M18" s="14">
        <f t="shared" si="0"/>
      </c>
      <c r="N18" s="14">
        <f>IF(ISTEXT(J18),"",MROUND(SQRT(24*VLOOKUP("pmax",Constants,_num,0)*$C18),Round_L))</f>
        <v>526</v>
      </c>
      <c r="O18" s="58">
        <f ca="1" t="shared" si="6"/>
        <v>0.0390866455026455</v>
      </c>
      <c r="P18" s="20">
        <f t="shared" si="7"/>
        <v>0.044</v>
      </c>
      <c r="Q18" s="14">
        <f ca="1">IF(ISTEXT(P18),"",MROUND(Width*P18*VLOOKUP(Lanes,Lanes_adj,2,0)/VLOOKUP(P$4,INDIRECT("Speed"&amp;_num),4,0),Round_L))</f>
        <v>123</v>
      </c>
      <c r="R18" s="14">
        <f>IF(ISTEXT(P18),"",MROUND(MAX(SQRT(24*VLOOKUP("pmin",Constants,_num,0)*$C18),VLOOKUP("Ls",Constants,_num,0)*P$4^3/($C18*VLOOKUP("C",Constants,_num,0))),Round_L))</f>
        <v>235</v>
      </c>
      <c r="S18" s="14">
        <f t="shared" si="1"/>
      </c>
      <c r="T18" s="14">
        <f>IF(ISTEXT(P18),"",MROUND(SQRT(24*VLOOKUP("pmax",Constants,_num,0)*$C18),Round_L))</f>
        <v>526</v>
      </c>
      <c r="U18" s="58">
        <f ca="1" t="shared" si="8"/>
        <v>0.04369591836734693</v>
      </c>
    </row>
    <row r="19" spans="1:21" ht="12.75">
      <c r="A19" s="68">
        <f>CONVERT(C19,Length,IF(Metric,"ft","m"))</f>
        <v>914.4</v>
      </c>
      <c r="B19" s="59">
        <f t="shared" si="9"/>
        <v>0.07957747154597222</v>
      </c>
      <c r="C19" s="86">
        <f ca="1" t="shared" si="10"/>
        <v>3000</v>
      </c>
      <c r="D19" s="20">
        <f t="shared" si="2"/>
        <v>0.04</v>
      </c>
      <c r="E19" s="14">
        <f ca="1">IF(ISTEXT(D19),"",MROUND(Width*D19*VLOOKUP(Lanes,Lanes_adj,2,0)/VLOOKUP(D$4,INDIRECT("Speed"&amp;_num),4,0),Round_L))</f>
        <v>102</v>
      </c>
      <c r="F19" s="14">
        <f>IF(ISTEXT(D19),"",MROUND(MAX(SQRT(24*VLOOKUP("pmin",Constants,_num,0)*$C19),VLOOKUP("Ls",Constants,_num,0)*D$4^3/($C19*VLOOKUP("C",Constants,_num,0))),Round_L))</f>
        <v>218</v>
      </c>
      <c r="G19" s="14">
        <f t="shared" si="3"/>
      </c>
      <c r="H19" s="14">
        <f>IF(ISTEXT(D19),"",MROUND(SQRT(24*VLOOKUP("pmax",Constants,_num,0)*$C19),Round_L))</f>
        <v>487</v>
      </c>
      <c r="I19" s="58">
        <f ca="1" t="shared" si="4"/>
        <v>0.038349037037037036</v>
      </c>
      <c r="J19" s="20">
        <f t="shared" si="5"/>
        <v>0.044</v>
      </c>
      <c r="K19" s="14">
        <f ca="1">IF(ISTEXT(J19),"",MROUND(Width*J19*VLOOKUP(Lanes,Lanes_adj,2,0)/VLOOKUP(J$4,INDIRECT("Speed"&amp;_num),4,0),Round_L))</f>
        <v>117</v>
      </c>
      <c r="L19" s="14">
        <f>IF(ISTEXT(J19),"",MROUND(MAX(SQRT(24*VLOOKUP("pmin",Constants,_num,0)*$C19),VLOOKUP("Ls",Constants,_num,0)*J$4^3/($C19*VLOOKUP("C",Constants,_num,0))),Round_L))</f>
        <v>218</v>
      </c>
      <c r="M19" s="14">
        <f t="shared" si="0"/>
      </c>
      <c r="N19" s="14">
        <f>IF(ISTEXT(J19),"",MROUND(SQRT(24*VLOOKUP("pmax",Constants,_num,0)*$C19),Round_L))</f>
        <v>487</v>
      </c>
      <c r="O19" s="58">
        <f ca="1" t="shared" si="6"/>
        <v>0.0432197994718153</v>
      </c>
      <c r="P19" s="20">
        <f t="shared" si="7"/>
        <v>0.05</v>
      </c>
      <c r="Q19" s="14">
        <f ca="1">IF(ISTEXT(P19),"",MROUND(Width*P19*VLOOKUP(Lanes,Lanes_adj,2,0)/VLOOKUP(P$4,INDIRECT("Speed"&amp;_num),4,0),Round_L))</f>
        <v>140</v>
      </c>
      <c r="R19" s="14">
        <f>IF(ISTEXT(P19),"",MROUND(MAX(SQRT(24*VLOOKUP("pmin",Constants,_num,0)*$C19),VLOOKUP("Ls",Constants,_num,0)*P$4^3/($C19*VLOOKUP("C",Constants,_num,0))),Round_L))</f>
        <v>218</v>
      </c>
      <c r="S19" s="14">
        <f t="shared" si="1"/>
        <v>220</v>
      </c>
      <c r="T19" s="14">
        <f>IF(ISTEXT(P19),"",MROUND(SQRT(24*VLOOKUP("pmax",Constants,_num,0)*$C19),Round_L))</f>
        <v>487</v>
      </c>
      <c r="U19" s="58">
        <f ca="1" t="shared" si="8"/>
        <v>0.048252226338236844</v>
      </c>
    </row>
    <row r="20" spans="1:21" ht="12.75">
      <c r="A20" s="68">
        <f>CONVERT(C20,Length,IF(Metric,"ft","m"))</f>
        <v>762</v>
      </c>
      <c r="B20" s="59">
        <f t="shared" si="9"/>
        <v>0.09549296585516666</v>
      </c>
      <c r="C20" s="86">
        <f ca="1" t="shared" si="10"/>
        <v>2500</v>
      </c>
      <c r="D20" s="20">
        <f t="shared" si="2"/>
        <v>0.044</v>
      </c>
      <c r="E20" s="14">
        <f ca="1">IF(ISTEXT(D20),"",MROUND(Width*D20*VLOOKUP(Lanes,Lanes_adj,2,0)/VLOOKUP(D$4,INDIRECT("Speed"&amp;_num),4,0),Round_L))</f>
        <v>112</v>
      </c>
      <c r="F20" s="14">
        <f>IF(ISTEXT(D20),"",MROUND(MAX(SQRT(24*VLOOKUP("pmin",Constants,_num,0)*$C20),VLOOKUP("Ls",Constants,_num,0)*D$4^3/($C20*VLOOKUP("C",Constants,_num,0))),Round_L))</f>
        <v>199</v>
      </c>
      <c r="G20" s="14">
        <f t="shared" si="3"/>
      </c>
      <c r="H20" s="14">
        <f>IF(ISTEXT(D20),"",MROUND(SQRT(24*VLOOKUP("pmax",Constants,_num,0)*$C20),Round_L))</f>
        <v>445</v>
      </c>
      <c r="I20" s="58">
        <f ca="1" t="shared" si="4"/>
        <v>0.042961000448</v>
      </c>
      <c r="J20" s="20">
        <f t="shared" si="5"/>
        <v>0.05</v>
      </c>
      <c r="K20" s="14">
        <f ca="1">IF(ISTEXT(J20),"",MROUND(Width*J20*VLOOKUP(Lanes,Lanes_adj,2,0)/VLOOKUP(J$4,INDIRECT("Speed"&amp;_num),4,0),Round_L))</f>
        <v>133</v>
      </c>
      <c r="L20" s="14">
        <f>IF(ISTEXT(J20),"",MROUND(MAX(SQRT(24*VLOOKUP("pmin",Constants,_num,0)*$C20),VLOOKUP("Ls",Constants,_num,0)*J$4^3/($C20*VLOOKUP("C",Constants,_num,0))),Round_L))</f>
        <v>199</v>
      </c>
      <c r="M20" s="14">
        <f t="shared" si="0"/>
        <v>200</v>
      </c>
      <c r="N20" s="14">
        <f>IF(ISTEXT(J20),"",MROUND(SQRT(24*VLOOKUP("pmax",Constants,_num,0)*$C20),Round_L))</f>
        <v>445</v>
      </c>
      <c r="O20" s="58">
        <f ca="1" t="shared" si="6"/>
        <v>0.04811291394142529</v>
      </c>
      <c r="P20" s="20">
        <f t="shared" si="7"/>
        <v>0.054</v>
      </c>
      <c r="Q20" s="14">
        <f ca="1">IF(ISTEXT(P20),"",MROUND(Width*P20*VLOOKUP(Lanes,Lanes_adj,2,0)/VLOOKUP(P$4,INDIRECT("Speed"&amp;_num),4,0),Round_L))</f>
        <v>151</v>
      </c>
      <c r="R20" s="14">
        <f>IF(ISTEXT(P20),"",MROUND(MAX(SQRT(24*VLOOKUP("pmin",Constants,_num,0)*$C20),VLOOKUP("Ls",Constants,_num,0)*P$4^3/($C20*VLOOKUP("C",Constants,_num,0))),Round_L))</f>
        <v>199</v>
      </c>
      <c r="S20" s="14">
        <f t="shared" si="1"/>
        <v>220</v>
      </c>
      <c r="T20" s="14">
        <f>IF(ISTEXT(P20),"",MROUND(SQRT(24*VLOOKUP("pmax",Constants,_num,0)*$C20),Round_L))</f>
        <v>445</v>
      </c>
      <c r="U20" s="58">
        <f ca="1" t="shared" si="8"/>
        <v>0.05337846683967863</v>
      </c>
    </row>
    <row r="21" spans="1:21" ht="12.75">
      <c r="A21" s="68">
        <f>CONVERT(C21,Length,IF(Metric,"ft","m"))</f>
        <v>609.6</v>
      </c>
      <c r="B21" s="59">
        <f t="shared" si="9"/>
        <v>0.11936620731895832</v>
      </c>
      <c r="C21" s="86">
        <f ca="1" t="shared" si="10"/>
        <v>2000</v>
      </c>
      <c r="D21" s="20">
        <f t="shared" si="2"/>
        <v>0.05</v>
      </c>
      <c r="E21" s="14">
        <f ca="1">IF(ISTEXT(D21),"",MROUND(Width*D21*VLOOKUP(Lanes,Lanes_adj,2,0)/VLOOKUP(D$4,INDIRECT("Speed"&amp;_num),4,0),Round_L))</f>
        <v>128</v>
      </c>
      <c r="F21" s="14">
        <f>IF(ISTEXT(D21),"",MROUND(MAX(SQRT(24*VLOOKUP("pmin",Constants,_num,0)*$C21),VLOOKUP("Ls",Constants,_num,0)*D$4^3/($C21*VLOOKUP("C",Constants,_num,0))),Round_L))</f>
        <v>178</v>
      </c>
      <c r="G21" s="14">
        <f t="shared" si="3"/>
        <v>185</v>
      </c>
      <c r="H21" s="14">
        <f>IF(ISTEXT(D21),"",MROUND(SQRT(24*VLOOKUP("pmax",Constants,_num,0)*$C21),Round_L))</f>
        <v>398</v>
      </c>
      <c r="I21" s="58">
        <f ca="1" t="shared" si="4"/>
        <v>0.04863987579259259</v>
      </c>
      <c r="J21" s="20">
        <f t="shared" si="5"/>
        <v>0.054</v>
      </c>
      <c r="K21" s="14">
        <f ca="1">IF(ISTEXT(J21),"",MROUND(Width*J21*VLOOKUP(Lanes,Lanes_adj,2,0)/VLOOKUP(J$4,INDIRECT("Speed"&amp;_num),4,0),Round_L))</f>
        <v>144</v>
      </c>
      <c r="L21" s="14">
        <f>IF(ISTEXT(J21),"",MROUND(MAX(SQRT(24*VLOOKUP("pmin",Constants,_num,0)*$C21),VLOOKUP("Ls",Constants,_num,0)*J$4^3/($C21*VLOOKUP("C",Constants,_num,0))),Round_L))</f>
        <v>178</v>
      </c>
      <c r="M21" s="14">
        <f t="shared" si="0"/>
        <v>200</v>
      </c>
      <c r="N21" s="14">
        <f>IF(ISTEXT(J21),"",MROUND(SQRT(24*VLOOKUP("pmax",Constants,_num,0)*$C21),Round_L))</f>
        <v>398</v>
      </c>
      <c r="O21" s="58">
        <f ca="1" t="shared" si="6"/>
        <v>0.053875100486162994</v>
      </c>
      <c r="P21" s="20">
        <f t="shared" si="7"/>
        <v>0.06</v>
      </c>
      <c r="Q21" s="14">
        <f ca="1">IF(ISTEXT(P21),"",MROUND(Width*P21*VLOOKUP(Lanes,Lanes_adj,2,0)/VLOOKUP(P$4,INDIRECT("Speed"&amp;_num),4,0),Round_L))</f>
        <v>167</v>
      </c>
      <c r="R21" s="14">
        <f>IF(ISTEXT(P21),"",MROUND(MAX(SQRT(24*VLOOKUP("pmin",Constants,_num,0)*$C21),VLOOKUP("Ls",Constants,_num,0)*P$4^3/($C21*VLOOKUP("C",Constants,_num,0))),Round_L))</f>
        <v>178</v>
      </c>
      <c r="S21" s="14">
        <f t="shared" si="1"/>
        <v>220</v>
      </c>
      <c r="T21" s="14">
        <f>IF(ISTEXT(P21),"",MROUND(SQRT(24*VLOOKUP("pmax",Constants,_num,0)*$C21),Round_L))</f>
        <v>398</v>
      </c>
      <c r="U21" s="58">
        <f ca="1" t="shared" si="8"/>
        <v>0.05833130021147963</v>
      </c>
    </row>
    <row r="22" spans="1:21" ht="12.75">
      <c r="A22" s="68">
        <f>CONVERT(C22,Length,IF(Metric,"ft","m"))</f>
        <v>533.4</v>
      </c>
      <c r="B22" s="59">
        <f t="shared" si="9"/>
        <v>0.1364185226502381</v>
      </c>
      <c r="C22" s="86">
        <f ca="1" t="shared" si="10"/>
        <v>1750</v>
      </c>
      <c r="D22" s="20">
        <f t="shared" si="2"/>
        <v>0.052000000000000005</v>
      </c>
      <c r="E22" s="14">
        <f ca="1">IF(ISTEXT(D22),"",MROUND(Width*D22*VLOOKUP(Lanes,Lanes_adj,2,0)/VLOOKUP(D$4,INDIRECT("Speed"&amp;_num),4,0),Round_L))</f>
        <v>133</v>
      </c>
      <c r="F22" s="14">
        <f>IF(ISTEXT(D22),"",MROUND(MAX(SQRT(24*VLOOKUP("pmin",Constants,_num,0)*$C22),VLOOKUP("Ls",Constants,_num,0)*D$4^3/($C22*VLOOKUP("C",Constants,_num,0))),Round_L))</f>
        <v>166</v>
      </c>
      <c r="G22" s="14">
        <f t="shared" si="3"/>
        <v>185</v>
      </c>
      <c r="H22" s="14">
        <f>IF(ISTEXT(D22),"",MROUND(SQRT(24*VLOOKUP("pmax",Constants,_num,0)*$C22),Round_L))</f>
        <v>372</v>
      </c>
      <c r="I22" s="58">
        <f ca="1" t="shared" si="4"/>
        <v>0.051993874111564614</v>
      </c>
      <c r="J22" s="20">
        <f t="shared" si="5"/>
        <v>0.058</v>
      </c>
      <c r="K22" s="14">
        <f ca="1">IF(ISTEXT(J22),"",MROUND(Width*J22*VLOOKUP(Lanes,Lanes_adj,2,0)/VLOOKUP(J$4,INDIRECT("Speed"&amp;_num),4,0),Round_L))</f>
        <v>155</v>
      </c>
      <c r="L22" s="14">
        <f>IF(ISTEXT(J22),"",MROUND(MAX(SQRT(24*VLOOKUP("pmin",Constants,_num,0)*$C22),VLOOKUP("Ls",Constants,_num,0)*J$4^3/($C22*VLOOKUP("C",Constants,_num,0))),Round_L))</f>
        <v>166</v>
      </c>
      <c r="M22" s="14">
        <f t="shared" si="0"/>
        <v>200</v>
      </c>
      <c r="N22" s="14">
        <f>IF(ISTEXT(J22),"",MROUND(SQRT(24*VLOOKUP("pmax",Constants,_num,0)*$C22),Round_L))</f>
        <v>372</v>
      </c>
      <c r="O22" s="58">
        <f ca="1" t="shared" si="6"/>
        <v>0.056831979329375976</v>
      </c>
      <c r="P22" s="20">
        <f t="shared" si="7"/>
        <v>0.06</v>
      </c>
      <c r="Q22" s="14">
        <f ca="1">IF(ISTEXT(P22),"",MROUND(Width*P22*VLOOKUP(Lanes,Lanes_adj,2,0)/VLOOKUP(P$4,INDIRECT("Speed"&amp;_num),4,0),Round_L))</f>
        <v>167</v>
      </c>
      <c r="R22" s="14">
        <f>IF(ISTEXT(P22),"",MROUND(MAX(SQRT(24*VLOOKUP("pmin",Constants,_num,0)*$C22),VLOOKUP("Ls",Constants,_num,0)*P$4^3/($C22*VLOOKUP("C",Constants,_num,0))),Round_L))</f>
        <v>166</v>
      </c>
      <c r="S22" s="14">
        <f t="shared" si="1"/>
        <v>220</v>
      </c>
      <c r="T22" s="14">
        <f>IF(ISTEXT(P22),"",MROUND(SQRT(24*VLOOKUP("pmax",Constants,_num,0)*$C22),Round_L))</f>
        <v>372</v>
      </c>
      <c r="U22" s="58">
        <f ca="1" t="shared" si="8"/>
        <v>0.05985852842209213</v>
      </c>
    </row>
    <row r="23" spans="1:21" ht="12.75">
      <c r="A23" s="68">
        <f>CONVERT(C23,Length,IF(Metric,"ft","m"))</f>
        <v>457.2</v>
      </c>
      <c r="B23" s="59">
        <f t="shared" si="9"/>
        <v>0.15915494309194445</v>
      </c>
      <c r="C23" s="86">
        <f ca="1" t="shared" si="10"/>
        <v>1500</v>
      </c>
      <c r="D23" s="20">
        <f t="shared" si="2"/>
        <v>0.056</v>
      </c>
      <c r="E23" s="14">
        <f ca="1">IF(ISTEXT(D23),"",MROUND(Width*D23*VLOOKUP(Lanes,Lanes_adj,2,0)/VLOOKUP(D$4,INDIRECT("Speed"&amp;_num),4,0),Round_L))</f>
        <v>143</v>
      </c>
      <c r="F23" s="14">
        <f>IF(ISTEXT(D23),"",MROUND(MAX(SQRT(24*VLOOKUP("pmin",Constants,_num,0)*$C23),VLOOKUP("Ls",Constants,_num,0)*D$4^3/($C23*VLOOKUP("C",Constants,_num,0))),Round_L))</f>
        <v>154</v>
      </c>
      <c r="G23" s="14">
        <f t="shared" si="3"/>
        <v>185</v>
      </c>
      <c r="H23" s="14">
        <f>IF(ISTEXT(D23),"",MROUND(SQRT(24*VLOOKUP("pmax",Constants,_num,0)*$C23),Round_L))</f>
        <v>345</v>
      </c>
      <c r="I23" s="58">
        <f ca="1" t="shared" si="4"/>
        <v>0.05555542955720165</v>
      </c>
      <c r="J23" s="20">
        <f t="shared" si="5"/>
        <v>0.06</v>
      </c>
      <c r="K23" s="14">
        <f ca="1">IF(ISTEXT(J23),"",MROUND(Width*J23*VLOOKUP(Lanes,Lanes_adj,2,0)/VLOOKUP(J$4,INDIRECT("Speed"&amp;_num),4,0),Round_L))</f>
        <v>160</v>
      </c>
      <c r="L23" s="14">
        <f>IF(ISTEXT(J23),"",MROUND(MAX(SQRT(24*VLOOKUP("pmin",Constants,_num,0)*$C23),VLOOKUP("Ls",Constants,_num,0)*J$4^3/($C23*VLOOKUP("C",Constants,_num,0))),Round_L))</f>
        <v>154</v>
      </c>
      <c r="M23" s="14">
        <f t="shared" si="0"/>
        <v>200</v>
      </c>
      <c r="N23" s="14">
        <f>IF(ISTEXT(J23),"",MROUND(SQRT(24*VLOOKUP("pmax",Constants,_num,0)*$C23),Round_L))</f>
        <v>345</v>
      </c>
      <c r="O23" s="58">
        <f ca="1" t="shared" si="6"/>
        <v>0.059272117634919685</v>
      </c>
      <c r="P23" s="20">
        <f t="shared" si="7"/>
      </c>
      <c r="Q23" s="14">
        <f ca="1">IF(ISTEXT(P23),"",MROUND(Width*P23*VLOOKUP(Lanes,Lanes_adj,2,0)/VLOOKUP(P$4,INDIRECT("Speed"&amp;_num),4,0),Round_L))</f>
      </c>
      <c r="R23" s="14">
        <f>IF(ISTEXT(P23),"",MROUND(MAX(SQRT(24*VLOOKUP("pmin",Constants,_num,0)*$C23),VLOOKUP("Ls",Constants,_num,0)*P$4^3/($C23*VLOOKUP("C",Constants,_num,0))),Round_L))</f>
      </c>
      <c r="S23" s="14">
        <f t="shared" si="1"/>
      </c>
      <c r="T23" s="14">
        <f>IF(ISTEXT(P23),"",MROUND(SQRT(24*VLOOKUP("pmax",Constants,_num,0)*$C23),Round_L))</f>
      </c>
      <c r="U23" s="58">
        <f ca="1" t="shared" si="8"/>
        <v>0.05928861615018341</v>
      </c>
    </row>
    <row r="24" spans="1:21" ht="12.75">
      <c r="A24" s="68">
        <f>CONVERT(C24,Length,IF(Metric,"ft","m"))</f>
        <v>381</v>
      </c>
      <c r="B24" s="59">
        <f t="shared" si="9"/>
        <v>0.19098593171033332</v>
      </c>
      <c r="C24" s="86">
        <f ca="1" t="shared" si="10"/>
        <v>1250</v>
      </c>
      <c r="D24" s="20">
        <f t="shared" si="2"/>
        <v>0.06</v>
      </c>
      <c r="E24" s="14">
        <f ca="1">IF(ISTEXT(D24),"",MROUND(Width*D24*VLOOKUP(Lanes,Lanes_adj,2,0)/VLOOKUP(D$4,INDIRECT("Speed"&amp;_num),4,0),Round_L))</f>
        <v>153</v>
      </c>
      <c r="F24" s="14">
        <f>IF(ISTEXT(D24),"",MROUND(MAX(SQRT(24*VLOOKUP("pmin",Constants,_num,0)*$C24),VLOOKUP("Ls",Constants,_num,0)*D$4^3/($C24*VLOOKUP("C",Constants,_num,0))),Round_L))</f>
        <v>141</v>
      </c>
      <c r="G24" s="14">
        <f t="shared" si="3"/>
        <v>185</v>
      </c>
      <c r="H24" s="14">
        <f>IF(ISTEXT(D24),"",MROUND(SQRT(24*VLOOKUP("pmax",Constants,_num,0)*$C24),Round_L))</f>
        <v>315</v>
      </c>
      <c r="I24" s="58">
        <f ca="1" t="shared" si="4"/>
        <v>0.058793557940148136</v>
      </c>
      <c r="J24" s="20">
        <f t="shared" si="5"/>
      </c>
      <c r="K24" s="14">
        <f ca="1">IF(ISTEXT(J24),"",MROUND(Width*J24*VLOOKUP(Lanes,Lanes_adj,2,0)/VLOOKUP(J$4,INDIRECT("Speed"&amp;_num),4,0),Round_L))</f>
      </c>
      <c r="L24" s="14">
        <f>IF(ISTEXT(J24),"",MROUND(MAX(SQRT(24*VLOOKUP("pmin",Constants,_num,0)*$C24),VLOOKUP("Ls",Constants,_num,0)*J$4^3/($C24*VLOOKUP("C",Constants,_num,0))),Round_L))</f>
      </c>
      <c r="M24" s="14">
        <f t="shared" si="0"/>
      </c>
      <c r="N24" s="14">
        <f>IF(ISTEXT(J24),"",MROUND(SQRT(24*VLOOKUP("pmax",Constants,_num,0)*$C24),Round_L))</f>
      </c>
      <c r="O24" s="58">
        <f ca="1" t="shared" si="6"/>
        <v>0.059803766970699446</v>
      </c>
      <c r="P24" s="20">
        <f t="shared" si="7"/>
      </c>
      <c r="Q24" s="14">
        <f ca="1">IF(ISTEXT(P24),"",MROUND(Width*P24*VLOOKUP(Lanes,Lanes_adj,2,0)/VLOOKUP(P$4,INDIRECT("Speed"&amp;_num),4,0),Round_L))</f>
      </c>
      <c r="R24" s="14">
        <f>IF(ISTEXT(P24),"",MROUND(MAX(SQRT(24*VLOOKUP("pmin",Constants,_num,0)*$C24),VLOOKUP("Ls",Constants,_num,0)*P$4^3/($C24*VLOOKUP("C",Constants,_num,0))),Round_L))</f>
      </c>
      <c r="S24" s="14">
        <f t="shared" si="1"/>
      </c>
      <c r="T24" s="14">
        <f>IF(ISTEXT(P24),"",MROUND(SQRT(24*VLOOKUP("pmax",Constants,_num,0)*$C24),Round_L))</f>
      </c>
      <c r="U24" s="58">
        <f ca="1" t="shared" si="8"/>
        <v>0.05348680318827831</v>
      </c>
    </row>
    <row r="25" spans="1:21" ht="12.75">
      <c r="A25" s="68">
        <f>CONVERT(C25,Length,IF(Metric,"ft","m"))</f>
        <v>323.088</v>
      </c>
      <c r="B25" s="59">
        <f t="shared" si="9"/>
        <v>0.2252192590923742</v>
      </c>
      <c r="C25" s="86">
        <f ca="1" t="shared" si="10"/>
        <v>1060</v>
      </c>
      <c r="D25" s="20">
        <f t="shared" si="2"/>
        <v>0.06</v>
      </c>
      <c r="E25" s="14">
        <f ca="1">IF(ISTEXT(D25),"",MROUND(Width*D25*VLOOKUP(Lanes,Lanes_adj,2,0)/VLOOKUP(D$4,INDIRECT("Speed"&amp;_num),4,0),Round_L))</f>
        <v>153</v>
      </c>
      <c r="F25" s="14">
        <f>IF(ISTEXT(D25),"",MROUND(MAX(SQRT(24*VLOOKUP("pmin",Constants,_num,0)*$C25),VLOOKUP("Ls",Constants,_num,0)*D$4^3/($C25*VLOOKUP("C",Constants,_num,0))),Round_L))</f>
        <v>130</v>
      </c>
      <c r="G25" s="14">
        <f t="shared" si="3"/>
        <v>185</v>
      </c>
      <c r="H25" s="14">
        <f>IF(ISTEXT(D25),"",MROUND(SQRT(24*VLOOKUP("pmax",Constants,_num,0)*$C25),Round_L))</f>
        <v>290</v>
      </c>
      <c r="I25" s="58">
        <f ca="1" t="shared" si="4"/>
        <v>0.06</v>
      </c>
      <c r="J25" s="20">
        <f t="shared" si="5"/>
      </c>
      <c r="K25" s="14">
        <f ca="1">IF(ISTEXT(J25),"",MROUND(Width*J25*VLOOKUP(Lanes,Lanes_adj,2,0)/VLOOKUP(J$4,INDIRECT("Speed"&amp;_num),4,0),Round_L))</f>
      </c>
      <c r="L25" s="14">
        <f>IF(ISTEXT(J25),"",MROUND(MAX(SQRT(24*VLOOKUP("pmin",Constants,_num,0)*$C25),VLOOKUP("Ls",Constants,_num,0)*J$4^3/($C25*VLOOKUP("C",Constants,_num,0))),Round_L))</f>
      </c>
      <c r="M25" s="14">
        <f t="shared" si="0"/>
      </c>
      <c r="N25" s="14">
        <f>IF(ISTEXT(J25),"",MROUND(SQRT(24*VLOOKUP("pmax",Constants,_num,0)*$C25),Round_L))</f>
      </c>
      <c r="O25" s="58">
        <f ca="1" t="shared" si="6"/>
        <v>0.056619677221845355</v>
      </c>
      <c r="P25" s="20">
        <f t="shared" si="7"/>
      </c>
      <c r="Q25" s="14">
        <f ca="1">IF(ISTEXT(P25),"",MROUND(Width*P25*VLOOKUP(Lanes,Lanes_adj,2,0)/VLOOKUP(P$4,INDIRECT("Speed"&amp;_num),4,0),Round_L))</f>
      </c>
      <c r="R25" s="14">
        <f>IF(ISTEXT(P25),"",MROUND(MAX(SQRT(24*VLOOKUP("pmin",Constants,_num,0)*$C25),VLOOKUP("Ls",Constants,_num,0)*P$4^3/($C25*VLOOKUP("C",Constants,_num,0))),Round_L))</f>
      </c>
      <c r="S25" s="14">
        <f t="shared" si="1"/>
      </c>
      <c r="T25" s="14">
        <f>IF(ISTEXT(P25),"",MROUND(SQRT(24*VLOOKUP("pmax",Constants,_num,0)*$C25),Round_L))</f>
      </c>
      <c r="U25" s="58">
        <f ca="1" t="shared" si="8"/>
        <v>0.040731668949127636</v>
      </c>
    </row>
    <row r="26" spans="1:21" ht="12.75">
      <c r="A26" s="68">
        <f>CONVERT(C26,Length,IF(Metric,"ft","m"))</f>
        <v>0</v>
      </c>
      <c r="B26" s="59">
        <f t="shared" si="9"/>
      </c>
      <c r="C26" s="86">
        <f ca="1" t="shared" si="10"/>
        <v>0</v>
      </c>
      <c r="D26" s="20">
        <f t="shared" si="2"/>
      </c>
      <c r="E26" s="14">
        <f ca="1">IF(ISTEXT(D26),"",MROUND(Width*D26*VLOOKUP(Lanes,Lanes_adj,2,0)/VLOOKUP(D$4,INDIRECT("Speed"&amp;_num),4,0),Round_L))</f>
      </c>
      <c r="F26" s="14">
        <f>IF(ISTEXT(D26),"",MROUND(MAX(SQRT(24*VLOOKUP("pmin",Constants,_num,0)*$C26),VLOOKUP("Ls",Constants,_num,0)*D$4^3/($C26*VLOOKUP("C",Constants,_num,0))),Round_L))</f>
      </c>
      <c r="G26" s="14">
        <f t="shared" si="3"/>
      </c>
      <c r="H26" s="14">
        <f>IF(ISTEXT(D26),"",MROUND(SQRT(24*VLOOKUP("pmax",Constants,_num,0)*$C26),Round_L))</f>
      </c>
      <c r="I26" s="58" t="e">
        <f ca="1" t="shared" si="4"/>
        <v>#DIV/0!</v>
      </c>
      <c r="J26" s="20">
        <f t="shared" si="5"/>
      </c>
      <c r="K26" s="14">
        <f ca="1">IF(ISTEXT(J26),"",MROUND(Width*J26*VLOOKUP(Lanes,Lanes_adj,2,0)/VLOOKUP(J$4,INDIRECT("Speed"&amp;_num),4,0),Round_L))</f>
      </c>
      <c r="L26" s="14">
        <f>IF(ISTEXT(J26),"",MROUND(MAX(SQRT(24*VLOOKUP("pmin",Constants,_num,0)*$C26),VLOOKUP("Ls",Constants,_num,0)*J$4^3/($C26*VLOOKUP("C",Constants,_num,0))),Round_L))</f>
      </c>
      <c r="M26" s="14">
        <f t="shared" si="0"/>
      </c>
      <c r="N26" s="14">
        <f>IF(ISTEXT(J26),"",MROUND(SQRT(24*VLOOKUP("pmax",Constants,_num,0)*$C26),Round_L))</f>
      </c>
      <c r="O26" s="58" t="e">
        <f ca="1" t="shared" si="6"/>
        <v>#DIV/0!</v>
      </c>
      <c r="P26" s="20">
        <f t="shared" si="7"/>
      </c>
      <c r="Q26" s="14">
        <f ca="1">IF(ISTEXT(P26),"",MROUND(Width*P26*VLOOKUP(Lanes,Lanes_adj,2,0)/VLOOKUP(P$4,INDIRECT("Speed"&amp;_num),4,0),Round_L))</f>
      </c>
      <c r="R26" s="14">
        <f>IF(ISTEXT(P26),"",MROUND(MAX(SQRT(24*VLOOKUP("pmin",Constants,_num,0)*$C26),VLOOKUP("Ls",Constants,_num,0)*P$4^3/($C26*VLOOKUP("C",Constants,_num,0))),Round_L))</f>
      </c>
      <c r="S26" s="14">
        <f t="shared" si="1"/>
      </c>
      <c r="T26" s="14">
        <f>IF(ISTEXT(P26),"",MROUND(SQRT(24*VLOOKUP("pmax",Constants,_num,0)*$C26),Round_L))</f>
      </c>
      <c r="U26" s="58" t="e">
        <f ca="1" t="shared" si="8"/>
        <v>#DIV/0!</v>
      </c>
    </row>
    <row r="27" spans="1:21" ht="12.75">
      <c r="A27" s="68">
        <f>CONVERT(C27,Length,IF(Metric,"ft","m"))</f>
        <v>0</v>
      </c>
      <c r="B27" s="59">
        <f t="shared" si="9"/>
      </c>
      <c r="C27" s="86">
        <f ca="1" t="shared" si="10"/>
        <v>0</v>
      </c>
      <c r="D27" s="20">
        <f t="shared" si="2"/>
      </c>
      <c r="E27" s="14">
        <f ca="1">IF(ISTEXT(D27),"",MROUND(Width*D27*VLOOKUP(Lanes,Lanes_adj,2,0)/VLOOKUP(D$4,INDIRECT("Speed"&amp;_num),4,0),Round_L))</f>
      </c>
      <c r="F27" s="14">
        <f>IF(ISTEXT(D27),"",MROUND(MAX(SQRT(24*VLOOKUP("pmin",Constants,_num,0)*$C27),VLOOKUP("Ls",Constants,_num,0)*D$4^3/($C27*VLOOKUP("C",Constants,_num,0))),Round_L))</f>
      </c>
      <c r="G27" s="14">
        <f t="shared" si="3"/>
      </c>
      <c r="H27" s="14">
        <f>IF(ISTEXT(D27),"",MROUND(SQRT(24*VLOOKUP("pmax",Constants,_num,0)*$C27),Round_L))</f>
      </c>
      <c r="I27" s="58" t="e">
        <f ca="1" t="shared" si="4"/>
        <v>#DIV/0!</v>
      </c>
      <c r="J27" s="20">
        <f t="shared" si="5"/>
      </c>
      <c r="K27" s="14">
        <f ca="1">IF(ISTEXT(J27),"",MROUND(Width*J27*VLOOKUP(Lanes,Lanes_adj,2,0)/VLOOKUP(J$4,INDIRECT("Speed"&amp;_num),4,0),Round_L))</f>
      </c>
      <c r="L27" s="14">
        <f>IF(ISTEXT(J27),"",MROUND(MAX(SQRT(24*VLOOKUP("pmin",Constants,_num,0)*$C27),VLOOKUP("Ls",Constants,_num,0)*J$4^3/($C27*VLOOKUP("C",Constants,_num,0))),Round_L))</f>
      </c>
      <c r="M27" s="14">
        <f t="shared" si="0"/>
      </c>
      <c r="N27" s="14">
        <f>IF(ISTEXT(J27),"",MROUND(SQRT(24*VLOOKUP("pmax",Constants,_num,0)*$C27),Round_L))</f>
      </c>
      <c r="O27" s="58" t="e">
        <f ca="1" t="shared" si="6"/>
        <v>#DIV/0!</v>
      </c>
      <c r="P27" s="20">
        <f t="shared" si="7"/>
      </c>
      <c r="Q27" s="14">
        <f ca="1">IF(ISTEXT(P27),"",MROUND(Width*P27*VLOOKUP(Lanes,Lanes_adj,2,0)/VLOOKUP(P$4,INDIRECT("Speed"&amp;_num),4,0),Round_L))</f>
      </c>
      <c r="R27" s="14">
        <f>IF(ISTEXT(P27),"",MROUND(MAX(SQRT(24*VLOOKUP("pmin",Constants,_num,0)*$C27),VLOOKUP("Ls",Constants,_num,0)*P$4^3/($C27*VLOOKUP("C",Constants,_num,0))),Round_L))</f>
      </c>
      <c r="S27" s="14">
        <f t="shared" si="1"/>
      </c>
      <c r="T27" s="14">
        <f>IF(ISTEXT(P27),"",MROUND(SQRT(24*VLOOKUP("pmax",Constants,_num,0)*$C27),Round_L))</f>
      </c>
      <c r="U27" s="58" t="e">
        <f ca="1" t="shared" si="8"/>
        <v>#DIV/0!</v>
      </c>
    </row>
    <row r="28" spans="1:21" ht="12.75">
      <c r="A28" s="68">
        <f>CONVERT(C28,Length,IF(Metric,"ft","m"))</f>
        <v>0</v>
      </c>
      <c r="B28" s="59">
        <f t="shared" si="9"/>
      </c>
      <c r="C28" s="86">
        <f ca="1" t="shared" si="10"/>
        <v>0</v>
      </c>
      <c r="D28" s="20">
        <f t="shared" si="2"/>
      </c>
      <c r="E28" s="14">
        <f ca="1">IF(ISTEXT(D28),"",MROUND(Width*D28*VLOOKUP(Lanes,Lanes_adj,2,0)/VLOOKUP(D$4,INDIRECT("Speed"&amp;_num),4,0),Round_L))</f>
      </c>
      <c r="F28" s="14">
        <f>IF(ISTEXT(D28),"",MROUND(MAX(SQRT(24*VLOOKUP("pmin",Constants,_num,0)*$C28),VLOOKUP("Ls",Constants,_num,0)*D$4^3/($C28*VLOOKUP("C",Constants,_num,0))),Round_L))</f>
      </c>
      <c r="G28" s="14">
        <f t="shared" si="3"/>
      </c>
      <c r="H28" s="14">
        <f>IF(ISTEXT(D28),"",MROUND(SQRT(24*VLOOKUP("pmax",Constants,_num,0)*$C28),Round_L))</f>
      </c>
      <c r="I28" s="58" t="e">
        <f ca="1" t="shared" si="4"/>
        <v>#DIV/0!</v>
      </c>
      <c r="J28" s="20">
        <f t="shared" si="5"/>
      </c>
      <c r="K28" s="14">
        <f ca="1">IF(ISTEXT(J28),"",MROUND(Width*J28*VLOOKUP(Lanes,Lanes_adj,2,0)/VLOOKUP(J$4,INDIRECT("Speed"&amp;_num),4,0),Round_L))</f>
      </c>
      <c r="L28" s="14">
        <f>IF(ISTEXT(J28),"",MROUND(MAX(SQRT(24*VLOOKUP("pmin",Constants,_num,0)*$C28),VLOOKUP("Ls",Constants,_num,0)*J$4^3/($C28*VLOOKUP("C",Constants,_num,0))),Round_L))</f>
      </c>
      <c r="M28" s="14">
        <f t="shared" si="0"/>
      </c>
      <c r="N28" s="14">
        <f>IF(ISTEXT(J28),"",MROUND(SQRT(24*VLOOKUP("pmax",Constants,_num,0)*$C28),Round_L))</f>
      </c>
      <c r="O28" s="58" t="e">
        <f ca="1" t="shared" si="6"/>
        <v>#DIV/0!</v>
      </c>
      <c r="P28" s="20">
        <f t="shared" si="7"/>
      </c>
      <c r="Q28" s="14">
        <f ca="1">IF(ISTEXT(P28),"",MROUND(Width*P28*VLOOKUP(Lanes,Lanes_adj,2,0)/VLOOKUP(P$4,INDIRECT("Speed"&amp;_num),4,0),Round_L))</f>
      </c>
      <c r="R28" s="14">
        <f>IF(ISTEXT(P28),"",MROUND(MAX(SQRT(24*VLOOKUP("pmin",Constants,_num,0)*$C28),VLOOKUP("Ls",Constants,_num,0)*P$4^3/($C28*VLOOKUP("C",Constants,_num,0))),Round_L))</f>
      </c>
      <c r="S28" s="14">
        <f t="shared" si="1"/>
      </c>
      <c r="T28" s="14">
        <f>IF(ISTEXT(P28),"",MROUND(SQRT(24*VLOOKUP("pmax",Constants,_num,0)*$C28),Round_L))</f>
      </c>
      <c r="U28" s="58" t="e">
        <f ca="1" t="shared" si="8"/>
        <v>#DIV/0!</v>
      </c>
    </row>
    <row r="29" spans="1:21" ht="12.75">
      <c r="A29" s="68">
        <f>CONVERT(C29,Length,IF(Metric,"ft","m"))</f>
        <v>0</v>
      </c>
      <c r="B29" s="59">
        <f t="shared" si="9"/>
      </c>
      <c r="C29" s="86">
        <f ca="1" t="shared" si="10"/>
        <v>0</v>
      </c>
      <c r="D29" s="20">
        <f t="shared" si="2"/>
      </c>
      <c r="E29" s="14">
        <f ca="1">IF(ISTEXT(D29),"",MROUND(Width*D29*VLOOKUP(Lanes,Lanes_adj,2,0)/VLOOKUP(D$4,INDIRECT("Speed"&amp;_num),4,0),Round_L))</f>
      </c>
      <c r="F29" s="14">
        <f>IF(ISTEXT(D29),"",MROUND(MAX(SQRT(24*VLOOKUP("pmin",Constants,_num,0)*$C29),VLOOKUP("Ls",Constants,_num,0)*D$4^3/($C29*VLOOKUP("C",Constants,_num,0))),Round_L))</f>
      </c>
      <c r="G29" s="14">
        <f t="shared" si="3"/>
      </c>
      <c r="H29" s="14">
        <f>IF(ISTEXT(D29),"",MROUND(SQRT(24*VLOOKUP("pmax",Constants,_num,0)*$C29),Round_L))</f>
      </c>
      <c r="I29" s="58" t="e">
        <f ca="1" t="shared" si="4"/>
        <v>#DIV/0!</v>
      </c>
      <c r="J29" s="20">
        <f t="shared" si="5"/>
      </c>
      <c r="K29" s="14">
        <f ca="1">IF(ISTEXT(J29),"",MROUND(Width*J29*VLOOKUP(Lanes,Lanes_adj,2,0)/VLOOKUP(J$4,INDIRECT("Speed"&amp;_num),4,0),Round_L))</f>
      </c>
      <c r="L29" s="14">
        <f>IF(ISTEXT(J29),"",MROUND(MAX(SQRT(24*VLOOKUP("pmin",Constants,_num,0)*$C29),VLOOKUP("Ls",Constants,_num,0)*J$4^3/($C29*VLOOKUP("C",Constants,_num,0))),Round_L))</f>
      </c>
      <c r="M29" s="14">
        <f t="shared" si="0"/>
      </c>
      <c r="N29" s="14">
        <f>IF(ISTEXT(J29),"",MROUND(SQRT(24*VLOOKUP("pmax",Constants,_num,0)*$C29),Round_L))</f>
      </c>
      <c r="O29" s="58" t="e">
        <f ca="1" t="shared" si="6"/>
        <v>#DIV/0!</v>
      </c>
      <c r="P29" s="20">
        <f t="shared" si="7"/>
      </c>
      <c r="Q29" s="14">
        <f ca="1">IF(ISTEXT(P29),"",MROUND(Width*P29*VLOOKUP(Lanes,Lanes_adj,2,0)/VLOOKUP(P$4,INDIRECT("Speed"&amp;_num),4,0),Round_L))</f>
      </c>
      <c r="R29" s="14">
        <f>IF(ISTEXT(P29),"",MROUND(MAX(SQRT(24*VLOOKUP("pmin",Constants,_num,0)*$C29),VLOOKUP("Ls",Constants,_num,0)*P$4^3/($C29*VLOOKUP("C",Constants,_num,0))),Round_L))</f>
      </c>
      <c r="S29" s="14">
        <f t="shared" si="1"/>
      </c>
      <c r="T29" s="14">
        <f>IF(ISTEXT(P29),"",MROUND(SQRT(24*VLOOKUP("pmax",Constants,_num,0)*$C29),Round_L))</f>
      </c>
      <c r="U29" s="58" t="e">
        <f ca="1" t="shared" si="8"/>
        <v>#DIV/0!</v>
      </c>
    </row>
    <row r="30" spans="1:21" ht="12.75">
      <c r="A30" s="68">
        <f>CONVERT(C30,Length,IF(Metric,"ft","m"))</f>
        <v>0</v>
      </c>
      <c r="B30" s="59">
        <f t="shared" si="9"/>
      </c>
      <c r="C30" s="86">
        <f ca="1" t="shared" si="10"/>
        <v>0</v>
      </c>
      <c r="D30" s="20">
        <f t="shared" si="2"/>
      </c>
      <c r="E30" s="14">
        <f ca="1">IF(ISTEXT(D30),"",MROUND(Width*D30*VLOOKUP(Lanes,Lanes_adj,2,0)/VLOOKUP(D$4,INDIRECT("Speed"&amp;_num),4,0),Round_L))</f>
      </c>
      <c r="F30" s="14">
        <f>IF(ISTEXT(D30),"",MROUND(MAX(SQRT(24*VLOOKUP("pmin",Constants,_num,0)*$C30),VLOOKUP("Ls",Constants,_num,0)*D$4^3/($C30*VLOOKUP("C",Constants,_num,0))),Round_L))</f>
      </c>
      <c r="G30" s="14">
        <f t="shared" si="3"/>
      </c>
      <c r="H30" s="14">
        <f>IF(ISTEXT(D30),"",MROUND(SQRT(24*VLOOKUP("pmax",Constants,_num,0)*$C30),Round_L))</f>
      </c>
      <c r="I30" s="58" t="e">
        <f ca="1" t="shared" si="4"/>
        <v>#DIV/0!</v>
      </c>
      <c r="J30" s="20">
        <f t="shared" si="5"/>
      </c>
      <c r="K30" s="14">
        <f ca="1">IF(ISTEXT(J30),"",MROUND(Width*J30*VLOOKUP(Lanes,Lanes_adj,2,0)/VLOOKUP(J$4,INDIRECT("Speed"&amp;_num),4,0),Round_L))</f>
      </c>
      <c r="L30" s="14">
        <f>IF(ISTEXT(J30),"",MROUND(MAX(SQRT(24*VLOOKUP("pmin",Constants,_num,0)*$C30),VLOOKUP("Ls",Constants,_num,0)*J$4^3/($C30*VLOOKUP("C",Constants,_num,0))),Round_L))</f>
      </c>
      <c r="M30" s="14">
        <f t="shared" si="0"/>
      </c>
      <c r="N30" s="14">
        <f>IF(ISTEXT(J30),"",MROUND(SQRT(24*VLOOKUP("pmax",Constants,_num,0)*$C30),Round_L))</f>
      </c>
      <c r="O30" s="58" t="e">
        <f ca="1" t="shared" si="6"/>
        <v>#DIV/0!</v>
      </c>
      <c r="P30" s="20">
        <f t="shared" si="7"/>
      </c>
      <c r="Q30" s="14">
        <f ca="1">IF(ISTEXT(P30),"",MROUND(Width*P30*VLOOKUP(Lanes,Lanes_adj,2,0)/VLOOKUP(P$4,INDIRECT("Speed"&amp;_num),4,0),Round_L))</f>
      </c>
      <c r="R30" s="14">
        <f>IF(ISTEXT(P30),"",MROUND(MAX(SQRT(24*VLOOKUP("pmin",Constants,_num,0)*$C30),VLOOKUP("Ls",Constants,_num,0)*P$4^3/($C30*VLOOKUP("C",Constants,_num,0))),Round_L))</f>
      </c>
      <c r="S30" s="14">
        <f t="shared" si="1"/>
      </c>
      <c r="T30" s="14">
        <f>IF(ISTEXT(P30),"",MROUND(SQRT(24*VLOOKUP("pmax",Constants,_num,0)*$C30),Round_L))</f>
      </c>
      <c r="U30" s="58" t="e">
        <f ca="1" t="shared" si="8"/>
        <v>#DIV/0!</v>
      </c>
    </row>
    <row r="31" spans="1:21" ht="12.75">
      <c r="A31" s="68">
        <f>CONVERT(C31,Length,IF(Metric,"ft","m"))</f>
        <v>0</v>
      </c>
      <c r="B31" s="59">
        <f t="shared" si="9"/>
      </c>
      <c r="C31" s="86">
        <f ca="1" t="shared" si="10"/>
        <v>0</v>
      </c>
      <c r="D31" s="20">
        <f t="shared" si="2"/>
      </c>
      <c r="E31" s="14">
        <f ca="1">IF(ISTEXT(D31),"",MROUND(Width*D31*VLOOKUP(Lanes,Lanes_adj,2,0)/VLOOKUP(D$4,INDIRECT("Speed"&amp;_num),4,0),Round_L))</f>
      </c>
      <c r="F31" s="14">
        <f>IF(ISTEXT(D31),"",MROUND(MAX(SQRT(24*VLOOKUP("pmin",Constants,_num,0)*$C31),VLOOKUP("Ls",Constants,_num,0)*D$4^3/($C31*VLOOKUP("C",Constants,_num,0))),Round_L))</f>
      </c>
      <c r="G31" s="14">
        <f t="shared" si="3"/>
      </c>
      <c r="H31" s="14">
        <f>IF(ISTEXT(D31),"",MROUND(SQRT(24*VLOOKUP("pmax",Constants,_num,0)*$C31),Round_L))</f>
      </c>
      <c r="I31" s="58" t="e">
        <f ca="1" t="shared" si="4"/>
        <v>#DIV/0!</v>
      </c>
      <c r="J31" s="20">
        <f t="shared" si="5"/>
      </c>
      <c r="K31" s="14">
        <f ca="1">IF(ISTEXT(J31),"",MROUND(Width*J31*VLOOKUP(Lanes,Lanes_adj,2,0)/VLOOKUP(J$4,INDIRECT("Speed"&amp;_num),4,0),Round_L))</f>
      </c>
      <c r="L31" s="14">
        <f>IF(ISTEXT(J31),"",MROUND(MAX(SQRT(24*VLOOKUP("pmin",Constants,_num,0)*$C31),VLOOKUP("Ls",Constants,_num,0)*J$4^3/($C31*VLOOKUP("C",Constants,_num,0))),Round_L))</f>
      </c>
      <c r="M31" s="14">
        <f t="shared" si="0"/>
      </c>
      <c r="N31" s="14">
        <f>IF(ISTEXT(J31),"",MROUND(SQRT(24*VLOOKUP("pmax",Constants,_num,0)*$C31),Round_L))</f>
      </c>
      <c r="O31" s="58" t="e">
        <f ca="1" t="shared" si="6"/>
        <v>#DIV/0!</v>
      </c>
      <c r="P31" s="20">
        <f t="shared" si="7"/>
      </c>
      <c r="Q31" s="14">
        <f ca="1">IF(ISTEXT(P31),"",MROUND(Width*P31*VLOOKUP(Lanes,Lanes_adj,2,0)/VLOOKUP(P$4,INDIRECT("Speed"&amp;_num),4,0),Round_L))</f>
      </c>
      <c r="R31" s="14">
        <f>IF(ISTEXT(P31),"",MROUND(MAX(SQRT(24*VLOOKUP("pmin",Constants,_num,0)*$C31),VLOOKUP("Ls",Constants,_num,0)*P$4^3/($C31*VLOOKUP("C",Constants,_num,0))),Round_L))</f>
      </c>
      <c r="S31" s="14">
        <f t="shared" si="1"/>
      </c>
      <c r="T31" s="14">
        <f>IF(ISTEXT(P31),"",MROUND(SQRT(24*VLOOKUP("pmax",Constants,_num,0)*$C31),Round_L))</f>
      </c>
      <c r="U31" s="58" t="e">
        <f ca="1" t="shared" si="8"/>
        <v>#DIV/0!</v>
      </c>
    </row>
    <row r="32" spans="1:21" ht="12.75">
      <c r="A32" s="68">
        <f>CONVERT(C32,Length,IF(Metric,"ft","m"))</f>
        <v>0</v>
      </c>
      <c r="B32" s="59">
        <f t="shared" si="9"/>
      </c>
      <c r="C32" s="86">
        <f ca="1" t="shared" si="10"/>
        <v>0</v>
      </c>
      <c r="D32" s="20">
        <f t="shared" si="2"/>
      </c>
      <c r="E32" s="14">
        <f ca="1">IF(ISTEXT(D32),"",MROUND(Width*D32*VLOOKUP(Lanes,Lanes_adj,2,0)/VLOOKUP(D$4,INDIRECT("Speed"&amp;_num),4,0),Round_L))</f>
      </c>
      <c r="F32" s="14">
        <f>IF(ISTEXT(D32),"",MROUND(MAX(SQRT(24*VLOOKUP("pmin",Constants,_num,0)*$C32),VLOOKUP("Ls",Constants,_num,0)*D$4^3/($C32*VLOOKUP("C",Constants,_num,0))),Round_L))</f>
      </c>
      <c r="G32" s="14">
        <f t="shared" si="3"/>
      </c>
      <c r="H32" s="14">
        <f>IF(ISTEXT(D32),"",MROUND(SQRT(24*VLOOKUP("pmax",Constants,_num,0)*$C32),Round_L))</f>
      </c>
      <c r="I32" s="58" t="e">
        <f ca="1" t="shared" si="4"/>
        <v>#DIV/0!</v>
      </c>
      <c r="J32" s="20">
        <f t="shared" si="5"/>
      </c>
      <c r="K32" s="14">
        <f ca="1">IF(ISTEXT(J32),"",MROUND(Width*J32*VLOOKUP(Lanes,Lanes_adj,2,0)/VLOOKUP(J$4,INDIRECT("Speed"&amp;_num),4,0),Round_L))</f>
      </c>
      <c r="L32" s="14">
        <f>IF(ISTEXT(J32),"",MROUND(MAX(SQRT(24*VLOOKUP("pmin",Constants,_num,0)*$C32),VLOOKUP("Ls",Constants,_num,0)*J$4^3/($C32*VLOOKUP("C",Constants,_num,0))),Round_L))</f>
      </c>
      <c r="M32" s="14">
        <f t="shared" si="0"/>
      </c>
      <c r="N32" s="14">
        <f>IF(ISTEXT(J32),"",MROUND(SQRT(24*VLOOKUP("pmax",Constants,_num,0)*$C32),Round_L))</f>
      </c>
      <c r="O32" s="58" t="e">
        <f ca="1" t="shared" si="6"/>
        <v>#DIV/0!</v>
      </c>
      <c r="P32" s="20">
        <f t="shared" si="7"/>
      </c>
      <c r="Q32" s="14">
        <f ca="1">IF(ISTEXT(P32),"",MROUND(Width*P32*VLOOKUP(Lanes,Lanes_adj,2,0)/VLOOKUP(P$4,INDIRECT("Speed"&amp;_num),4,0),Round_L))</f>
      </c>
      <c r="R32" s="14">
        <f>IF(ISTEXT(P32),"",MROUND(MAX(SQRT(24*VLOOKUP("pmin",Constants,_num,0)*$C32),VLOOKUP("Ls",Constants,_num,0)*P$4^3/($C32*VLOOKUP("C",Constants,_num,0))),Round_L))</f>
      </c>
      <c r="S32" s="14">
        <f t="shared" si="1"/>
      </c>
      <c r="T32" s="14">
        <f>IF(ISTEXT(P32),"",MROUND(SQRT(24*VLOOKUP("pmax",Constants,_num,0)*$C32),Round_L))</f>
      </c>
      <c r="U32" s="58" t="e">
        <f ca="1" t="shared" si="8"/>
        <v>#DIV/0!</v>
      </c>
    </row>
    <row r="33" spans="1:21" ht="12.75">
      <c r="A33" s="68">
        <f>CONVERT(C33,Length,IF(Metric,"ft","m"))</f>
        <v>0</v>
      </c>
      <c r="B33" s="59">
        <f t="shared" si="9"/>
      </c>
      <c r="C33" s="86">
        <f ca="1" t="shared" si="10"/>
        <v>0</v>
      </c>
      <c r="D33" s="20">
        <f t="shared" si="2"/>
      </c>
      <c r="E33" s="14">
        <f ca="1">IF(ISTEXT(D33),"",MROUND(Width*D33*VLOOKUP(Lanes,Lanes_adj,2,0)/VLOOKUP(D$4,INDIRECT("Speed"&amp;_num),4,0),Round_L))</f>
      </c>
      <c r="F33" s="14">
        <f>IF(ISTEXT(D33),"",MROUND(MAX(SQRT(24*VLOOKUP("pmin",Constants,_num,0)*$C33),VLOOKUP("Ls",Constants,_num,0)*D$4^3/($C33*VLOOKUP("C",Constants,_num,0))),Round_L))</f>
      </c>
      <c r="G33" s="14">
        <f t="shared" si="3"/>
      </c>
      <c r="H33" s="14">
        <f>IF(ISTEXT(D33),"",MROUND(SQRT(24*VLOOKUP("pmax",Constants,_num,0)*$C33),Round_L))</f>
      </c>
      <c r="I33" s="58" t="e">
        <f ca="1" t="shared" si="4"/>
        <v>#DIV/0!</v>
      </c>
      <c r="J33" s="20">
        <f t="shared" si="5"/>
      </c>
      <c r="K33" s="14">
        <f ca="1">IF(ISTEXT(J33),"",MROUND(Width*J33*VLOOKUP(Lanes,Lanes_adj,2,0)/VLOOKUP(J$4,INDIRECT("Speed"&amp;_num),4,0),Round_L))</f>
      </c>
      <c r="L33" s="14">
        <f>IF(ISTEXT(J33),"",MROUND(MAX(SQRT(24*VLOOKUP("pmin",Constants,_num,0)*$C33),VLOOKUP("Ls",Constants,_num,0)*J$4^3/($C33*VLOOKUP("C",Constants,_num,0))),Round_L))</f>
      </c>
      <c r="M33" s="14">
        <f t="shared" si="0"/>
      </c>
      <c r="N33" s="14">
        <f>IF(ISTEXT(J33),"",MROUND(SQRT(24*VLOOKUP("pmax",Constants,_num,0)*$C33),Round_L))</f>
      </c>
      <c r="O33" s="58" t="e">
        <f ca="1" t="shared" si="6"/>
        <v>#DIV/0!</v>
      </c>
      <c r="P33" s="20">
        <f t="shared" si="7"/>
      </c>
      <c r="Q33" s="14">
        <f ca="1">IF(ISTEXT(P33),"",MROUND(Width*P33*VLOOKUP(Lanes,Lanes_adj,2,0)/VLOOKUP(P$4,INDIRECT("Speed"&amp;_num),4,0),Round_L))</f>
      </c>
      <c r="R33" s="14">
        <f>IF(ISTEXT(P33),"",MROUND(MAX(SQRT(24*VLOOKUP("pmin",Constants,_num,0)*$C33),VLOOKUP("Ls",Constants,_num,0)*P$4^3/($C33*VLOOKUP("C",Constants,_num,0))),Round_L))</f>
      </c>
      <c r="S33" s="14">
        <f t="shared" si="1"/>
      </c>
      <c r="T33" s="14">
        <f>IF(ISTEXT(P33),"",MROUND(SQRT(24*VLOOKUP("pmax",Constants,_num,0)*$C33),Round_L))</f>
      </c>
      <c r="U33" s="58" t="e">
        <f ca="1" t="shared" si="8"/>
        <v>#DIV/0!</v>
      </c>
    </row>
    <row r="34" spans="1:21" ht="12.75">
      <c r="A34" s="68">
        <f>CONVERT(C34,Length,IF(Metric,"ft","m"))</f>
        <v>0</v>
      </c>
      <c r="B34" s="59">
        <f t="shared" si="9"/>
      </c>
      <c r="C34" s="86">
        <f ca="1" t="shared" si="10"/>
        <v>0</v>
      </c>
      <c r="D34" s="20">
        <f t="shared" si="2"/>
      </c>
      <c r="E34" s="14">
        <f ca="1">IF(ISTEXT(D34),"",MROUND(Width*D34*VLOOKUP(Lanes,Lanes_adj,2,0)/VLOOKUP(D$4,INDIRECT("Speed"&amp;_num),4,0),Round_L))</f>
      </c>
      <c r="F34" s="14">
        <f>IF(ISTEXT(D34),"",MROUND(MAX(SQRT(24*VLOOKUP("pmin",Constants,_num,0)*$C34),VLOOKUP("Ls",Constants,_num,0)*D$4^3/($C34*VLOOKUP("C",Constants,_num,0))),Round_L))</f>
      </c>
      <c r="G34" s="14">
        <f t="shared" si="3"/>
      </c>
      <c r="H34" s="14">
        <f>IF(ISTEXT(D34),"",MROUND(SQRT(24*VLOOKUP("pmax",Constants,_num,0)*$C34),Round_L))</f>
      </c>
      <c r="I34" s="58" t="e">
        <f ca="1" t="shared" si="4"/>
        <v>#DIV/0!</v>
      </c>
      <c r="J34" s="20">
        <f t="shared" si="5"/>
      </c>
      <c r="K34" s="14">
        <f ca="1">IF(ISTEXT(J34),"",MROUND(Width*J34*VLOOKUP(Lanes,Lanes_adj,2,0)/VLOOKUP(J$4,INDIRECT("Speed"&amp;_num),4,0),Round_L))</f>
      </c>
      <c r="L34" s="14">
        <f>IF(ISTEXT(J34),"",MROUND(MAX(SQRT(24*VLOOKUP("pmin",Constants,_num,0)*$C34),VLOOKUP("Ls",Constants,_num,0)*J$4^3/($C34*VLOOKUP("C",Constants,_num,0))),Round_L))</f>
      </c>
      <c r="M34" s="14">
        <f t="shared" si="0"/>
      </c>
      <c r="N34" s="14">
        <f>IF(ISTEXT(J34),"",MROUND(SQRT(24*VLOOKUP("pmax",Constants,_num,0)*$C34),Round_L))</f>
      </c>
      <c r="O34" s="58" t="e">
        <f ca="1" t="shared" si="6"/>
        <v>#DIV/0!</v>
      </c>
      <c r="P34" s="20">
        <f t="shared" si="7"/>
      </c>
      <c r="Q34" s="14">
        <f ca="1">IF(ISTEXT(P34),"",MROUND(Width*P34*VLOOKUP(Lanes,Lanes_adj,2,0)/VLOOKUP(P$4,INDIRECT("Speed"&amp;_num),4,0),Round_L))</f>
      </c>
      <c r="R34" s="14">
        <f>IF(ISTEXT(P34),"",MROUND(MAX(SQRT(24*VLOOKUP("pmin",Constants,_num,0)*$C34),VLOOKUP("Ls",Constants,_num,0)*P$4^3/($C34*VLOOKUP("C",Constants,_num,0))),Round_L))</f>
      </c>
      <c r="S34" s="14">
        <f t="shared" si="1"/>
      </c>
      <c r="T34" s="14">
        <f>IF(ISTEXT(P34),"",MROUND(SQRT(24*VLOOKUP("pmax",Constants,_num,0)*$C34),Round_L))</f>
      </c>
      <c r="U34" s="58" t="e">
        <f ca="1" t="shared" si="8"/>
        <v>#DIV/0!</v>
      </c>
    </row>
    <row r="35" spans="1:21" ht="12.75">
      <c r="A35" s="68">
        <f>CONVERT(C35,Length,IF(Metric,"ft","m"))</f>
        <v>0</v>
      </c>
      <c r="B35" s="59">
        <f t="shared" si="9"/>
      </c>
      <c r="C35" s="86">
        <f ca="1" t="shared" si="10"/>
        <v>0</v>
      </c>
      <c r="D35" s="20">
        <f t="shared" si="2"/>
      </c>
      <c r="E35" s="14">
        <f ca="1">IF(ISTEXT(D35),"",MROUND(Width*D35*VLOOKUP(Lanes,Lanes_adj,2,0)/VLOOKUP(D$4,INDIRECT("Speed"&amp;_num),4,0),Round_L))</f>
      </c>
      <c r="F35" s="14">
        <f>IF(ISTEXT(D35),"",MROUND(MAX(SQRT(24*VLOOKUP("pmin",Constants,_num,0)*$C35),VLOOKUP("Ls",Constants,_num,0)*D$4^3/($C35*VLOOKUP("C",Constants,_num,0))),Round_L))</f>
      </c>
      <c r="G35" s="14">
        <f t="shared" si="3"/>
      </c>
      <c r="H35" s="14">
        <f>IF(ISTEXT(D35),"",MROUND(SQRT(24*VLOOKUP("pmax",Constants,_num,0)*$C35),Round_L))</f>
      </c>
      <c r="I35" s="58" t="e">
        <f ca="1" t="shared" si="4"/>
        <v>#DIV/0!</v>
      </c>
      <c r="J35" s="20">
        <f t="shared" si="5"/>
      </c>
      <c r="K35" s="14">
        <f ca="1">IF(ISTEXT(J35),"",MROUND(Width*J35*VLOOKUP(Lanes,Lanes_adj,2,0)/VLOOKUP(J$4,INDIRECT("Speed"&amp;_num),4,0),Round_L))</f>
      </c>
      <c r="L35" s="14">
        <f>IF(ISTEXT(J35),"",MROUND(MAX(SQRT(24*VLOOKUP("pmin",Constants,_num,0)*$C35),VLOOKUP("Ls",Constants,_num,0)*J$4^3/($C35*VLOOKUP("C",Constants,_num,0))),Round_L))</f>
      </c>
      <c r="M35" s="14">
        <f t="shared" si="0"/>
      </c>
      <c r="N35" s="14">
        <f>IF(ISTEXT(J35),"",MROUND(SQRT(24*VLOOKUP("pmax",Constants,_num,0)*$C35),Round_L))</f>
      </c>
      <c r="O35" s="58" t="e">
        <f ca="1" t="shared" si="6"/>
        <v>#DIV/0!</v>
      </c>
      <c r="P35" s="20">
        <f t="shared" si="7"/>
      </c>
      <c r="Q35" s="14">
        <f ca="1">IF(ISTEXT(P35),"",MROUND(Width*P35*VLOOKUP(Lanes,Lanes_adj,2,0)/VLOOKUP(P$4,INDIRECT("Speed"&amp;_num),4,0),Round_L))</f>
      </c>
      <c r="R35" s="14">
        <f>IF(ISTEXT(P35),"",MROUND(MAX(SQRT(24*VLOOKUP("pmin",Constants,_num,0)*$C35),VLOOKUP("Ls",Constants,_num,0)*P$4^3/($C35*VLOOKUP("C",Constants,_num,0))),Round_L))</f>
      </c>
      <c r="S35" s="14">
        <f t="shared" si="1"/>
      </c>
      <c r="T35" s="14">
        <f>IF(ISTEXT(P35),"",MROUND(SQRT(24*VLOOKUP("pmax",Constants,_num,0)*$C35),Round_L))</f>
      </c>
      <c r="U35" s="58" t="e">
        <f ca="1" t="shared" si="8"/>
        <v>#DIV/0!</v>
      </c>
    </row>
    <row r="36" spans="1:21" ht="12.75">
      <c r="A36" s="68">
        <f>CONVERT(C36,Length,IF(Metric,"ft","m"))</f>
        <v>0</v>
      </c>
      <c r="B36" s="59">
        <f t="shared" si="9"/>
      </c>
      <c r="C36" s="86">
        <f ca="1" t="shared" si="10"/>
        <v>0</v>
      </c>
      <c r="D36" s="20">
        <f t="shared" si="2"/>
      </c>
      <c r="E36" s="14">
        <f ca="1">IF(ISTEXT(D36),"",MROUND(Width*D36*VLOOKUP(Lanes,Lanes_adj,2,0)/VLOOKUP(D$4,INDIRECT("Speed"&amp;_num),4,0),Round_L))</f>
      </c>
      <c r="F36" s="14">
        <f>IF(ISTEXT(D36),"",MROUND(MAX(SQRT(24*VLOOKUP("pmin",Constants,_num,0)*$C36),VLOOKUP("Ls",Constants,_num,0)*D$4^3/($C36*VLOOKUP("C",Constants,_num,0))),Round_L))</f>
      </c>
      <c r="G36" s="14">
        <f t="shared" si="3"/>
      </c>
      <c r="H36" s="14">
        <f>IF(ISTEXT(D36),"",MROUND(SQRT(24*VLOOKUP("pmax",Constants,_num,0)*$C36),Round_L))</f>
      </c>
      <c r="I36" s="58" t="e">
        <f ca="1" t="shared" si="4"/>
        <v>#DIV/0!</v>
      </c>
      <c r="J36" s="20">
        <f t="shared" si="5"/>
      </c>
      <c r="K36" s="14">
        <f ca="1">IF(ISTEXT(J36),"",MROUND(Width*J36*VLOOKUP(Lanes,Lanes_adj,2,0)/VLOOKUP(J$4,INDIRECT("Speed"&amp;_num),4,0),Round_L))</f>
      </c>
      <c r="L36" s="14">
        <f>IF(ISTEXT(J36),"",MROUND(MAX(SQRT(24*VLOOKUP("pmin",Constants,_num,0)*$C36),VLOOKUP("Ls",Constants,_num,0)*J$4^3/($C36*VLOOKUP("C",Constants,_num,0))),Round_L))</f>
      </c>
      <c r="M36" s="14">
        <f t="shared" si="0"/>
      </c>
      <c r="N36" s="14">
        <f>IF(ISTEXT(J36),"",MROUND(SQRT(24*VLOOKUP("pmax",Constants,_num,0)*$C36),Round_L))</f>
      </c>
      <c r="O36" s="58" t="e">
        <f ca="1" t="shared" si="6"/>
        <v>#DIV/0!</v>
      </c>
      <c r="P36" s="20">
        <f t="shared" si="7"/>
      </c>
      <c r="Q36" s="14">
        <f ca="1">IF(ISTEXT(P36),"",MROUND(Width*P36*VLOOKUP(Lanes,Lanes_adj,2,0)/VLOOKUP(P$4,INDIRECT("Speed"&amp;_num),4,0),Round_L))</f>
      </c>
      <c r="R36" s="14">
        <f>IF(ISTEXT(P36),"",MROUND(MAX(SQRT(24*VLOOKUP("pmin",Constants,_num,0)*$C36),VLOOKUP("Ls",Constants,_num,0)*P$4^3/($C36*VLOOKUP("C",Constants,_num,0))),Round_L))</f>
      </c>
      <c r="S36" s="14">
        <f t="shared" si="1"/>
      </c>
      <c r="T36" s="14">
        <f>IF(ISTEXT(P36),"",MROUND(SQRT(24*VLOOKUP("pmax",Constants,_num,0)*$C36),Round_L))</f>
      </c>
      <c r="U36" s="58" t="e">
        <f ca="1" t="shared" si="8"/>
        <v>#DIV/0!</v>
      </c>
    </row>
    <row r="37" spans="1:21" ht="12.75">
      <c r="A37" s="68">
        <f>CONVERT(C37,Length,IF(Metric,"ft","m"))</f>
        <v>0</v>
      </c>
      <c r="B37" s="59">
        <f t="shared" si="9"/>
      </c>
      <c r="C37" s="86">
        <f ca="1" t="shared" si="10"/>
        <v>0</v>
      </c>
      <c r="D37" s="20">
        <f t="shared" si="2"/>
      </c>
      <c r="E37" s="14">
        <f ca="1">IF(ISTEXT(D37),"",MROUND(Width*D37*VLOOKUP(Lanes,Lanes_adj,2,0)/VLOOKUP(D$4,INDIRECT("Speed"&amp;_num),4,0),Round_L))</f>
      </c>
      <c r="F37" s="14">
        <f>IF(ISTEXT(D37),"",MROUND(MAX(SQRT(24*VLOOKUP("pmin",Constants,_num,0)*$C37),VLOOKUP("Ls",Constants,_num,0)*D$4^3/($C37*VLOOKUP("C",Constants,_num,0))),Round_L))</f>
      </c>
      <c r="G37" s="14">
        <f t="shared" si="3"/>
      </c>
      <c r="H37" s="14">
        <f>IF(ISTEXT(D37),"",MROUND(SQRT(24*VLOOKUP("pmax",Constants,_num,0)*$C37),Round_L))</f>
      </c>
      <c r="I37" s="58" t="e">
        <f ca="1" t="shared" si="4"/>
        <v>#DIV/0!</v>
      </c>
      <c r="J37" s="20">
        <f t="shared" si="5"/>
      </c>
      <c r="K37" s="14">
        <f ca="1">IF(ISTEXT(J37),"",MROUND(Width*J37*VLOOKUP(Lanes,Lanes_adj,2,0)/VLOOKUP(J$4,INDIRECT("Speed"&amp;_num),4,0),Round_L))</f>
      </c>
      <c r="L37" s="14">
        <f>IF(ISTEXT(J37),"",MROUND(MAX(SQRT(24*VLOOKUP("pmin",Constants,_num,0)*$C37),VLOOKUP("Ls",Constants,_num,0)*J$4^3/($C37*VLOOKUP("C",Constants,_num,0))),Round_L))</f>
      </c>
      <c r="M37" s="14">
        <f t="shared" si="0"/>
      </c>
      <c r="N37" s="14">
        <f>IF(ISTEXT(J37),"",MROUND(SQRT(24*VLOOKUP("pmax",Constants,_num,0)*$C37),Round_L))</f>
      </c>
      <c r="O37" s="58" t="e">
        <f ca="1" t="shared" si="6"/>
        <v>#DIV/0!</v>
      </c>
      <c r="P37" s="20">
        <f t="shared" si="7"/>
      </c>
      <c r="Q37" s="14">
        <f ca="1">IF(ISTEXT(P37),"",MROUND(Width*P37*VLOOKUP(Lanes,Lanes_adj,2,0)/VLOOKUP(P$4,INDIRECT("Speed"&amp;_num),4,0),Round_L))</f>
      </c>
      <c r="R37" s="14">
        <f>IF(ISTEXT(P37),"",MROUND(MAX(SQRT(24*VLOOKUP("pmin",Constants,_num,0)*$C37),VLOOKUP("Ls",Constants,_num,0)*P$4^3/($C37*VLOOKUP("C",Constants,_num,0))),Round_L))</f>
      </c>
      <c r="S37" s="14">
        <f t="shared" si="1"/>
      </c>
      <c r="T37" s="14">
        <f>IF(ISTEXT(P37),"",MROUND(SQRT(24*VLOOKUP("pmax",Constants,_num,0)*$C37),Round_L))</f>
      </c>
      <c r="U37" s="58" t="e">
        <f ca="1" t="shared" si="8"/>
        <v>#DIV/0!</v>
      </c>
    </row>
    <row r="38" spans="1:21" ht="12.75">
      <c r="A38" s="68">
        <f>CONVERT(C38,Length,IF(Metric,"ft","m"))</f>
        <v>0</v>
      </c>
      <c r="B38" s="59">
        <f t="shared" si="9"/>
      </c>
      <c r="C38" s="86">
        <f ca="1" t="shared" si="10"/>
        <v>0</v>
      </c>
      <c r="D38" s="20">
        <f t="shared" si="2"/>
      </c>
      <c r="E38" s="14">
        <f ca="1">IF(ISTEXT(D38),"",MROUND(Width*D38*VLOOKUP(Lanes,Lanes_adj,2,0)/VLOOKUP(D$4,INDIRECT("Speed"&amp;_num),4,0),Round_L))</f>
      </c>
      <c r="F38" s="14">
        <f>IF(ISTEXT(D38),"",MROUND(MAX(SQRT(24*VLOOKUP("pmin",Constants,_num,0)*$C38),VLOOKUP("Ls",Constants,_num,0)*D$4^3/($C38*VLOOKUP("C",Constants,_num,0))),Round_L))</f>
      </c>
      <c r="G38" s="14">
        <f t="shared" si="3"/>
      </c>
      <c r="H38" s="14">
        <f>IF(ISTEXT(D38),"",MROUND(SQRT(24*VLOOKUP("pmax",Constants,_num,0)*$C38),Round_L))</f>
      </c>
      <c r="I38" s="58" t="e">
        <f ca="1" t="shared" si="4"/>
        <v>#DIV/0!</v>
      </c>
      <c r="J38" s="20">
        <f t="shared" si="5"/>
      </c>
      <c r="K38" s="14">
        <f ca="1">IF(ISTEXT(J38),"",MROUND(Width*J38*VLOOKUP(Lanes,Lanes_adj,2,0)/VLOOKUP(J$4,INDIRECT("Speed"&amp;_num),4,0),Round_L))</f>
      </c>
      <c r="L38" s="14">
        <f>IF(ISTEXT(J38),"",MROUND(MAX(SQRT(24*VLOOKUP("pmin",Constants,_num,0)*$C38),VLOOKUP("Ls",Constants,_num,0)*J$4^3/($C38*VLOOKUP("C",Constants,_num,0))),Round_L))</f>
      </c>
      <c r="M38" s="14">
        <f t="shared" si="0"/>
      </c>
      <c r="N38" s="14">
        <f>IF(ISTEXT(J38),"",MROUND(SQRT(24*VLOOKUP("pmax",Constants,_num,0)*$C38),Round_L))</f>
      </c>
      <c r="O38" s="58" t="e">
        <f ca="1" t="shared" si="6"/>
        <v>#DIV/0!</v>
      </c>
      <c r="P38" s="20">
        <f t="shared" si="7"/>
      </c>
      <c r="Q38" s="14">
        <f ca="1">IF(ISTEXT(P38),"",MROUND(Width*P38*VLOOKUP(Lanes,Lanes_adj,2,0)/VLOOKUP(P$4,INDIRECT("Speed"&amp;_num),4,0),Round_L))</f>
      </c>
      <c r="R38" s="14">
        <f>IF(ISTEXT(P38),"",MROUND(MAX(SQRT(24*VLOOKUP("pmin",Constants,_num,0)*$C38),VLOOKUP("Ls",Constants,_num,0)*P$4^3/($C38*VLOOKUP("C",Constants,_num,0))),Round_L))</f>
      </c>
      <c r="S38" s="14">
        <f t="shared" si="1"/>
      </c>
      <c r="T38" s="14">
        <f>IF(ISTEXT(P38),"",MROUND(SQRT(24*VLOOKUP("pmax",Constants,_num,0)*$C38),Round_L))</f>
      </c>
      <c r="U38" s="58" t="e">
        <f ca="1" t="shared" si="8"/>
        <v>#DIV/0!</v>
      </c>
    </row>
    <row r="39" spans="1:21" ht="12.75">
      <c r="A39" s="68">
        <f>CONVERT(C39,Length,IF(Metric,"ft","m"))</f>
        <v>0</v>
      </c>
      <c r="B39" s="59">
        <f t="shared" si="9"/>
      </c>
      <c r="C39" s="86">
        <f ca="1" t="shared" si="10"/>
        <v>0</v>
      </c>
      <c r="D39" s="20">
        <f t="shared" si="2"/>
      </c>
      <c r="E39" s="14">
        <f ca="1">IF(ISTEXT(D39),"",MROUND(Width*D39*VLOOKUP(Lanes,Lanes_adj,2,0)/VLOOKUP(D$4,INDIRECT("Speed"&amp;_num),4,0),Round_L))</f>
      </c>
      <c r="F39" s="14">
        <f>IF(ISTEXT(D39),"",MROUND(MAX(SQRT(24*VLOOKUP("pmin",Constants,_num,0)*$C39),VLOOKUP("Ls",Constants,_num,0)*D$4^3/($C39*VLOOKUP("C",Constants,_num,0))),Round_L))</f>
      </c>
      <c r="G39" s="14">
        <f t="shared" si="3"/>
      </c>
      <c r="H39" s="14">
        <f>IF(ISTEXT(D39),"",MROUND(SQRT(24*VLOOKUP("pmax",Constants,_num,0)*$C39),Round_L))</f>
      </c>
      <c r="I39" s="58" t="e">
        <f ca="1" t="shared" si="4"/>
        <v>#DIV/0!</v>
      </c>
      <c r="J39" s="20">
        <f t="shared" si="5"/>
      </c>
      <c r="K39" s="14">
        <f ca="1">IF(ISTEXT(J39),"",MROUND(Width*J39*VLOOKUP(Lanes,Lanes_adj,2,0)/VLOOKUP(J$4,INDIRECT("Speed"&amp;_num),4,0),Round_L))</f>
      </c>
      <c r="L39" s="14">
        <f>IF(ISTEXT(J39),"",MROUND(MAX(SQRT(24*VLOOKUP("pmin",Constants,_num,0)*$C39),VLOOKUP("Ls",Constants,_num,0)*J$4^3/($C39*VLOOKUP("C",Constants,_num,0))),Round_L))</f>
      </c>
      <c r="M39" s="14">
        <f t="shared" si="0"/>
      </c>
      <c r="N39" s="14">
        <f>IF(ISTEXT(J39),"",MROUND(SQRT(24*VLOOKUP("pmax",Constants,_num,0)*$C39),Round_L))</f>
      </c>
      <c r="O39" s="58" t="e">
        <f ca="1" t="shared" si="6"/>
        <v>#DIV/0!</v>
      </c>
      <c r="P39" s="20">
        <f t="shared" si="7"/>
      </c>
      <c r="Q39" s="14">
        <f ca="1">IF(ISTEXT(P39),"",MROUND(Width*P39*VLOOKUP(Lanes,Lanes_adj,2,0)/VLOOKUP(P$4,INDIRECT("Speed"&amp;_num),4,0),Round_L))</f>
      </c>
      <c r="R39" s="14">
        <f>IF(ISTEXT(P39),"",MROUND(MAX(SQRT(24*VLOOKUP("pmin",Constants,_num,0)*$C39),VLOOKUP("Ls",Constants,_num,0)*P$4^3/($C39*VLOOKUP("C",Constants,_num,0))),Round_L))</f>
      </c>
      <c r="S39" s="14">
        <f t="shared" si="1"/>
      </c>
      <c r="T39" s="14">
        <f>IF(ISTEXT(P39),"",MROUND(SQRT(24*VLOOKUP("pmax",Constants,_num,0)*$C39),Round_L))</f>
      </c>
      <c r="U39" s="58" t="e">
        <f ca="1" t="shared" si="8"/>
        <v>#DIV/0!</v>
      </c>
    </row>
    <row r="40" spans="1:21" ht="12.75">
      <c r="A40" s="68">
        <f>CONVERT(C40,Length,IF(Metric,"ft","m"))</f>
        <v>0</v>
      </c>
      <c r="B40" s="59">
        <f t="shared" si="9"/>
      </c>
      <c r="C40" s="86">
        <f ca="1" t="shared" si="10"/>
        <v>0</v>
      </c>
      <c r="D40" s="20">
        <f t="shared" si="2"/>
      </c>
      <c r="E40" s="14">
        <f ca="1">IF(ISTEXT(D40),"",MROUND(Width*D40*VLOOKUP(Lanes,Lanes_adj,2,0)/VLOOKUP(D$4,INDIRECT("Speed"&amp;_num),4,0),Round_L))</f>
      </c>
      <c r="F40" s="14">
        <f>IF(ISTEXT(D40),"",MROUND(MAX(SQRT(24*VLOOKUP("pmin",Constants,_num,0)*$C40),VLOOKUP("Ls",Constants,_num,0)*D$4^3/($C40*VLOOKUP("C",Constants,_num,0))),Round_L))</f>
      </c>
      <c r="G40" s="14">
        <f t="shared" si="3"/>
      </c>
      <c r="H40" s="14">
        <f>IF(ISTEXT(D40),"",MROUND(SQRT(24*VLOOKUP("pmax",Constants,_num,0)*$C40),Round_L))</f>
      </c>
      <c r="I40" s="58" t="e">
        <f ca="1" t="shared" si="4"/>
        <v>#DIV/0!</v>
      </c>
      <c r="J40" s="20">
        <f t="shared" si="5"/>
      </c>
      <c r="K40" s="14">
        <f ca="1">IF(ISTEXT(J40),"",MROUND(Width*J40*VLOOKUP(Lanes,Lanes_adj,2,0)/VLOOKUP(J$4,INDIRECT("Speed"&amp;_num),4,0),Round_L))</f>
      </c>
      <c r="L40" s="14">
        <f>IF(ISTEXT(J40),"",MROUND(MAX(SQRT(24*VLOOKUP("pmin",Constants,_num,0)*$C40),VLOOKUP("Ls",Constants,_num,0)*J$4^3/($C40*VLOOKUP("C",Constants,_num,0))),Round_L))</f>
      </c>
      <c r="M40" s="14">
        <f t="shared" si="0"/>
      </c>
      <c r="N40" s="14">
        <f>IF(ISTEXT(J40),"",MROUND(SQRT(24*VLOOKUP("pmax",Constants,_num,0)*$C40),Round_L))</f>
      </c>
      <c r="O40" s="58" t="e">
        <f ca="1" t="shared" si="6"/>
        <v>#DIV/0!</v>
      </c>
      <c r="P40" s="20">
        <f t="shared" si="7"/>
      </c>
      <c r="Q40" s="14">
        <f ca="1">IF(ISTEXT(P40),"",MROUND(Width*P40*VLOOKUP(Lanes,Lanes_adj,2,0)/VLOOKUP(P$4,INDIRECT("Speed"&amp;_num),4,0),Round_L))</f>
      </c>
      <c r="R40" s="14">
        <f>IF(ISTEXT(P40),"",MROUND(MAX(SQRT(24*VLOOKUP("pmin",Constants,_num,0)*$C40),VLOOKUP("Ls",Constants,_num,0)*P$4^3/($C40*VLOOKUP("C",Constants,_num,0))),Round_L))</f>
      </c>
      <c r="S40" s="14">
        <f t="shared" si="1"/>
      </c>
      <c r="T40" s="14">
        <f>IF(ISTEXT(P40),"",MROUND(SQRT(24*VLOOKUP("pmax",Constants,_num,0)*$C40),Round_L))</f>
      </c>
      <c r="U40" s="58" t="e">
        <f ca="1" t="shared" si="8"/>
        <v>#DIV/0!</v>
      </c>
    </row>
    <row r="41" spans="1:21" ht="12.75">
      <c r="A41" s="68">
        <f>CONVERT(C41,Length,IF(Metric,"ft","m"))</f>
        <v>0</v>
      </c>
      <c r="B41" s="59">
        <f t="shared" si="9"/>
      </c>
      <c r="C41" s="86">
        <f ca="1" t="shared" si="10"/>
        <v>0</v>
      </c>
      <c r="D41" s="20">
        <f t="shared" si="2"/>
      </c>
      <c r="E41" s="14">
        <f ca="1">IF(ISTEXT(D41),"",MROUND(Width*D41*VLOOKUP(Lanes,Lanes_adj,2,0)/VLOOKUP(D$4,INDIRECT("Speed"&amp;_num),4,0),Round_L))</f>
      </c>
      <c r="F41" s="14">
        <f>IF(ISTEXT(D41),"",MROUND(MAX(SQRT(24*VLOOKUP("pmin",Constants,_num,0)*$C41),VLOOKUP("Ls",Constants,_num,0)*D$4^3/($C41*VLOOKUP("C",Constants,_num,0))),Round_L))</f>
      </c>
      <c r="G41" s="14">
        <f t="shared" si="3"/>
      </c>
      <c r="H41" s="14">
        <f>IF(ISTEXT(D41),"",MROUND(SQRT(24*VLOOKUP("pmax",Constants,_num,0)*$C41),Round_L))</f>
      </c>
      <c r="I41" s="58" t="e">
        <f ca="1" t="shared" si="4"/>
        <v>#DIV/0!</v>
      </c>
      <c r="J41" s="20">
        <f t="shared" si="5"/>
      </c>
      <c r="K41" s="14">
        <f ca="1">IF(ISTEXT(J41),"",MROUND(Width*J41*VLOOKUP(Lanes,Lanes_adj,2,0)/VLOOKUP(J$4,INDIRECT("Speed"&amp;_num),4,0),Round_L))</f>
      </c>
      <c r="L41" s="14">
        <f>IF(ISTEXT(J41),"",MROUND(MAX(SQRT(24*VLOOKUP("pmin",Constants,_num,0)*$C41),VLOOKUP("Ls",Constants,_num,0)*J$4^3/($C41*VLOOKUP("C",Constants,_num,0))),Round_L))</f>
      </c>
      <c r="M41" s="14">
        <f t="shared" si="0"/>
      </c>
      <c r="N41" s="14">
        <f>IF(ISTEXT(J41),"",MROUND(SQRT(24*VLOOKUP("pmax",Constants,_num,0)*$C41),Round_L))</f>
      </c>
      <c r="O41" s="58" t="e">
        <f ca="1" t="shared" si="6"/>
        <v>#DIV/0!</v>
      </c>
      <c r="P41" s="20">
        <f t="shared" si="7"/>
      </c>
      <c r="Q41" s="14">
        <f ca="1">IF(ISTEXT(P41),"",MROUND(Width*P41*VLOOKUP(Lanes,Lanes_adj,2,0)/VLOOKUP(P$4,INDIRECT("Speed"&amp;_num),4,0),Round_L))</f>
      </c>
      <c r="R41" s="14">
        <f>IF(ISTEXT(P41),"",MROUND(MAX(SQRT(24*VLOOKUP("pmin",Constants,_num,0)*$C41),VLOOKUP("Ls",Constants,_num,0)*P$4^3/($C41*VLOOKUP("C",Constants,_num,0))),Round_L))</f>
      </c>
      <c r="S41" s="14">
        <f t="shared" si="1"/>
      </c>
      <c r="T41" s="14">
        <f>IF(ISTEXT(P41),"",MROUND(SQRT(24*VLOOKUP("pmax",Constants,_num,0)*$C41),Round_L))</f>
      </c>
      <c r="U41" s="58" t="e">
        <f ca="1" t="shared" si="8"/>
        <v>#DIV/0!</v>
      </c>
    </row>
    <row r="42" spans="1:21" ht="12.75">
      <c r="A42" s="68">
        <f>CONVERT(C42,Length,IF(Metric,"ft","m"))</f>
        <v>0</v>
      </c>
      <c r="B42" s="59">
        <f t="shared" si="9"/>
      </c>
      <c r="C42" s="86">
        <f ca="1" t="shared" si="10"/>
        <v>0</v>
      </c>
      <c r="D42" s="20">
        <f t="shared" si="2"/>
      </c>
      <c r="E42" s="14">
        <f ca="1">IF(ISTEXT(D42),"",MROUND(Width*D42*VLOOKUP(Lanes,Lanes_adj,2,0)/VLOOKUP(D$4,INDIRECT("Speed"&amp;_num),4,0),Round_L))</f>
      </c>
      <c r="F42" s="14">
        <f>IF(ISTEXT(D42),"",MROUND(MAX(SQRT(24*VLOOKUP("pmin",Constants,_num,0)*$C42),VLOOKUP("Ls",Constants,_num,0)*D$4^3/($C42*VLOOKUP("C",Constants,_num,0))),Round_L))</f>
      </c>
      <c r="G42" s="14">
        <f t="shared" si="3"/>
      </c>
      <c r="H42" s="14">
        <f>IF(ISTEXT(D42),"",MROUND(SQRT(24*VLOOKUP("pmax",Constants,_num,0)*$C42),Round_L))</f>
      </c>
      <c r="I42" s="58" t="e">
        <f ca="1" t="shared" si="4"/>
        <v>#DIV/0!</v>
      </c>
      <c r="J42" s="20">
        <f t="shared" si="5"/>
      </c>
      <c r="K42" s="14">
        <f ca="1">IF(ISTEXT(J42),"",MROUND(Width*J42*VLOOKUP(Lanes,Lanes_adj,2,0)/VLOOKUP(J$4,INDIRECT("Speed"&amp;_num),4,0),Round_L))</f>
      </c>
      <c r="L42" s="14">
        <f>IF(ISTEXT(J42),"",MROUND(MAX(SQRT(24*VLOOKUP("pmin",Constants,_num,0)*$C42),VLOOKUP("Ls",Constants,_num,0)*J$4^3/($C42*VLOOKUP("C",Constants,_num,0))),Round_L))</f>
      </c>
      <c r="M42" s="14">
        <f t="shared" si="0"/>
      </c>
      <c r="N42" s="14">
        <f>IF(ISTEXT(J42),"",MROUND(SQRT(24*VLOOKUP("pmax",Constants,_num,0)*$C42),Round_L))</f>
      </c>
      <c r="O42" s="58" t="e">
        <f ca="1" t="shared" si="6"/>
        <v>#DIV/0!</v>
      </c>
      <c r="P42" s="20">
        <f t="shared" si="7"/>
      </c>
      <c r="Q42" s="14">
        <f ca="1">IF(ISTEXT(P42),"",MROUND(Width*P42*VLOOKUP(Lanes,Lanes_adj,2,0)/VLOOKUP(P$4,INDIRECT("Speed"&amp;_num),4,0),Round_L))</f>
      </c>
      <c r="R42" s="14">
        <f>IF(ISTEXT(P42),"",MROUND(MAX(SQRT(24*VLOOKUP("pmin",Constants,_num,0)*$C42),VLOOKUP("Ls",Constants,_num,0)*P$4^3/($C42*VLOOKUP("C",Constants,_num,0))),Round_L))</f>
      </c>
      <c r="S42" s="14">
        <f t="shared" si="1"/>
      </c>
      <c r="T42" s="14">
        <f>IF(ISTEXT(P42),"",MROUND(SQRT(24*VLOOKUP("pmax",Constants,_num,0)*$C42),Round_L))</f>
      </c>
      <c r="U42" s="58" t="e">
        <f ca="1" t="shared" si="8"/>
        <v>#DIV/0!</v>
      </c>
    </row>
    <row r="43" spans="1:21" ht="12.75">
      <c r="A43" s="68">
        <f>CONVERT(C43,Length,IF(Metric,"ft","m"))</f>
        <v>0</v>
      </c>
      <c r="B43" s="59">
        <f t="shared" si="9"/>
      </c>
      <c r="C43" s="86">
        <f ca="1" t="shared" si="10"/>
        <v>0</v>
      </c>
      <c r="D43" s="20">
        <f t="shared" si="2"/>
      </c>
      <c r="E43" s="14">
        <f ca="1">IF(ISTEXT(D43),"",MROUND(Width*D43*VLOOKUP(Lanes,Lanes_adj,2,0)/VLOOKUP(D$4,INDIRECT("Speed"&amp;_num),4,0),Round_L))</f>
      </c>
      <c r="F43" s="14">
        <f>IF(ISTEXT(D43),"",MROUND(MAX(SQRT(24*VLOOKUP("pmin",Constants,_num,0)*$C43),VLOOKUP("Ls",Constants,_num,0)*D$4^3/($C43*VLOOKUP("C",Constants,_num,0))),Round_L))</f>
      </c>
      <c r="G43" s="14">
        <f t="shared" si="3"/>
      </c>
      <c r="H43" s="14">
        <f>IF(ISTEXT(D43),"",MROUND(SQRT(24*VLOOKUP("pmax",Constants,_num,0)*$C43),Round_L))</f>
      </c>
      <c r="I43" s="58" t="e">
        <f ca="1" t="shared" si="4"/>
        <v>#DIV/0!</v>
      </c>
      <c r="J43" s="20">
        <f t="shared" si="5"/>
      </c>
      <c r="K43" s="14">
        <f ca="1">IF(ISTEXT(J43),"",MROUND(Width*J43*VLOOKUP(Lanes,Lanes_adj,2,0)/VLOOKUP(J$4,INDIRECT("Speed"&amp;_num),4,0),Round_L))</f>
      </c>
      <c r="L43" s="14">
        <f>IF(ISTEXT(J43),"",MROUND(MAX(SQRT(24*VLOOKUP("pmin",Constants,_num,0)*$C43),VLOOKUP("Ls",Constants,_num,0)*J$4^3/($C43*VLOOKUP("C",Constants,_num,0))),Round_L))</f>
      </c>
      <c r="M43" s="14">
        <f t="shared" si="0"/>
      </c>
      <c r="N43" s="14">
        <f>IF(ISTEXT(J43),"",MROUND(SQRT(24*VLOOKUP("pmax",Constants,_num,0)*$C43),Round_L))</f>
      </c>
      <c r="O43" s="58" t="e">
        <f ca="1" t="shared" si="6"/>
        <v>#DIV/0!</v>
      </c>
      <c r="P43" s="20">
        <f t="shared" si="7"/>
      </c>
      <c r="Q43" s="14">
        <f ca="1">IF(ISTEXT(P43),"",MROUND(Width*P43*VLOOKUP(Lanes,Lanes_adj,2,0)/VLOOKUP(P$4,INDIRECT("Speed"&amp;_num),4,0),Round_L))</f>
      </c>
      <c r="R43" s="14">
        <f>IF(ISTEXT(P43),"",MROUND(MAX(SQRT(24*VLOOKUP("pmin",Constants,_num,0)*$C43),VLOOKUP("Ls",Constants,_num,0)*P$4^3/($C43*VLOOKUP("C",Constants,_num,0))),Round_L))</f>
      </c>
      <c r="S43" s="14">
        <f t="shared" si="1"/>
      </c>
      <c r="T43" s="14">
        <f>IF(ISTEXT(P43),"",MROUND(SQRT(24*VLOOKUP("pmax",Constants,_num,0)*$C43),Round_L))</f>
      </c>
      <c r="U43" s="58" t="e">
        <f ca="1" t="shared" si="8"/>
        <v>#DIV/0!</v>
      </c>
    </row>
    <row r="44" spans="1:21" ht="12.75">
      <c r="A44" s="68">
        <f>CONVERT(C44,Length,IF(Metric,"ft","m"))</f>
        <v>0</v>
      </c>
      <c r="B44" s="59">
        <f t="shared" si="9"/>
      </c>
      <c r="C44" s="86">
        <f ca="1" t="shared" si="10"/>
        <v>0</v>
      </c>
      <c r="D44" s="20">
        <f t="shared" si="2"/>
      </c>
      <c r="E44" s="14">
        <f ca="1">IF(ISTEXT(D44),"",MROUND(Width*D44*VLOOKUP(Lanes,Lanes_adj,2,0)/VLOOKUP(D$4,INDIRECT("Speed"&amp;_num),4,0),Round_L))</f>
      </c>
      <c r="F44" s="14">
        <f>IF(ISTEXT(D44),"",MROUND(MAX(SQRT(24*VLOOKUP("pmin",Constants,_num,0)*$C44),VLOOKUP("Ls",Constants,_num,0)*D$4^3/($C44*VLOOKUP("C",Constants,_num,0))),Round_L))</f>
      </c>
      <c r="G44" s="14">
        <f t="shared" si="3"/>
      </c>
      <c r="H44" s="14">
        <f>IF(ISTEXT(D44),"",MROUND(SQRT(24*VLOOKUP("pmax",Constants,_num,0)*$C44),Round_L))</f>
      </c>
      <c r="I44" s="58" t="e">
        <f ca="1" t="shared" si="4"/>
        <v>#DIV/0!</v>
      </c>
      <c r="J44" s="20">
        <f t="shared" si="5"/>
      </c>
      <c r="K44" s="14">
        <f ca="1">IF(ISTEXT(J44),"",MROUND(Width*J44*VLOOKUP(Lanes,Lanes_adj,2,0)/VLOOKUP(J$4,INDIRECT("Speed"&amp;_num),4,0),Round_L))</f>
      </c>
      <c r="L44" s="14">
        <f>IF(ISTEXT(J44),"",MROUND(MAX(SQRT(24*VLOOKUP("pmin",Constants,_num,0)*$C44),VLOOKUP("Ls",Constants,_num,0)*J$4^3/($C44*VLOOKUP("C",Constants,_num,0))),Round_L))</f>
      </c>
      <c r="M44" s="14">
        <f t="shared" si="0"/>
      </c>
      <c r="N44" s="14">
        <f>IF(ISTEXT(J44),"",MROUND(SQRT(24*VLOOKUP("pmax",Constants,_num,0)*$C44),Round_L))</f>
      </c>
      <c r="O44" s="58" t="e">
        <f ca="1" t="shared" si="6"/>
        <v>#DIV/0!</v>
      </c>
      <c r="P44" s="20">
        <f t="shared" si="7"/>
      </c>
      <c r="Q44" s="14">
        <f ca="1">IF(ISTEXT(P44),"",MROUND(Width*P44*VLOOKUP(Lanes,Lanes_adj,2,0)/VLOOKUP(P$4,INDIRECT("Speed"&amp;_num),4,0),Round_L))</f>
      </c>
      <c r="R44" s="14">
        <f>IF(ISTEXT(P44),"",MROUND(MAX(SQRT(24*VLOOKUP("pmin",Constants,_num,0)*$C44),VLOOKUP("Ls",Constants,_num,0)*P$4^3/($C44*VLOOKUP("C",Constants,_num,0))),Round_L))</f>
      </c>
      <c r="S44" s="14">
        <f t="shared" si="1"/>
      </c>
      <c r="T44" s="14">
        <f>IF(ISTEXT(P44),"",MROUND(SQRT(24*VLOOKUP("pmax",Constants,_num,0)*$C44),Round_L))</f>
      </c>
      <c r="U44" s="58" t="e">
        <f ca="1" t="shared" si="8"/>
        <v>#DIV/0!</v>
      </c>
    </row>
    <row r="45" spans="1:21" ht="12.75">
      <c r="A45" s="68">
        <f>CONVERT(C45,Length,IF(Metric,"ft","m"))</f>
        <v>0</v>
      </c>
      <c r="B45" s="59">
        <f t="shared" si="9"/>
      </c>
      <c r="C45" s="86">
        <f ca="1" t="shared" si="10"/>
        <v>0</v>
      </c>
      <c r="D45" s="20">
        <f t="shared" si="2"/>
      </c>
      <c r="E45" s="14">
        <f ca="1">IF(ISTEXT(D45),"",MROUND(Width*D45*VLOOKUP(Lanes,Lanes_adj,2,0)/VLOOKUP(D$4,INDIRECT("Speed"&amp;_num),4,0),Round_L))</f>
      </c>
      <c r="F45" s="14">
        <f>IF(ISTEXT(D45),"",MROUND(MAX(SQRT(24*VLOOKUP("pmin",Constants,_num,0)*$C45),VLOOKUP("Ls",Constants,_num,0)*D$4^3/($C45*VLOOKUP("C",Constants,_num,0))),Round_L))</f>
      </c>
      <c r="G45" s="14">
        <f t="shared" si="3"/>
      </c>
      <c r="H45" s="14">
        <f>IF(ISTEXT(D45),"",MROUND(SQRT(24*VLOOKUP("pmax",Constants,_num,0)*$C45),Round_L))</f>
      </c>
      <c r="I45" s="58" t="e">
        <f ca="1" t="shared" si="4"/>
        <v>#DIV/0!</v>
      </c>
      <c r="J45" s="20">
        <f t="shared" si="5"/>
      </c>
      <c r="K45" s="14">
        <f ca="1">IF(ISTEXT(J45),"",MROUND(Width*J45*VLOOKUP(Lanes,Lanes_adj,2,0)/VLOOKUP(J$4,INDIRECT("Speed"&amp;_num),4,0),Round_L))</f>
      </c>
      <c r="L45" s="14">
        <f>IF(ISTEXT(J45),"",MROUND(MAX(SQRT(24*VLOOKUP("pmin",Constants,_num,0)*$C45),VLOOKUP("Ls",Constants,_num,0)*J$4^3/($C45*VLOOKUP("C",Constants,_num,0))),Round_L))</f>
      </c>
      <c r="M45" s="14">
        <f t="shared" si="0"/>
      </c>
      <c r="N45" s="14">
        <f>IF(ISTEXT(J45),"",MROUND(SQRT(24*VLOOKUP("pmax",Constants,_num,0)*$C45),Round_L))</f>
      </c>
      <c r="O45" s="58" t="e">
        <f ca="1" t="shared" si="6"/>
        <v>#DIV/0!</v>
      </c>
      <c r="P45" s="20">
        <f t="shared" si="7"/>
      </c>
      <c r="Q45" s="14">
        <f ca="1">IF(ISTEXT(P45),"",MROUND(Width*P45*VLOOKUP(Lanes,Lanes_adj,2,0)/VLOOKUP(P$4,INDIRECT("Speed"&amp;_num),4,0),Round_L))</f>
      </c>
      <c r="R45" s="14">
        <f>IF(ISTEXT(P45),"",MROUND(MAX(SQRT(24*VLOOKUP("pmin",Constants,_num,0)*$C45),VLOOKUP("Ls",Constants,_num,0)*P$4^3/($C45*VLOOKUP("C",Constants,_num,0))),Round_L))</f>
      </c>
      <c r="S45" s="14">
        <f t="shared" si="1"/>
      </c>
      <c r="T45" s="14">
        <f>IF(ISTEXT(P45),"",MROUND(SQRT(24*VLOOKUP("pmax",Constants,_num,0)*$C45),Round_L))</f>
      </c>
      <c r="U45" s="58" t="e">
        <f ca="1" t="shared" si="8"/>
        <v>#DIV/0!</v>
      </c>
    </row>
    <row r="46" spans="1:21" ht="12.75">
      <c r="A46" s="68">
        <f>CONVERT(C46,Length,IF(Metric,"ft","m"))</f>
        <v>0</v>
      </c>
      <c r="B46" s="59">
        <f t="shared" si="9"/>
      </c>
      <c r="C46" s="86">
        <f ca="1" t="shared" si="10"/>
        <v>0</v>
      </c>
      <c r="D46" s="20">
        <f t="shared" si="2"/>
      </c>
      <c r="E46" s="14">
        <f ca="1">IF(ISTEXT(D46),"",MROUND(Width*D46*VLOOKUP(Lanes,Lanes_adj,2,0)/VLOOKUP(D$4,INDIRECT("Speed"&amp;_num),4,0),Round_L))</f>
      </c>
      <c r="F46" s="14">
        <f>IF(ISTEXT(D46),"",MROUND(MAX(SQRT(24*VLOOKUP("pmin",Constants,_num,0)*$C46),VLOOKUP("Ls",Constants,_num,0)*D$4^3/($C46*VLOOKUP("C",Constants,_num,0))),Round_L))</f>
      </c>
      <c r="G46" s="14">
        <f t="shared" si="3"/>
      </c>
      <c r="H46" s="14">
        <f>IF(ISTEXT(D46),"",MROUND(SQRT(24*VLOOKUP("pmax",Constants,_num,0)*$C46),Round_L))</f>
      </c>
      <c r="I46" s="58" t="e">
        <f ca="1" t="shared" si="4"/>
        <v>#DIV/0!</v>
      </c>
      <c r="J46" s="20">
        <f t="shared" si="5"/>
      </c>
      <c r="K46" s="14">
        <f ca="1">IF(ISTEXT(J46),"",MROUND(Width*J46*VLOOKUP(Lanes,Lanes_adj,2,0)/VLOOKUP(J$4,INDIRECT("Speed"&amp;_num),4,0),Round_L))</f>
      </c>
      <c r="L46" s="14">
        <f>IF(ISTEXT(J46),"",MROUND(MAX(SQRT(24*VLOOKUP("pmin",Constants,_num,0)*$C46),VLOOKUP("Ls",Constants,_num,0)*J$4^3/($C46*VLOOKUP("C",Constants,_num,0))),Round_L))</f>
      </c>
      <c r="M46" s="14">
        <f t="shared" si="0"/>
      </c>
      <c r="N46" s="14">
        <f>IF(ISTEXT(J46),"",MROUND(SQRT(24*VLOOKUP("pmax",Constants,_num,0)*$C46),Round_L))</f>
      </c>
      <c r="O46" s="58" t="e">
        <f ca="1" t="shared" si="6"/>
        <v>#DIV/0!</v>
      </c>
      <c r="P46" s="20">
        <f t="shared" si="7"/>
      </c>
      <c r="Q46" s="14">
        <f ca="1">IF(ISTEXT(P46),"",MROUND(Width*P46*VLOOKUP(Lanes,Lanes_adj,2,0)/VLOOKUP(P$4,INDIRECT("Speed"&amp;_num),4,0),Round_L))</f>
      </c>
      <c r="R46" s="14">
        <f>IF(ISTEXT(P46),"",MROUND(MAX(SQRT(24*VLOOKUP("pmin",Constants,_num,0)*$C46),VLOOKUP("Ls",Constants,_num,0)*P$4^3/($C46*VLOOKUP("C",Constants,_num,0))),Round_L))</f>
      </c>
      <c r="S46" s="14">
        <f t="shared" si="1"/>
      </c>
      <c r="T46" s="14">
        <f>IF(ISTEXT(P46),"",MROUND(SQRT(24*VLOOKUP("pmax",Constants,_num,0)*$C46),Round_L))</f>
      </c>
      <c r="U46" s="58" t="e">
        <f ca="1" t="shared" si="8"/>
        <v>#DIV/0!</v>
      </c>
    </row>
    <row r="47" spans="1:21" ht="12.75">
      <c r="A47" s="68">
        <f>CONVERT(C47,Length,IF(Metric,"ft","m"))</f>
        <v>0</v>
      </c>
      <c r="B47" s="59">
        <f t="shared" si="9"/>
      </c>
      <c r="C47" s="86">
        <f ca="1" t="shared" si="10"/>
        <v>0</v>
      </c>
      <c r="D47" s="20">
        <f t="shared" si="2"/>
      </c>
      <c r="E47" s="14">
        <f ca="1">IF(ISTEXT(D47),"",MROUND(Width*D47*VLOOKUP(Lanes,Lanes_adj,2,0)/VLOOKUP(D$4,INDIRECT("Speed"&amp;_num),4,0),Round_L))</f>
      </c>
      <c r="F47" s="14">
        <f>IF(ISTEXT(D47),"",MROUND(MAX(SQRT(24*VLOOKUP("pmin",Constants,_num,0)*$C47),VLOOKUP("Ls",Constants,_num,0)*D$4^3/($C47*VLOOKUP("C",Constants,_num,0))),Round_L))</f>
      </c>
      <c r="G47" s="14">
        <f t="shared" si="3"/>
      </c>
      <c r="H47" s="14">
        <f>IF(ISTEXT(D47),"",MROUND(SQRT(24*VLOOKUP("pmax",Constants,_num,0)*$C47),Round_L))</f>
      </c>
      <c r="I47" s="58" t="e">
        <f ca="1" t="shared" si="4"/>
        <v>#DIV/0!</v>
      </c>
      <c r="J47" s="20">
        <f t="shared" si="5"/>
      </c>
      <c r="K47" s="14">
        <f ca="1">IF(ISTEXT(J47),"",MROUND(Width*J47*VLOOKUP(Lanes,Lanes_adj,2,0)/VLOOKUP(J$4,INDIRECT("Speed"&amp;_num),4,0),Round_L))</f>
      </c>
      <c r="L47" s="14">
        <f>IF(ISTEXT(J47),"",MROUND(MAX(SQRT(24*VLOOKUP("pmin",Constants,_num,0)*$C47),VLOOKUP("Ls",Constants,_num,0)*J$4^3/($C47*VLOOKUP("C",Constants,_num,0))),Round_L))</f>
      </c>
      <c r="M47" s="14">
        <f t="shared" si="0"/>
      </c>
      <c r="N47" s="14">
        <f>IF(ISTEXT(J47),"",MROUND(SQRT(24*VLOOKUP("pmax",Constants,_num,0)*$C47),Round_L))</f>
      </c>
      <c r="O47" s="58" t="e">
        <f ca="1" t="shared" si="6"/>
        <v>#DIV/0!</v>
      </c>
      <c r="P47" s="20">
        <f t="shared" si="7"/>
      </c>
      <c r="Q47" s="14">
        <f ca="1">IF(ISTEXT(P47),"",MROUND(Width*P47*VLOOKUP(Lanes,Lanes_adj,2,0)/VLOOKUP(P$4,INDIRECT("Speed"&amp;_num),4,0),Round_L))</f>
      </c>
      <c r="R47" s="14">
        <f>IF(ISTEXT(P47),"",MROUND(MAX(SQRT(24*VLOOKUP("pmin",Constants,_num,0)*$C47),VLOOKUP("Ls",Constants,_num,0)*P$4^3/($C47*VLOOKUP("C",Constants,_num,0))),Round_L))</f>
      </c>
      <c r="S47" s="14">
        <f t="shared" si="1"/>
      </c>
      <c r="T47" s="14">
        <f>IF(ISTEXT(P47),"",MROUND(SQRT(24*VLOOKUP("pmax",Constants,_num,0)*$C47),Round_L))</f>
      </c>
      <c r="U47" s="58" t="e">
        <f ca="1" t="shared" si="8"/>
        <v>#DIV/0!</v>
      </c>
    </row>
    <row r="48" spans="1:21" ht="12.75">
      <c r="A48" s="68">
        <f>CONVERT(C48,Length,IF(Metric,"ft","m"))</f>
        <v>0</v>
      </c>
      <c r="B48" s="59">
        <f t="shared" si="9"/>
      </c>
      <c r="C48" s="86">
        <f ca="1" t="shared" si="10"/>
        <v>0</v>
      </c>
      <c r="D48" s="20">
        <f t="shared" si="2"/>
      </c>
      <c r="E48" s="14">
        <f ca="1">IF(ISTEXT(D48),"",MROUND(Width*D48*VLOOKUP(Lanes,Lanes_adj,2,0)/VLOOKUP(D$4,INDIRECT("Speed"&amp;_num),4,0),Round_L))</f>
      </c>
      <c r="F48" s="14">
        <f>IF(ISTEXT(D48),"",MROUND(MAX(SQRT(24*VLOOKUP("pmin",Constants,_num,0)*$C48),VLOOKUP("Ls",Constants,_num,0)*D$4^3/($C48*VLOOKUP("C",Constants,_num,0))),Round_L))</f>
      </c>
      <c r="G48" s="14">
        <f t="shared" si="3"/>
      </c>
      <c r="H48" s="14">
        <f>IF(ISTEXT(D48),"",MROUND(SQRT(24*VLOOKUP("pmax",Constants,_num,0)*$C48),Round_L))</f>
      </c>
      <c r="I48" s="58" t="e">
        <f ca="1" t="shared" si="4"/>
        <v>#DIV/0!</v>
      </c>
      <c r="J48" s="20">
        <f t="shared" si="5"/>
      </c>
      <c r="K48" s="14">
        <f ca="1">IF(ISTEXT(J48),"",MROUND(Width*J48*VLOOKUP(Lanes,Lanes_adj,2,0)/VLOOKUP(J$4,INDIRECT("Speed"&amp;_num),4,0),Round_L))</f>
      </c>
      <c r="L48" s="14">
        <f>IF(ISTEXT(J48),"",MROUND(MAX(SQRT(24*VLOOKUP("pmin",Constants,_num,0)*$C48),VLOOKUP("Ls",Constants,_num,0)*J$4^3/($C48*VLOOKUP("C",Constants,_num,0))),Round_L))</f>
      </c>
      <c r="M48" s="14">
        <f t="shared" si="0"/>
      </c>
      <c r="N48" s="14">
        <f>IF(ISTEXT(J48),"",MROUND(SQRT(24*VLOOKUP("pmax",Constants,_num,0)*$C48),Round_L))</f>
      </c>
      <c r="O48" s="58" t="e">
        <f ca="1" t="shared" si="6"/>
        <v>#DIV/0!</v>
      </c>
      <c r="P48" s="20">
        <f t="shared" si="7"/>
      </c>
      <c r="Q48" s="14">
        <f ca="1">IF(ISTEXT(P48),"",MROUND(Width*P48*VLOOKUP(Lanes,Lanes_adj,2,0)/VLOOKUP(P$4,INDIRECT("Speed"&amp;_num),4,0),Round_L))</f>
      </c>
      <c r="R48" s="14">
        <f>IF(ISTEXT(P48),"",MROUND(MAX(SQRT(24*VLOOKUP("pmin",Constants,_num,0)*$C48),VLOOKUP("Ls",Constants,_num,0)*P$4^3/($C48*VLOOKUP("C",Constants,_num,0))),Round_L))</f>
      </c>
      <c r="S48" s="14">
        <f t="shared" si="1"/>
      </c>
      <c r="T48" s="14">
        <f>IF(ISTEXT(P48),"",MROUND(SQRT(24*VLOOKUP("pmax",Constants,_num,0)*$C48),Round_L))</f>
      </c>
      <c r="U48" s="58" t="e">
        <f ca="1" t="shared" si="8"/>
        <v>#DIV/0!</v>
      </c>
    </row>
    <row r="49" spans="1:21" ht="12.75">
      <c r="A49" s="68">
        <f>CONVERT(C49,Length,IF(Metric,"ft","m"))</f>
        <v>0</v>
      </c>
      <c r="B49" s="59">
        <f t="shared" si="9"/>
      </c>
      <c r="C49" s="86">
        <f ca="1" t="shared" si="10"/>
        <v>0</v>
      </c>
      <c r="D49" s="20">
        <f t="shared" si="2"/>
      </c>
      <c r="E49" s="14">
        <f ca="1">IF(ISTEXT(D49),"",MROUND(Width*D49*VLOOKUP(Lanes,Lanes_adj,2,0)/VLOOKUP(D$4,INDIRECT("Speed"&amp;_num),4,0),Round_L))</f>
      </c>
      <c r="F49" s="14">
        <f>IF(ISTEXT(D49),"",MROUND(MAX(SQRT(24*VLOOKUP("pmin",Constants,_num,0)*$C49),VLOOKUP("Ls",Constants,_num,0)*D$4^3/($C49*VLOOKUP("C",Constants,_num,0))),Round_L))</f>
      </c>
      <c r="G49" s="14">
        <f t="shared" si="3"/>
      </c>
      <c r="H49" s="14">
        <f>IF(ISTEXT(D49),"",MROUND(SQRT(24*VLOOKUP("pmax",Constants,_num,0)*$C49),Round_L))</f>
      </c>
      <c r="I49" s="58" t="e">
        <f ca="1" t="shared" si="4"/>
        <v>#DIV/0!</v>
      </c>
      <c r="J49" s="20">
        <f t="shared" si="5"/>
      </c>
      <c r="K49" s="14">
        <f ca="1">IF(ISTEXT(J49),"",MROUND(Width*J49*VLOOKUP(Lanes,Lanes_adj,2,0)/VLOOKUP(J$4,INDIRECT("Speed"&amp;_num),4,0),Round_L))</f>
      </c>
      <c r="L49" s="14">
        <f>IF(ISTEXT(J49),"",MROUND(MAX(SQRT(24*VLOOKUP("pmin",Constants,_num,0)*$C49),VLOOKUP("Ls",Constants,_num,0)*J$4^3/($C49*VLOOKUP("C",Constants,_num,0))),Round_L))</f>
      </c>
      <c r="M49" s="14">
        <f t="shared" si="0"/>
      </c>
      <c r="N49" s="14">
        <f>IF(ISTEXT(J49),"",MROUND(SQRT(24*VLOOKUP("pmax",Constants,_num,0)*$C49),Round_L))</f>
      </c>
      <c r="O49" s="58" t="e">
        <f ca="1" t="shared" si="6"/>
        <v>#DIV/0!</v>
      </c>
      <c r="P49" s="20">
        <f t="shared" si="7"/>
      </c>
      <c r="Q49" s="14">
        <f ca="1">IF(ISTEXT(P49),"",MROUND(Width*P49*VLOOKUP(Lanes,Lanes_adj,2,0)/VLOOKUP(P$4,INDIRECT("Speed"&amp;_num),4,0),Round_L))</f>
      </c>
      <c r="R49" s="14">
        <f>IF(ISTEXT(P49),"",MROUND(MAX(SQRT(24*VLOOKUP("pmin",Constants,_num,0)*$C49),VLOOKUP("Ls",Constants,_num,0)*P$4^3/($C49*VLOOKUP("C",Constants,_num,0))),Round_L))</f>
      </c>
      <c r="S49" s="14">
        <f t="shared" si="1"/>
      </c>
      <c r="T49" s="14">
        <f>IF(ISTEXT(P49),"",MROUND(SQRT(24*VLOOKUP("pmax",Constants,_num,0)*$C49),Round_L))</f>
      </c>
      <c r="U49" s="58" t="e">
        <f ca="1" t="shared" si="8"/>
        <v>#DIV/0!</v>
      </c>
    </row>
    <row r="50" spans="1:21" ht="13.5" thickBot="1">
      <c r="A50" s="94">
        <f>CONVERT(C50,Length,IF(Metric,"ft","m"))</f>
        <v>0</v>
      </c>
      <c r="B50" s="95">
        <f t="shared" si="9"/>
      </c>
      <c r="C50" s="96">
        <f ca="1" t="shared" si="10"/>
        <v>0</v>
      </c>
      <c r="D50" s="20">
        <f t="shared" si="2"/>
      </c>
      <c r="E50" s="14">
        <f ca="1">IF(ISTEXT(D50),"",MROUND(Width*D50*VLOOKUP(Lanes,Lanes_adj,2,0)/VLOOKUP(D$4,INDIRECT("Speed"&amp;_num),4,0),Round_L))</f>
      </c>
      <c r="F50" s="14">
        <f>IF(ISTEXT(D50),"",MROUND(MAX(SQRT(24*VLOOKUP("pmin",Constants,_num,0)*$C50),VLOOKUP("Ls",Constants,_num,0)*D$4^3/($C50*VLOOKUP("C",Constants,_num,0))),Round_L))</f>
      </c>
      <c r="G50" s="14">
        <f t="shared" si="3"/>
      </c>
      <c r="H50" s="14">
        <f>IF(ISTEXT(D50),"",MROUND(SQRT(24*VLOOKUP("pmax",Constants,_num,0)*$C50),Round_L))</f>
      </c>
      <c r="I50" s="58" t="e">
        <f ca="1" t="shared" si="4"/>
        <v>#DIV/0!</v>
      </c>
      <c r="J50" s="20">
        <f t="shared" si="5"/>
      </c>
      <c r="K50" s="14">
        <f ca="1">IF(ISTEXT(J50),"",MROUND(Width*J50*VLOOKUP(Lanes,Lanes_adj,2,0)/VLOOKUP(J$4,INDIRECT("Speed"&amp;_num),4,0),Round_L))</f>
      </c>
      <c r="L50" s="14">
        <f>IF(ISTEXT(J50),"",MROUND(MAX(SQRT(24*VLOOKUP("pmin",Constants,_num,0)*$C50),VLOOKUP("Ls",Constants,_num,0)*J$4^3/($C50*VLOOKUP("C",Constants,_num,0))),Round_L))</f>
      </c>
      <c r="M50" s="14">
        <f t="shared" si="0"/>
      </c>
      <c r="N50" s="14">
        <f>IF(ISTEXT(J50),"",MROUND(SQRT(24*VLOOKUP("pmax",Constants,_num,0)*$C50),Round_L))</f>
      </c>
      <c r="O50" s="58" t="e">
        <f ca="1" t="shared" si="6"/>
        <v>#DIV/0!</v>
      </c>
      <c r="P50" s="20">
        <f t="shared" si="7"/>
      </c>
      <c r="Q50" s="14">
        <f ca="1">IF(ISTEXT(P50),"",MROUND(Width*P50*VLOOKUP(Lanes,Lanes_adj,2,0)/VLOOKUP(P$4,INDIRECT("Speed"&amp;_num),4,0),Round_L))</f>
      </c>
      <c r="R50" s="14">
        <f>IF(ISTEXT(P50),"",MROUND(MAX(SQRT(24*VLOOKUP("pmin",Constants,_num,0)*$C50),VLOOKUP("Ls",Constants,_num,0)*P$4^3/($C50*VLOOKUP("C",Constants,_num,0))),Round_L))</f>
      </c>
      <c r="S50" s="14">
        <f t="shared" si="1"/>
      </c>
      <c r="T50" s="14">
        <f>IF(ISTEXT(P50),"",MROUND(SQRT(24*VLOOKUP("pmax",Constants,_num,0)*$C50),Round_L))</f>
      </c>
      <c r="U50" s="58" t="e">
        <f ca="1" t="shared" si="8"/>
        <v>#DIV/0!</v>
      </c>
    </row>
    <row r="51" spans="1:21" ht="12.75">
      <c r="A51" s="131" t="s">
        <v>52</v>
      </c>
      <c r="B51" s="131"/>
      <c r="C51" s="66"/>
      <c r="D51" s="66"/>
      <c r="E51" s="71" t="str">
        <f ca="1">"R(min) = "&amp;H3&amp;" "&amp;I3&amp;IF(Metric,"","  or  D(max) = "&amp;TEXT(MROUND(DxR/VLOOKUP(D4,INDIRECT("Speed"&amp;_num),6,0)/24,0.25/24),"[h]° m' ss\"""))</f>
        <v>R(min) = 1060 ft  or  D(max) = 5° 30' 00"</v>
      </c>
      <c r="F51" s="71"/>
      <c r="G51" s="71"/>
      <c r="H51" s="71"/>
      <c r="I51" s="66"/>
      <c r="J51" s="66"/>
      <c r="K51" s="71" t="str">
        <f ca="1">"R(min) = "&amp;N3&amp;" "&amp;O3&amp;IF(Metric,"","  or  D(max) = "&amp;TEXT(MROUND(DxR/VLOOKUP(J4,INDIRECT("Speed"&amp;_num),6,0)/24,0.25/24),"[h]° m' ss\"""))</f>
        <v>R(min) = 1330 ft  or  D(max) = 4° 15' 00"</v>
      </c>
      <c r="L51" s="71"/>
      <c r="M51" s="71"/>
      <c r="N51" s="71"/>
      <c r="O51" s="66"/>
      <c r="P51" s="66"/>
      <c r="Q51" s="71" t="str">
        <f ca="1">"R(min) = "&amp;T3&amp;" "&amp;U3&amp;IF(Metric,"","  or  D(max) = "&amp;TEXT(MROUND(DxR/VLOOKUP(P4,INDIRECT("Speed"&amp;_num),6,0)/24,0.25/24),"[h]° m' ss\"""))</f>
        <v>R(min) = 1660 ft  or  D(max) = 3° 30' 00"</v>
      </c>
      <c r="R51" s="71"/>
      <c r="S51" s="71"/>
      <c r="T51" s="71"/>
      <c r="U51" s="66"/>
    </row>
    <row r="52" spans="1:2" ht="12.75">
      <c r="A52" s="67" t="s">
        <v>58</v>
      </c>
      <c r="B52" t="s">
        <v>51</v>
      </c>
    </row>
    <row r="53" spans="1:20" ht="15.75">
      <c r="A53" s="67" t="s">
        <v>85</v>
      </c>
      <c r="B53" t="s">
        <v>86</v>
      </c>
      <c r="F53" s="4" t="s">
        <v>53</v>
      </c>
      <c r="G53" s="87">
        <f>INDEX($C5:$C50,MATCH(MIN(G5:G51),G5:G51,0),1)</f>
        <v>1660</v>
      </c>
      <c r="H53" t="str">
        <f>Length</f>
        <v>ft</v>
      </c>
      <c r="L53" s="4" t="s">
        <v>53</v>
      </c>
      <c r="M53" s="87">
        <f>INDEX($C5:$C50,MATCH(MIN(M5:M51),M5:M51,0),1)</f>
        <v>1660</v>
      </c>
      <c r="N53" t="str">
        <f>Length</f>
        <v>ft</v>
      </c>
      <c r="R53" s="4" t="s">
        <v>53</v>
      </c>
      <c r="S53" s="87">
        <f>INDEX($C5:$C50,MATCH(MIN(S5:S51),S5:S51,0),1)</f>
        <v>1660</v>
      </c>
      <c r="T53" t="str">
        <f>Length</f>
        <v>ft</v>
      </c>
    </row>
    <row r="54" spans="1:20" ht="15.75">
      <c r="A54" s="21">
        <v>0.002</v>
      </c>
      <c r="B54" t="s">
        <v>45</v>
      </c>
      <c r="F54" s="4" t="s">
        <v>54</v>
      </c>
      <c r="G54" s="103">
        <f>CEILING((CONVERT(D4,IF(Metric,"km","mi"),Length)/3600)^2/VLOOKUP("lat_accel",Constants,_num,0),10^(MAX(0,INT(LOG((CONVERT(D4,IF(Metric,"km","mi"),Length)/3600)^2/VLOOKUP("lat_accel",Constants,_num,0)))-2)))</f>
        <v>2830</v>
      </c>
      <c r="H54" s="19" t="str">
        <f>Length&amp;"  ("&amp;FLOOR((CONVERT(D4,IF(Metric,"km","mi"),Length)/3600)^2/IF(Metric,1.3,4.25),1)&amp;" "&amp;Length&amp;" GB)"</f>
        <v>ft  (1531 ft GB)</v>
      </c>
      <c r="L54" s="4" t="s">
        <v>54</v>
      </c>
      <c r="M54" s="103">
        <f>CEILING((CONVERT(J4,IF(Metric,"km","mi"),Length)/3600)^2/VLOOKUP("lat_accel",Constants,_num,0),10^(MAX(0,INT(LOG((CONVERT(J4,IF(Metric,"km","mi"),Length)/3600)^2/VLOOKUP("lat_accel",Constants,_num,0)))-2)))</f>
        <v>3370</v>
      </c>
      <c r="N54" s="19" t="str">
        <f>Length&amp;"  ("&amp;FLOOR((CONVERT(J4,IF(Metric,"km","mi"),Length)/3600)^2/IF(Metric,1.3,4.25),1)&amp;" "&amp;Length&amp;" GB)"</f>
        <v>ft  (1822 ft GB)</v>
      </c>
      <c r="R54" s="4" t="s">
        <v>54</v>
      </c>
      <c r="S54" s="103">
        <f>CEILING((CONVERT(P4,IF(Metric,"km","mi"),Length)/3600)^2/VLOOKUP("lat_accel",Constants,_num,0),10^(MAX(0,INT(LOG((CONVERT(P4,IF(Metric,"km","mi"),Length)/3600)^2/VLOOKUP("lat_accel",Constants,_num,0)))-2)))</f>
        <v>3960</v>
      </c>
      <c r="T54" s="19" t="str">
        <f>Length&amp;"  ("&amp;FLOOR((CONVERT(P4,IF(Metric,"km","mi"),Length)/3600)^2/IF(Metric,1.3,4.25),1)&amp;" "&amp;Length&amp;" GB)"</f>
        <v>ft  (2138 ft GB)</v>
      </c>
    </row>
    <row r="55" spans="1:20" ht="15.75">
      <c r="A55" s="23">
        <v>1</v>
      </c>
      <c r="B55" t="str">
        <f>Length&amp;" ("&amp;ROUND(CONVERT(Round_L,Length,IF(Metric,"ft","m")),1)&amp;" "&amp;IF(Metric,"ft","m")&amp;") rounding"</f>
        <v>ft (0.3 m) rounding</v>
      </c>
      <c r="F55" s="4" t="s">
        <v>84</v>
      </c>
      <c r="G55" s="103">
        <f>MROUND(D4*4*IF(Metric,1000,5280)/3600,VLOOKUP("round",Constants,_num,0))</f>
        <v>325</v>
      </c>
      <c r="H55" s="19" t="str">
        <f>Length</f>
        <v>ft</v>
      </c>
      <c r="L55" s="4" t="s">
        <v>84</v>
      </c>
      <c r="M55" s="103">
        <f>MROUND(J4*4*IF(Metric,1000,5280)/3600,VLOOKUP("round",Constants,_num,0))</f>
        <v>350</v>
      </c>
      <c r="N55" s="19" t="str">
        <f>Length</f>
        <v>ft</v>
      </c>
      <c r="R55" s="4" t="s">
        <v>84</v>
      </c>
      <c r="S55" s="103">
        <f>MROUND(P4*4*IF(Metric,1000,5280)/3600,VLOOKUP("round",Constants,_num,0))</f>
        <v>380</v>
      </c>
      <c r="T55" s="19" t="str">
        <f>Length</f>
        <v>ft</v>
      </c>
    </row>
    <row r="56" spans="1:2" ht="12.75">
      <c r="A56" s="2">
        <f>IF(Metric,2,3)</f>
        <v>3</v>
      </c>
      <c r="B56" t="s">
        <v>42</v>
      </c>
    </row>
    <row r="57" spans="1:18" ht="13.5" thickBot="1">
      <c r="A57" t="b">
        <f>A1="Metric"</f>
        <v>0</v>
      </c>
      <c r="B57" t="s">
        <v>50</v>
      </c>
      <c r="F57" s="70" t="str">
        <f>HYPERLINK("#D6","Go to top")</f>
        <v>Go to top</v>
      </c>
      <c r="L57" s="70" t="str">
        <f>HYPERLINK("#D6","Go to top")</f>
        <v>Go to top</v>
      </c>
      <c r="R57" s="70" t="str">
        <f>HYPERLINK("#D6","Go to top")</f>
        <v>Go to top</v>
      </c>
    </row>
    <row r="58" spans="1:2" ht="12.75">
      <c r="A58" t="b">
        <f>AND(NOT(Metric),_list="▼ DC_List")</f>
        <v>0</v>
      </c>
      <c r="B58" t="s">
        <v>59</v>
      </c>
    </row>
    <row r="60" ht="13.5" thickBot="1">
      <c r="B60" s="70" t="str">
        <f>HYPERLINK("#C6","Go to top")</f>
        <v>Go to top</v>
      </c>
    </row>
    <row r="62" ht="12.75">
      <c r="I62" s="138"/>
    </row>
  </sheetData>
  <sheetProtection sheet="1" objects="1" scenarios="1"/>
  <mergeCells count="1">
    <mergeCell ref="A1:B1"/>
  </mergeCells>
  <conditionalFormatting sqref="C3">
    <cfRule type="cellIs" priority="1" dxfId="0" operator="notBetween" stopIfTrue="1">
      <formula>1</formula>
      <formula>3.5</formula>
    </cfRule>
    <cfRule type="expression" priority="2" dxfId="0" stopIfTrue="1">
      <formula>INT(C3*2)&lt;&gt;C3*2</formula>
    </cfRule>
  </conditionalFormatting>
  <conditionalFormatting sqref="A3">
    <cfRule type="expression" priority="3" dxfId="1" stopIfTrue="1">
      <formula>ISNUMBER(FIND("ERROR",A3))</formula>
    </cfRule>
  </conditionalFormatting>
  <conditionalFormatting sqref="B5:B50">
    <cfRule type="expression" priority="4" dxfId="2" stopIfTrue="1">
      <formula>Metric</formula>
    </cfRule>
  </conditionalFormatting>
  <conditionalFormatting sqref="A2">
    <cfRule type="expression" priority="5" dxfId="3" stopIfTrue="1">
      <formula>ISNA(MATCH(A2,INDIRECT("Speeds"&amp;_num),0))</formula>
    </cfRule>
  </conditionalFormatting>
  <conditionalFormatting sqref="B2">
    <cfRule type="expression" priority="6" dxfId="3" stopIfTrue="1">
      <formula>ISNA(MATCH(A2,INDIRECT("Speeds"&amp;_num),0))</formula>
    </cfRule>
  </conditionalFormatting>
  <conditionalFormatting sqref="C4">
    <cfRule type="expression" priority="7" dxfId="4" stopIfTrue="1">
      <formula>NOT(Metric)</formula>
    </cfRule>
  </conditionalFormatting>
  <conditionalFormatting sqref="F6:F50 L6:L50 R6:R50">
    <cfRule type="expression" priority="8" dxfId="5" stopIfTrue="1">
      <formula>AND($C6&gt;G$54,F6&lt;&gt;"")</formula>
    </cfRule>
  </conditionalFormatting>
  <conditionalFormatting sqref="H6:H50 N6:N50 T6:T50">
    <cfRule type="expression" priority="9" dxfId="5" stopIfTrue="1">
      <formula>AND($C6&gt;G$54,H6&lt;&gt;"")</formula>
    </cfRule>
  </conditionalFormatting>
  <conditionalFormatting sqref="G53 M53 S53">
    <cfRule type="expression" priority="10" dxfId="5" stopIfTrue="1">
      <formula>AND($C87&gt;H$54,G53&lt;&gt;"")</formula>
    </cfRule>
  </conditionalFormatting>
  <conditionalFormatting sqref="G6:G50 M6:M50 S6:S50">
    <cfRule type="expression" priority="11" dxfId="6" stopIfTrue="1">
      <formula>AND(G6&gt;MIN(G$5:G$85),$C6&gt;G$53,G6&lt;&gt;"")</formula>
    </cfRule>
    <cfRule type="expression" priority="12" dxfId="5" stopIfTrue="1">
      <formula>AND($C6&gt;G$54,G6&lt;&gt;"")</formula>
    </cfRule>
  </conditionalFormatting>
  <dataValidations count="16">
    <dataValidation errorStyle="warning" type="decimal" allowBlank="1" showInputMessage="1" showErrorMessage="1" promptTitle="Maximum superelevation rate" prompt="Input rate as percentage." errorTitle="Invalid maximum superelevation" error="Normal values for maximum superelevation are 4%, 6%, 8%, 10%, and 12%." sqref="C1">
      <formula1>0.02</formula1>
      <formula2>0.25</formula2>
    </dataValidation>
    <dataValidation type="decimal" allowBlank="1" showInputMessage="1" showErrorMessage="1" promptTitle="Normal Cross Slope" prompt="Input rate, usually 2%" errorTitle="Invalid Cross Slope" error="Input value between 1.5% and 2% for high surface types.  Input value between 2% and 6% for low surface types." sqref="C2">
      <formula1>0.015</formula1>
      <formula2>0.06</formula2>
    </dataValidation>
    <dataValidation type="list" allowBlank="1" showInputMessage="1" showErrorMessage="1" promptTitle="Number of Lanes Rotated" prompt="See Exhibit 3-28" errorTitle="Invalid number lanes" error="See Exhibit 3-28" sqref="C3">
      <formula1>"1, 1.5, 2, 2.5, 3, 3.5"</formula1>
    </dataValidation>
    <dataValidation type="decimal" operator="greaterThan" allowBlank="1" showInputMessage="1" showErrorMessage="1" promptTitle="Radius" prompt="User input radius" errorTitle="Invalid Radius" error="Radius must be greater than zero." sqref="C9 A11">
      <formula1>0</formula1>
    </dataValidation>
    <dataValidation allowBlank="1" showInputMessage="1" showErrorMessage="1" promptTitle="Best spiral length" prompt="The best minimum spiral length.&#10;Spiral not needed for shaded values." sqref="G5 M5 S5"/>
    <dataValidation type="list" allowBlank="1" showInputMessage="1" showErrorMessage="1" promptTitle="Design Speed" prompt="Input the design speed for the middle column.  The other columns will be above and below this value." sqref="A2">
      <formula1>INDIRECT("Speeds"&amp;_num)</formula1>
    </dataValidation>
    <dataValidation type="decimal" operator="greaterThan" allowBlank="1" showInputMessage="1" showErrorMessage="1" promptTitle="Travel Lane Width" prompt="Input width of travel lane in either Metric or US Customary Units.  Normally set this to 3.6 m [12 ft] even if the actual travel lane is narrower." sqref="B3">
      <formula1>0</formula1>
    </dataValidation>
    <dataValidation type="custom" allowBlank="1" showInputMessage="1" showErrorMessage="1" promptTitle="Degree of Curvature" prompt="Input in the format 2:30:15 to get 2 degrees, 30 minutes, 15 seconds." errorTitle="Out of range" sqref="B10">
      <formula1>AND(B10&gt;0,B10&lt;=7)</formula1>
    </dataValidation>
    <dataValidation type="list" allowBlank="1" showInputMessage="1" showErrorMessage="1" promptTitle="Radius Listing" prompt="For US Customary units select whether to show a Radius listing, &quot;R_List&quot; (AASHTO 2001), or a Degree of curvature listing, &quot;DC_List&quot; (AASHTO 1990)." sqref="A52">
      <formula1>"▼ R_List,▼ DC_List"</formula1>
    </dataValidation>
    <dataValidation type="list" allowBlank="1" showInputMessage="1" showErrorMessage="1" promptTitle="Units" prompt="Select units of measurement." sqref="A1:B1">
      <formula1>"Metric,US_Customary"</formula1>
    </dataValidation>
    <dataValidation type="decimal" allowBlank="1" showInputMessage="1" showErrorMessage="1" promptTitle="Superelevation Rounding" prompt="Round superelevation to this value." errorTitle="Out of Range!" error="Normally enter some value less than 1%." sqref="A54">
      <formula1>0.0000001</formula1>
      <formula2>0.02</formula2>
    </dataValidation>
    <dataValidation type="decimal" allowBlank="1" showInputMessage="1" showErrorMessage="1" promptTitle="Rounding" prompt="Round runoff and spiral lengths to this value." errorTitle="Error!" error="Enter number greater than zero but not more than 3 m [10 ft].  2001 Green Book uses value of 1." sqref="A55">
      <formula1>0.0001</formula1>
      <formula2>VLOOKUP("round",Constants,_num,0)</formula2>
    </dataValidation>
    <dataValidation allowBlank="1" showInputMessage="1" showErrorMessage="1" promptTitle="Information" prompt="Minimum radii" sqref="A6:A8 C6:C8"/>
    <dataValidation allowBlank="1" showInputMessage="1" showErrorMessage="1" promptTitle="Information" prompt="Minimum degree of curvature" sqref="B6:B8"/>
    <dataValidation type="list" allowBlank="1" showInputMessage="1" showErrorMessage="1" promptTitle="Desirable Spiral Length" prompt="Choose either the PDDM setting (2.3 sec travel time) or the Green Book setting (2 sec travel time)." sqref="A53">
      <formula1>"PDDM,Green Book"</formula1>
    </dataValidation>
    <dataValidation allowBlank="1" showInputMessage="1" showErrorMessage="1" promptTitle="Maximum radius for spiral use" prompt="PDDM values shown with Green Book value in parenthesis" sqref="H54 N54 T54"/>
  </dataValidations>
  <printOptions/>
  <pageMargins left="0.75" right="0.75" top="1" bottom="1" header="0.5" footer="0.5"/>
  <pageSetup horizontalDpi="600" verticalDpi="600" orientation="portrait" r:id="rId1"/>
  <ignoredErrors>
    <ignoredError sqref="H54 T54 N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showGridLines="0" showRowColHeaders="0" workbookViewId="0" topLeftCell="A1">
      <selection activeCell="G1" sqref="G1:H1"/>
    </sheetView>
  </sheetViews>
  <sheetFormatPr defaultColWidth="9.140625" defaultRowHeight="12.75"/>
  <cols>
    <col min="1" max="1" width="9.7109375" style="0" customWidth="1"/>
  </cols>
  <sheetData>
    <row r="1" spans="1:14" ht="13.5" thickBot="1">
      <c r="A1" s="15" t="s">
        <v>48</v>
      </c>
      <c r="C1" s="4" t="s">
        <v>22</v>
      </c>
      <c r="D1" s="6">
        <f>eMax</f>
        <v>0.06</v>
      </c>
      <c r="G1" s="157" t="str">
        <f>HYPERLINK("#Table!A1","Superelevation Table")</f>
        <v>Superelevation Table</v>
      </c>
      <c r="H1" s="158"/>
      <c r="N1" s="16" t="s">
        <v>49</v>
      </c>
    </row>
    <row r="2" spans="1:26" ht="13.5" thickBot="1">
      <c r="A2" s="5" t="s">
        <v>15</v>
      </c>
      <c r="B2" s="5" t="s">
        <v>1</v>
      </c>
      <c r="C2" s="5" t="s">
        <v>16</v>
      </c>
      <c r="D2" s="5" t="s">
        <v>2</v>
      </c>
      <c r="E2" s="5" t="s">
        <v>46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56</v>
      </c>
      <c r="N2" s="5" t="s">
        <v>23</v>
      </c>
      <c r="O2" s="5" t="s">
        <v>1</v>
      </c>
      <c r="P2" s="5" t="s">
        <v>24</v>
      </c>
      <c r="Q2" s="5" t="s">
        <v>2</v>
      </c>
      <c r="R2" s="5" t="s">
        <v>46</v>
      </c>
      <c r="S2" s="5" t="s">
        <v>3</v>
      </c>
      <c r="T2" s="5" t="s">
        <v>4</v>
      </c>
      <c r="U2" s="5" t="s">
        <v>5</v>
      </c>
      <c r="V2" s="5" t="s">
        <v>6</v>
      </c>
      <c r="W2" s="5" t="s">
        <v>7</v>
      </c>
      <c r="X2" s="5" t="s">
        <v>8</v>
      </c>
      <c r="Y2" s="5" t="s">
        <v>56</v>
      </c>
      <c r="Z2" s="5" t="s">
        <v>57</v>
      </c>
    </row>
    <row r="3" spans="1:27" ht="12.75">
      <c r="A3" s="40">
        <v>20</v>
      </c>
      <c r="B3" s="88">
        <v>0.35</v>
      </c>
      <c r="C3" s="31">
        <v>20</v>
      </c>
      <c r="D3" s="32">
        <v>0.008</v>
      </c>
      <c r="E3" s="31">
        <f>MROUND(A3*Travel_time*1000/3600,VLOOKUP("round",Constants,2,0))</f>
        <v>13</v>
      </c>
      <c r="F3" s="31">
        <f>MROUND(A3^2/(127*(eMax+B3)),10^(MAX(0,INT(LOG(A3^2/(127*(eMax+B3))))-2)))</f>
        <v>8</v>
      </c>
      <c r="G3" s="31">
        <f>C3^2/(127*eMax)</f>
        <v>52.493438320209975</v>
      </c>
      <c r="H3" s="31">
        <f>eMax*((A3/C3)^2-1)</f>
        <v>0</v>
      </c>
      <c r="I3" s="31">
        <f>H3*G3</f>
        <v>0</v>
      </c>
      <c r="J3" s="31">
        <f>(B3-H3)/(1/F3-1/G3)</f>
        <v>3.303445021236432</v>
      </c>
      <c r="K3" s="31">
        <f>1/G3*(1/F3-1/G3)*(J3-I3)/2*F3</f>
        <v>0.02667</v>
      </c>
      <c r="L3" s="33">
        <v>250</v>
      </c>
      <c r="N3" s="49">
        <v>15</v>
      </c>
      <c r="O3" s="91">
        <v>0.32</v>
      </c>
      <c r="P3" s="43">
        <f>N3</f>
        <v>15</v>
      </c>
      <c r="Q3" s="44">
        <v>0.0078</v>
      </c>
      <c r="R3" s="43">
        <f>MROUND(N3*Travel_time*5280/3600,VLOOKUP("round",Constants,3,0))</f>
        <v>50</v>
      </c>
      <c r="S3" s="43">
        <f>MROUND(N3^2/(15*(eMax+O3)),10^MAX(0,INT(LOG(N3^2/(15*(eMax+O3))))-2))</f>
        <v>39</v>
      </c>
      <c r="T3" s="43">
        <f>P3^2/(15*eMax)</f>
        <v>250.00000000000003</v>
      </c>
      <c r="U3" s="43">
        <f>eMax*((N3/P3)^2-1)</f>
        <v>0</v>
      </c>
      <c r="V3" s="43">
        <f>U3*T3/DxR</f>
        <v>0</v>
      </c>
      <c r="W3" s="43">
        <f>(O3-U3)/(DxR*(1/S3-1/T3))</f>
        <v>0.0025807712162183075</v>
      </c>
      <c r="X3" s="43">
        <f>DxR/T3*(1/S3-1/T3)*(W3-V3)/2*S3</f>
        <v>0.024959999999999996</v>
      </c>
      <c r="Y3" s="43">
        <v>1000</v>
      </c>
      <c r="Z3" s="105">
        <f aca="true" t="shared" si="0" ref="Z3:Z16">DxR/(24*AA3)</f>
        <v>1145.915590262</v>
      </c>
      <c r="AA3" s="104">
        <v>0.20833333333333334</v>
      </c>
    </row>
    <row r="4" spans="1:27" ht="12.75">
      <c r="A4" s="41">
        <v>30</v>
      </c>
      <c r="B4" s="89">
        <v>0.28</v>
      </c>
      <c r="C4" s="34">
        <v>30</v>
      </c>
      <c r="D4" s="35">
        <v>0.0075</v>
      </c>
      <c r="E4" s="34">
        <f>MROUND(A4*Travel_time*1000/3600,VLOOKUP("round",Constants,2,0))</f>
        <v>19</v>
      </c>
      <c r="F4" s="34">
        <f>MROUND(A4^2/(127*(eMax+B4)),10^(MAX(0,INT(LOG(A4^2/(127*(eMax+B4))))-2)))</f>
        <v>21</v>
      </c>
      <c r="G4" s="34">
        <f aca="true" t="shared" si="1" ref="G4:G14">C4^2/(127*eMax)</f>
        <v>118.11023622047244</v>
      </c>
      <c r="H4" s="34">
        <f aca="true" t="shared" si="2" ref="H4:H14">eMax*((A4/C4)^2-1)</f>
        <v>0</v>
      </c>
      <c r="I4" s="34">
        <f aca="true" t="shared" si="3" ref="I4:I14">H4*G4</f>
        <v>0</v>
      </c>
      <c r="J4" s="34">
        <f aca="true" t="shared" si="4" ref="J4:J14">(B4-H4)/(1/F4-1/G4)</f>
        <v>7.151544636341524</v>
      </c>
      <c r="K4" s="34">
        <f aca="true" t="shared" si="5" ref="K4:K14">1/G4*(1/F4-1/G4)*(J4-I4)/2*F4</f>
        <v>0.024892</v>
      </c>
      <c r="L4" s="36">
        <v>500</v>
      </c>
      <c r="N4" s="50">
        <v>20</v>
      </c>
      <c r="O4" s="92">
        <v>0.27</v>
      </c>
      <c r="P4" s="45">
        <f>N4</f>
        <v>20</v>
      </c>
      <c r="Q4" s="46">
        <v>0.0074</v>
      </c>
      <c r="R4" s="45">
        <f>MROUND(N4*Travel_time*5280/3600,VLOOKUP("round",Constants,3,0))</f>
        <v>65</v>
      </c>
      <c r="S4" s="45">
        <f>MROUND(N4^2/(15*(eMax+O4)),10^MAX(0,INT(LOG(N4^2/(15*(eMax+O4))))-2))</f>
        <v>81</v>
      </c>
      <c r="T4" s="45">
        <f aca="true" t="shared" si="6" ref="T4:T16">P4^2/(15*eMax)</f>
        <v>444.4444444444445</v>
      </c>
      <c r="U4" s="45">
        <f aca="true" t="shared" si="7" ref="U4:U16">eMax*((N4/P4)^2-1)</f>
        <v>0</v>
      </c>
      <c r="V4" s="45">
        <f aca="true" t="shared" si="8" ref="V4:V16">U4*T4/DxR</f>
        <v>0</v>
      </c>
      <c r="W4" s="45">
        <f aca="true" t="shared" si="9" ref="W4:W16">(O4-U4)/(DxR*(1/S4-1/T4))</f>
        <v>0.004667728614014579</v>
      </c>
      <c r="X4" s="45">
        <f aca="true" t="shared" si="10" ref="X4:X16">DxR/T4*(1/S4-1/T4)*(W4-V4)/2*S4</f>
        <v>0.024603749999999994</v>
      </c>
      <c r="Y4" s="45">
        <v>2000</v>
      </c>
      <c r="Z4" s="106">
        <f t="shared" si="0"/>
        <v>1909.8593171033333</v>
      </c>
      <c r="AA4" s="104">
        <v>0.125</v>
      </c>
    </row>
    <row r="5" spans="1:27" ht="12.75">
      <c r="A5" s="41">
        <v>40</v>
      </c>
      <c r="B5" s="89">
        <v>0.23</v>
      </c>
      <c r="C5" s="34">
        <v>40</v>
      </c>
      <c r="D5" s="35">
        <v>0.007</v>
      </c>
      <c r="E5" s="34">
        <f>MROUND(A5*Travel_time*1000/3600,VLOOKUP("round",Constants,2,0))</f>
        <v>26</v>
      </c>
      <c r="F5" s="34">
        <f>MROUND(A5^2/(127*(eMax+B5)),10^(MAX(0,INT(LOG(A5^2/(127*(eMax+B5))))-2)))</f>
        <v>43</v>
      </c>
      <c r="G5" s="34">
        <f t="shared" si="1"/>
        <v>209.9737532808399</v>
      </c>
      <c r="H5" s="34">
        <f t="shared" si="2"/>
        <v>0</v>
      </c>
      <c r="I5" s="34">
        <f t="shared" si="3"/>
        <v>0</v>
      </c>
      <c r="J5" s="34">
        <f t="shared" si="4"/>
        <v>12.436927236430515</v>
      </c>
      <c r="K5" s="34">
        <f t="shared" si="5"/>
        <v>0.0235505625</v>
      </c>
      <c r="L5" s="36">
        <v>1000</v>
      </c>
      <c r="N5" s="50">
        <v>25</v>
      </c>
      <c r="O5" s="92">
        <v>0.23</v>
      </c>
      <c r="P5" s="45">
        <v>24</v>
      </c>
      <c r="Q5" s="46">
        <v>0.007</v>
      </c>
      <c r="R5" s="45">
        <f>MROUND(N5*Travel_time*5280/3600,VLOOKUP("round",Constants,3,0))</f>
        <v>85</v>
      </c>
      <c r="S5" s="45">
        <f>MROUND(N5^2/(15*(eMax+O5)),10^MAX(0,INT(LOG(N5^2/(15*(eMax+O5))))-2))</f>
        <v>144</v>
      </c>
      <c r="T5" s="45">
        <f t="shared" si="6"/>
        <v>640.0000000000001</v>
      </c>
      <c r="U5" s="45">
        <f t="shared" si="7"/>
        <v>0.005104166666666679</v>
      </c>
      <c r="V5" s="45">
        <f t="shared" si="8"/>
        <v>0.0005701408889846399</v>
      </c>
      <c r="W5" s="45">
        <f t="shared" si="9"/>
        <v>0.007293224235589539</v>
      </c>
      <c r="X5" s="45">
        <f t="shared" si="10"/>
        <v>0.02332291666666666</v>
      </c>
      <c r="Y5" s="45">
        <v>2500</v>
      </c>
      <c r="Z5" s="106">
        <f t="shared" si="0"/>
        <v>2864.788975655</v>
      </c>
      <c r="AA5" s="104">
        <v>0.08333333333333333</v>
      </c>
    </row>
    <row r="6" spans="1:27" ht="12.75">
      <c r="A6" s="41">
        <v>50</v>
      </c>
      <c r="B6" s="89">
        <v>0.19</v>
      </c>
      <c r="C6" s="34">
        <v>47</v>
      </c>
      <c r="D6" s="35">
        <v>0.0065</v>
      </c>
      <c r="E6" s="34">
        <f>MROUND(A6*Travel_time*1000/3600,VLOOKUP("round",Constants,2,0))</f>
        <v>32</v>
      </c>
      <c r="F6" s="34">
        <f>MROUND(A6^2/(127*(eMax+B6)),10^(MAX(0,INT(LOG(A6^2/(127*(eMax+B6))))-2)))</f>
        <v>79</v>
      </c>
      <c r="G6" s="34">
        <f t="shared" si="1"/>
        <v>289.8950131233596</v>
      </c>
      <c r="H6" s="34">
        <f t="shared" si="2"/>
        <v>0.007904028972385686</v>
      </c>
      <c r="I6" s="34">
        <f t="shared" si="3"/>
        <v>2.291338582677163</v>
      </c>
      <c r="J6" s="34">
        <f t="shared" si="4"/>
        <v>19.774333860188424</v>
      </c>
      <c r="K6" s="34">
        <f t="shared" si="5"/>
        <v>0.02193666817564509</v>
      </c>
      <c r="L6" s="36">
        <v>1500</v>
      </c>
      <c r="N6" s="50">
        <v>30</v>
      </c>
      <c r="O6" s="92">
        <v>0.2</v>
      </c>
      <c r="P6" s="45">
        <v>28</v>
      </c>
      <c r="Q6" s="46">
        <v>0.0066</v>
      </c>
      <c r="R6" s="45">
        <f>MROUND(N6*Travel_time*5280/3600,VLOOKUP("round",Constants,3,0))</f>
        <v>100</v>
      </c>
      <c r="S6" s="45">
        <f>MROUND(N6^2/(15*(eMax+O6)),10^MAX(0,INT(LOG(N6^2/(15*(eMax+O6))))-2))</f>
        <v>231</v>
      </c>
      <c r="T6" s="45">
        <f t="shared" si="6"/>
        <v>871.1111111111112</v>
      </c>
      <c r="U6" s="45">
        <f t="shared" si="7"/>
        <v>0.008877551020408157</v>
      </c>
      <c r="V6" s="45">
        <f t="shared" si="8"/>
        <v>0.001349721288208531</v>
      </c>
      <c r="W6" s="45">
        <f t="shared" si="9"/>
        <v>0.01048622656004707</v>
      </c>
      <c r="X6" s="45">
        <f t="shared" si="10"/>
        <v>0.02207908163265306</v>
      </c>
      <c r="Y6" s="45">
        <v>3500</v>
      </c>
      <c r="Z6" s="106">
        <f t="shared" si="0"/>
        <v>5729.57795131</v>
      </c>
      <c r="AA6" s="104">
        <v>0.041666666666666664</v>
      </c>
    </row>
    <row r="7" spans="1:27" ht="12.75">
      <c r="A7" s="41">
        <v>60</v>
      </c>
      <c r="B7" s="89">
        <v>0.17</v>
      </c>
      <c r="C7" s="34">
        <v>55</v>
      </c>
      <c r="D7" s="35">
        <v>0.006</v>
      </c>
      <c r="E7" s="34">
        <f>MROUND(A7*Travel_time*1000/3600,VLOOKUP("round",Constants,2,0))</f>
        <v>38</v>
      </c>
      <c r="F7" s="34">
        <f>MROUND(A7^2/(127*(eMax+B7)),10^(MAX(0,INT(LOG(A7^2/(127*(eMax+B7))))-2)))</f>
        <v>123</v>
      </c>
      <c r="G7" s="34">
        <f t="shared" si="1"/>
        <v>396.98162729658793</v>
      </c>
      <c r="H7" s="34">
        <f t="shared" si="2"/>
        <v>0.011404958677685938</v>
      </c>
      <c r="I7" s="34">
        <f t="shared" si="3"/>
        <v>4.527559055118106</v>
      </c>
      <c r="J7" s="34">
        <f t="shared" si="4"/>
        <v>28.264654602584613</v>
      </c>
      <c r="K7" s="34">
        <f t="shared" si="5"/>
        <v>0.02063375206611571</v>
      </c>
      <c r="L7" s="36">
        <v>2000</v>
      </c>
      <c r="N7" s="50">
        <v>35</v>
      </c>
      <c r="O7" s="92">
        <v>0.18</v>
      </c>
      <c r="P7" s="45">
        <v>32</v>
      </c>
      <c r="Q7" s="46">
        <v>0.0062</v>
      </c>
      <c r="R7" s="45">
        <f>MROUND(N7*Travel_time*5280/3600,VLOOKUP("round",Constants,3,0))</f>
        <v>120</v>
      </c>
      <c r="S7" s="45">
        <f>MROUND(N7^2/(15*(eMax+O7)),10^MAX(0,INT(LOG(N7^2/(15*(eMax+O7))))-2))</f>
        <v>340</v>
      </c>
      <c r="T7" s="45">
        <f t="shared" si="6"/>
        <v>1137.7777777777778</v>
      </c>
      <c r="U7" s="45">
        <f t="shared" si="7"/>
        <v>0.011777343749999999</v>
      </c>
      <c r="V7" s="45">
        <f t="shared" si="8"/>
        <v>0.00233874119767168</v>
      </c>
      <c r="W7" s="45">
        <f t="shared" si="9"/>
        <v>0.014236927822071468</v>
      </c>
      <c r="X7" s="45">
        <f t="shared" si="10"/>
        <v>0.021005859374999998</v>
      </c>
      <c r="Y7" s="45">
        <v>5000</v>
      </c>
      <c r="Z7" s="106">
        <f t="shared" si="0"/>
        <v>5729.57795131</v>
      </c>
      <c r="AA7" s="104">
        <v>0.041666666666666664</v>
      </c>
    </row>
    <row r="8" spans="1:27" ht="12.75">
      <c r="A8" s="41">
        <v>70</v>
      </c>
      <c r="B8" s="89">
        <v>0.15</v>
      </c>
      <c r="C8" s="34">
        <v>63</v>
      </c>
      <c r="D8" s="35">
        <v>0.0055</v>
      </c>
      <c r="E8" s="34">
        <f>MROUND(A8*Travel_time*1000/3600,VLOOKUP("round",Constants,2,0))</f>
        <v>45</v>
      </c>
      <c r="F8" s="34">
        <f>MROUND(A8^2/(127*(eMax+B8)),10^(MAX(0,INT(LOG(A8^2/(127*(eMax+B8))))-2)))</f>
        <v>184</v>
      </c>
      <c r="G8" s="34">
        <f t="shared" si="1"/>
        <v>520.8661417322835</v>
      </c>
      <c r="H8" s="34">
        <f t="shared" si="2"/>
        <v>0.014074074074074083</v>
      </c>
      <c r="I8" s="34">
        <f t="shared" si="3"/>
        <v>7.330708661417328</v>
      </c>
      <c r="J8" s="34">
        <f t="shared" si="4"/>
        <v>38.671310364171845</v>
      </c>
      <c r="K8" s="34">
        <f t="shared" si="5"/>
        <v>0.019457294028722597</v>
      </c>
      <c r="L8" s="36">
        <v>2500</v>
      </c>
      <c r="N8" s="50">
        <v>40</v>
      </c>
      <c r="O8" s="92">
        <v>0.16</v>
      </c>
      <c r="P8" s="45">
        <v>36</v>
      </c>
      <c r="Q8" s="46">
        <v>0.0058</v>
      </c>
      <c r="R8" s="45">
        <f>MROUND(N8*Travel_time*5280/3600,VLOOKUP("round",Constants,3,0))</f>
        <v>135</v>
      </c>
      <c r="S8" s="45">
        <f>MROUND(N8^2/(15*(eMax+O8)),10^MAX(0,INT(LOG(N8^2/(15*(eMax+O8))))-2))</f>
        <v>485</v>
      </c>
      <c r="T8" s="45">
        <f t="shared" si="6"/>
        <v>1440.0000000000002</v>
      </c>
      <c r="U8" s="45">
        <f t="shared" si="7"/>
        <v>0.014074074074074083</v>
      </c>
      <c r="V8" s="45">
        <f t="shared" si="8"/>
        <v>0.003537200617374086</v>
      </c>
      <c r="W8" s="45">
        <f t="shared" si="9"/>
        <v>0.01862561769010784</v>
      </c>
      <c r="X8" s="45">
        <f t="shared" si="10"/>
        <v>0.019907407407407398</v>
      </c>
      <c r="Y8" s="45">
        <v>6000</v>
      </c>
      <c r="Z8" s="106">
        <f t="shared" si="0"/>
        <v>5729.57795131</v>
      </c>
      <c r="AA8" s="104">
        <v>0.041666666666666664</v>
      </c>
    </row>
    <row r="9" spans="1:27" ht="12.75">
      <c r="A9" s="41">
        <v>80</v>
      </c>
      <c r="B9" s="89">
        <v>0.14</v>
      </c>
      <c r="C9" s="34">
        <v>70</v>
      </c>
      <c r="D9" s="35">
        <v>0.005</v>
      </c>
      <c r="E9" s="34">
        <f>MROUND(A9*Travel_time*1000/3600,VLOOKUP("round",Constants,2,0))</f>
        <v>51</v>
      </c>
      <c r="F9" s="34">
        <f>MROUND(A9^2/(127*(eMax+B9)),10^(MAX(0,INT(LOG(A9^2/(127*(eMax+B9))))-2)))</f>
        <v>252</v>
      </c>
      <c r="G9" s="34">
        <f t="shared" si="1"/>
        <v>643.0446194225722</v>
      </c>
      <c r="H9" s="34">
        <f t="shared" si="2"/>
        <v>0.018367346938775505</v>
      </c>
      <c r="I9" s="34">
        <f t="shared" si="3"/>
        <v>11.81102362204724</v>
      </c>
      <c r="J9" s="34">
        <f t="shared" si="4"/>
        <v>50.40405938733322</v>
      </c>
      <c r="K9" s="34">
        <f t="shared" si="5"/>
        <v>0.018248326530612247</v>
      </c>
      <c r="L9" s="36">
        <v>3000</v>
      </c>
      <c r="N9" s="50">
        <v>45</v>
      </c>
      <c r="O9" s="92">
        <v>0.15</v>
      </c>
      <c r="P9" s="45">
        <v>40</v>
      </c>
      <c r="Q9" s="46">
        <v>0.0054</v>
      </c>
      <c r="R9" s="45">
        <f>MROUND(N9*Travel_time*5280/3600,VLOOKUP("round",Constants,3,0))</f>
        <v>150</v>
      </c>
      <c r="S9" s="45">
        <f>MROUND(N9^2/(15*(eMax+O9)),10^MAX(0,INT(LOG(N9^2/(15*(eMax+O9))))-2))</f>
        <v>643</v>
      </c>
      <c r="T9" s="45">
        <f t="shared" si="6"/>
        <v>1777.777777777778</v>
      </c>
      <c r="U9" s="45">
        <f t="shared" si="7"/>
        <v>0.0159375</v>
      </c>
      <c r="V9" s="45">
        <f t="shared" si="8"/>
        <v>0.004945099547315743</v>
      </c>
      <c r="W9" s="45">
        <f t="shared" si="9"/>
        <v>0.02357014776141836</v>
      </c>
      <c r="X9" s="45">
        <f t="shared" si="10"/>
        <v>0.0191578125</v>
      </c>
      <c r="Y9" s="45">
        <v>8000</v>
      </c>
      <c r="Z9" s="106">
        <f t="shared" si="0"/>
        <v>11459.15590262</v>
      </c>
      <c r="AA9" s="104">
        <v>0.020833333333333332</v>
      </c>
    </row>
    <row r="10" spans="1:27" ht="12.75">
      <c r="A10" s="41">
        <v>90</v>
      </c>
      <c r="B10" s="89">
        <v>0.13</v>
      </c>
      <c r="C10" s="34">
        <v>77</v>
      </c>
      <c r="D10" s="35">
        <v>0.0047</v>
      </c>
      <c r="E10" s="34">
        <f>MROUND(A10*Travel_time*1000/3600,VLOOKUP("round",Constants,2,0))</f>
        <v>57</v>
      </c>
      <c r="F10" s="34">
        <f>MROUND(A10^2/(127*(eMax+B10)),10^(MAX(0,INT(LOG(A10^2/(127*(eMax+B10))))-2)))</f>
        <v>336</v>
      </c>
      <c r="G10" s="34">
        <f t="shared" si="1"/>
        <v>778.0839895013123</v>
      </c>
      <c r="H10" s="34">
        <f t="shared" si="2"/>
        <v>0.02196997807387417</v>
      </c>
      <c r="I10" s="34">
        <f t="shared" si="3"/>
        <v>17.09448818897637</v>
      </c>
      <c r="J10" s="34">
        <f t="shared" si="4"/>
        <v>63.885961266727634</v>
      </c>
      <c r="K10" s="34">
        <f t="shared" si="5"/>
        <v>0.017083960195648513</v>
      </c>
      <c r="L10" s="36">
        <v>3500</v>
      </c>
      <c r="N10" s="50">
        <v>50</v>
      </c>
      <c r="O10" s="92">
        <v>0.14</v>
      </c>
      <c r="P10" s="45">
        <v>44</v>
      </c>
      <c r="Q10" s="46">
        <v>0.005</v>
      </c>
      <c r="R10" s="45">
        <f>MROUND(N10*Travel_time*5280/3600,VLOOKUP("round",Constants,3,0))</f>
        <v>170</v>
      </c>
      <c r="S10" s="45">
        <f>MROUND(N10^2/(15*(eMax+O10)),10^MAX(0,INT(LOG(N10^2/(15*(eMax+O10))))-2))</f>
        <v>833</v>
      </c>
      <c r="T10" s="45">
        <f t="shared" si="6"/>
        <v>2151.1111111111113</v>
      </c>
      <c r="U10" s="45">
        <f t="shared" si="7"/>
        <v>0.017479338842975225</v>
      </c>
      <c r="V10" s="45">
        <f t="shared" si="8"/>
        <v>0.0065624379874966625</v>
      </c>
      <c r="W10" s="45">
        <f t="shared" si="9"/>
        <v>0.02906983209232474</v>
      </c>
      <c r="X10" s="45">
        <f t="shared" si="10"/>
        <v>0.018367252066115693</v>
      </c>
      <c r="Y10" s="45">
        <v>10000</v>
      </c>
      <c r="Z10" s="106">
        <f t="shared" si="0"/>
        <v>11459.15590262</v>
      </c>
      <c r="AA10" s="104">
        <v>0.020833333333333332</v>
      </c>
    </row>
    <row r="11" spans="1:27" ht="12.75">
      <c r="A11" s="41">
        <v>100</v>
      </c>
      <c r="B11" s="89">
        <v>0.12</v>
      </c>
      <c r="C11" s="34">
        <v>85</v>
      </c>
      <c r="D11" s="35">
        <v>0.0044</v>
      </c>
      <c r="E11" s="34">
        <f>MROUND(A11*Travel_time*1000/3600,VLOOKUP("round",Constants,2,0))</f>
        <v>64</v>
      </c>
      <c r="F11" s="34">
        <f>MROUND(A11^2/(127*(eMax+B11)),10^(MAX(0,INT(LOG(A11^2/(127*(eMax+B11))))-2)))</f>
        <v>437</v>
      </c>
      <c r="G11" s="34">
        <f t="shared" si="1"/>
        <v>948.1627296587926</v>
      </c>
      <c r="H11" s="34">
        <f t="shared" si="2"/>
        <v>0.023044982698961942</v>
      </c>
      <c r="I11" s="34">
        <f t="shared" si="3"/>
        <v>21.850393700787404</v>
      </c>
      <c r="J11" s="34">
        <f t="shared" si="4"/>
        <v>78.59147227513824</v>
      </c>
      <c r="K11" s="34">
        <f t="shared" si="5"/>
        <v>0.01613098961937716</v>
      </c>
      <c r="L11" s="36">
        <v>4000</v>
      </c>
      <c r="N11" s="50">
        <v>55</v>
      </c>
      <c r="O11" s="92">
        <v>0.13</v>
      </c>
      <c r="P11" s="45">
        <v>48</v>
      </c>
      <c r="Q11" s="46">
        <v>0.0047</v>
      </c>
      <c r="R11" s="45">
        <f>MROUND(N11*Travel_time*5280/3600,VLOOKUP("round",Constants,3,0))</f>
        <v>185</v>
      </c>
      <c r="S11" s="45">
        <f>MROUND(N11^2/(15*(eMax+O11)),10^MAX(0,INT(LOG(N11^2/(15*(eMax+O11))))-2))</f>
        <v>1060</v>
      </c>
      <c r="T11" s="45">
        <f t="shared" si="6"/>
        <v>2560.0000000000005</v>
      </c>
      <c r="U11" s="45">
        <f t="shared" si="7"/>
        <v>0.01877604166666666</v>
      </c>
      <c r="V11" s="45">
        <f t="shared" si="8"/>
        <v>0.00838921593791682</v>
      </c>
      <c r="W11" s="45">
        <f t="shared" si="9"/>
        <v>0.03511804137502849</v>
      </c>
      <c r="X11" s="45">
        <f t="shared" si="10"/>
        <v>0.01752604166666667</v>
      </c>
      <c r="Y11" s="45">
        <v>10000</v>
      </c>
      <c r="Z11" s="106">
        <f t="shared" si="0"/>
        <v>11459.15590262</v>
      </c>
      <c r="AA11" s="104">
        <v>0.020833333333333332</v>
      </c>
    </row>
    <row r="12" spans="1:27" ht="12.75">
      <c r="A12" s="41">
        <v>110</v>
      </c>
      <c r="B12" s="89">
        <v>0.11</v>
      </c>
      <c r="C12" s="34">
        <v>91</v>
      </c>
      <c r="D12" s="35">
        <v>0.0041</v>
      </c>
      <c r="E12" s="34">
        <f>MROUND(A12*Travel_time*1000/3600,VLOOKUP("round",Constants,2,0))</f>
        <v>70</v>
      </c>
      <c r="F12" s="34">
        <f>MROUND(A12^2/(127*(eMax+B12)),10^(MAX(0,INT(LOG(A12^2/(127*(eMax+B12))))-2)))</f>
        <v>560</v>
      </c>
      <c r="G12" s="34">
        <f t="shared" si="1"/>
        <v>1086.745406824147</v>
      </c>
      <c r="H12" s="34">
        <f t="shared" si="2"/>
        <v>0.027670571187054696</v>
      </c>
      <c r="I12" s="34">
        <f t="shared" si="3"/>
        <v>30.070866141732278</v>
      </c>
      <c r="J12" s="34">
        <f t="shared" si="4"/>
        <v>95.11963725148239</v>
      </c>
      <c r="K12" s="34">
        <f t="shared" si="5"/>
        <v>0.014506219055669607</v>
      </c>
      <c r="L12" s="36">
        <v>5000</v>
      </c>
      <c r="N12" s="50">
        <v>60</v>
      </c>
      <c r="O12" s="92">
        <v>0.12</v>
      </c>
      <c r="P12" s="45">
        <v>52</v>
      </c>
      <c r="Q12" s="46">
        <v>0.0045</v>
      </c>
      <c r="R12" s="45">
        <f>MROUND(N12*Travel_time*5280/3600,VLOOKUP("round",Constants,3,0))</f>
        <v>200</v>
      </c>
      <c r="S12" s="45">
        <f>MROUND(N12^2/(15*(eMax+O12)),10^MAX(0,INT(LOG(N12^2/(15*(eMax+O12))))-2))</f>
        <v>1330</v>
      </c>
      <c r="T12" s="45">
        <f t="shared" si="6"/>
        <v>3004.444444444445</v>
      </c>
      <c r="U12" s="45">
        <f t="shared" si="7"/>
        <v>0.019881656804733708</v>
      </c>
      <c r="V12" s="45">
        <f t="shared" si="8"/>
        <v>0.010425433398576236</v>
      </c>
      <c r="W12" s="45">
        <f t="shared" si="9"/>
        <v>0.04170000409307761</v>
      </c>
      <c r="X12" s="45">
        <f t="shared" si="10"/>
        <v>0.016619822485207107</v>
      </c>
      <c r="Y12" s="45">
        <v>12500</v>
      </c>
      <c r="Z12" s="106">
        <f t="shared" si="0"/>
        <v>22918.31180524</v>
      </c>
      <c r="AA12" s="104">
        <v>0.010416666666666666</v>
      </c>
    </row>
    <row r="13" spans="1:27" ht="12.75">
      <c r="A13" s="41">
        <v>120</v>
      </c>
      <c r="B13" s="89">
        <v>0.09</v>
      </c>
      <c r="C13" s="34">
        <v>98</v>
      </c>
      <c r="D13" s="35">
        <v>0.0038</v>
      </c>
      <c r="E13" s="34">
        <f>MROUND(A13*Travel_time*1000/3600,VLOOKUP("round",Constants,2,0))</f>
        <v>77</v>
      </c>
      <c r="F13" s="34">
        <f>MROUND(A13^2/(127*(eMax+B13)),10^(MAX(0,INT(LOG(A13^2/(127*(eMax+B13))))-2)))</f>
        <v>756</v>
      </c>
      <c r="G13" s="34">
        <f t="shared" si="1"/>
        <v>1260.3674540682414</v>
      </c>
      <c r="H13" s="34">
        <f t="shared" si="2"/>
        <v>0.029962515618492294</v>
      </c>
      <c r="I13" s="34">
        <f t="shared" si="3"/>
        <v>37.76377952755905</v>
      </c>
      <c r="J13" s="34">
        <f t="shared" si="4"/>
        <v>113.42124435378118</v>
      </c>
      <c r="K13" s="34">
        <f t="shared" si="5"/>
        <v>0.012010870470637237</v>
      </c>
      <c r="L13" s="36">
        <v>6000</v>
      </c>
      <c r="N13" s="50">
        <v>65</v>
      </c>
      <c r="O13" s="92">
        <v>0.11</v>
      </c>
      <c r="P13" s="45">
        <v>55</v>
      </c>
      <c r="Q13" s="46">
        <v>0.0043</v>
      </c>
      <c r="R13" s="45">
        <f>MROUND(N13*Travel_time*5280/3600,VLOOKUP("round",Constants,3,0))</f>
        <v>220</v>
      </c>
      <c r="S13" s="45">
        <f>MROUND(N13^2/(15*(eMax+O13)),10^MAX(0,INT(LOG(N13^2/(15*(eMax+O13))))-2))</f>
        <v>1660</v>
      </c>
      <c r="T13" s="45">
        <f t="shared" si="6"/>
        <v>3361.1111111111113</v>
      </c>
      <c r="U13" s="45">
        <f t="shared" si="7"/>
        <v>0.023801652892561996</v>
      </c>
      <c r="V13" s="45">
        <f t="shared" si="8"/>
        <v>0.013962634015950336</v>
      </c>
      <c r="W13" s="45">
        <f t="shared" si="9"/>
        <v>0.04934402613189107</v>
      </c>
      <c r="X13" s="45">
        <f t="shared" si="10"/>
        <v>0.015262809917355362</v>
      </c>
      <c r="Y13" s="45">
        <v>15000</v>
      </c>
      <c r="Z13" s="106">
        <f t="shared" si="0"/>
        <v>22918.31180524</v>
      </c>
      <c r="AA13" s="104">
        <v>0.010416666666666666</v>
      </c>
    </row>
    <row r="14" spans="1:27" ht="13.5" thickBot="1">
      <c r="A14" s="42">
        <v>130</v>
      </c>
      <c r="B14" s="90">
        <v>0.08</v>
      </c>
      <c r="C14" s="37">
        <v>102</v>
      </c>
      <c r="D14" s="38">
        <v>0.0035</v>
      </c>
      <c r="E14" s="37">
        <f>MROUND(A14*Travel_time*1000/3600,VLOOKUP("round",Constants,2,0))</f>
        <v>83</v>
      </c>
      <c r="F14" s="37">
        <f>MROUND(A14^2/(127*(eMax+B14)),10^(MAX(0,INT(LOG(A14^2/(127*(eMax+B14))))-2)))</f>
        <v>951</v>
      </c>
      <c r="G14" s="37">
        <f t="shared" si="1"/>
        <v>1365.3543307086613</v>
      </c>
      <c r="H14" s="37">
        <f t="shared" si="2"/>
        <v>0.037462514417531706</v>
      </c>
      <c r="I14" s="37">
        <f t="shared" si="3"/>
        <v>51.14960629921258</v>
      </c>
      <c r="J14" s="37">
        <f t="shared" si="4"/>
        <v>133.29867168348449</v>
      </c>
      <c r="K14" s="37">
        <f t="shared" si="5"/>
        <v>0.009129642445213389</v>
      </c>
      <c r="L14" s="39">
        <v>6000</v>
      </c>
      <c r="N14" s="50">
        <v>70</v>
      </c>
      <c r="O14" s="92">
        <v>0.1</v>
      </c>
      <c r="P14" s="45">
        <v>58</v>
      </c>
      <c r="Q14" s="46">
        <v>0.004</v>
      </c>
      <c r="R14" s="45">
        <f>MROUND(N14*Travel_time*5280/3600,VLOOKUP("round",Constants,3,0))</f>
        <v>235</v>
      </c>
      <c r="S14" s="45">
        <f>MROUND(N14^2/(15*(eMax+O14)),10^MAX(0,INT(LOG(N14^2/(15*(eMax+O14))))-2))</f>
        <v>2040</v>
      </c>
      <c r="T14" s="45">
        <f t="shared" si="6"/>
        <v>3737.7777777777783</v>
      </c>
      <c r="U14" s="45">
        <f t="shared" si="7"/>
        <v>0.027395957193816874</v>
      </c>
      <c r="V14" s="45">
        <f t="shared" si="8"/>
        <v>0.017872171540416416</v>
      </c>
      <c r="W14" s="45">
        <f t="shared" si="9"/>
        <v>0.05691162314621766</v>
      </c>
      <c r="X14" s="45">
        <f t="shared" si="10"/>
        <v>0.013590963139120098</v>
      </c>
      <c r="Y14" s="45">
        <v>15000</v>
      </c>
      <c r="Z14" s="106">
        <f t="shared" si="0"/>
        <v>22918.31180524</v>
      </c>
      <c r="AA14" s="104">
        <v>0.010416666666666666</v>
      </c>
    </row>
    <row r="15" spans="14:27" ht="12.75">
      <c r="N15" s="50">
        <v>75</v>
      </c>
      <c r="O15" s="92">
        <v>0.09</v>
      </c>
      <c r="P15" s="45">
        <v>61</v>
      </c>
      <c r="Q15" s="46">
        <v>0.0038</v>
      </c>
      <c r="R15" s="45">
        <f>MROUND(N15*Travel_time*5280/3600,VLOOKUP("round",Constants,3,0))</f>
        <v>255</v>
      </c>
      <c r="S15" s="45">
        <f>MROUND(N15^2/(15*(eMax+O15)),10^MAX(0,INT(LOG(N15^2/(15*(eMax+O15))))-2))</f>
        <v>2500</v>
      </c>
      <c r="T15" s="45">
        <f t="shared" si="6"/>
        <v>4134.444444444445</v>
      </c>
      <c r="U15" s="45">
        <f t="shared" si="7"/>
        <v>0.030701424348293472</v>
      </c>
      <c r="V15" s="45">
        <f t="shared" si="8"/>
        <v>0.02215404597197453</v>
      </c>
      <c r="W15" s="45">
        <f t="shared" si="9"/>
        <v>0.06544984694976713</v>
      </c>
      <c r="X15" s="45">
        <f t="shared" si="10"/>
        <v>0.011859715130341298</v>
      </c>
      <c r="Y15" s="45">
        <v>17500</v>
      </c>
      <c r="Z15" s="106">
        <f t="shared" si="0"/>
        <v>22918.31180524</v>
      </c>
      <c r="AA15" s="104">
        <v>0.010416666666666666</v>
      </c>
    </row>
    <row r="16" spans="5:27" ht="13.5" thickBot="1">
      <c r="E16" s="147">
        <f>IF(_travel_time="PDDM",2.3,2)</f>
        <v>2.3</v>
      </c>
      <c r="F16" t="s">
        <v>82</v>
      </c>
      <c r="N16" s="51">
        <v>80</v>
      </c>
      <c r="O16" s="93">
        <v>0.08</v>
      </c>
      <c r="P16" s="47">
        <v>64</v>
      </c>
      <c r="Q16" s="48">
        <v>0.0035</v>
      </c>
      <c r="R16" s="47">
        <f>MROUND(N16*Travel_time*5280/3600,VLOOKUP("round",Constants,3,0))</f>
        <v>270</v>
      </c>
      <c r="S16" s="47">
        <f>MROUND(N16^2/(15*(eMax+O16)),10^MAX(0,INT(LOG(N16^2/(15*(eMax+O16))))-2))</f>
        <v>3050</v>
      </c>
      <c r="T16" s="47">
        <f t="shared" si="6"/>
        <v>4551.111111111111</v>
      </c>
      <c r="U16" s="47">
        <f t="shared" si="7"/>
        <v>0.03375</v>
      </c>
      <c r="V16" s="47">
        <f t="shared" si="8"/>
        <v>0.026808257310624636</v>
      </c>
      <c r="W16" s="47">
        <f t="shared" si="9"/>
        <v>0.0746437660376015</v>
      </c>
      <c r="X16" s="47">
        <f t="shared" si="10"/>
        <v>0.009931640624999998</v>
      </c>
      <c r="Y16" s="47">
        <v>20000</v>
      </c>
      <c r="Z16" s="107">
        <f t="shared" si="0"/>
        <v>22918.31180524</v>
      </c>
      <c r="AA16" s="104">
        <v>0.010416666666666666</v>
      </c>
    </row>
    <row r="17" spans="2:12" ht="12.75">
      <c r="B17" s="132" t="s">
        <v>62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2:12" ht="12.75">
      <c r="B18" s="133" t="s">
        <v>37</v>
      </c>
      <c r="C18" s="134"/>
      <c r="D18" s="134"/>
      <c r="E18" s="134"/>
      <c r="F18" s="134"/>
      <c r="G18" s="133" t="s">
        <v>68</v>
      </c>
      <c r="H18" s="134"/>
      <c r="I18" s="134"/>
      <c r="J18" s="134"/>
      <c r="K18" s="134"/>
      <c r="L18" s="134"/>
    </row>
    <row r="19" spans="2:25" ht="13.5" thickBot="1">
      <c r="B19" s="135" t="s">
        <v>47</v>
      </c>
      <c r="C19" s="134" t="str">
        <f>"V x ("&amp;Travel_time&amp;" sec)"</f>
        <v>V x (2.3 sec)</v>
      </c>
      <c r="D19" s="134"/>
      <c r="E19" s="134"/>
      <c r="F19" s="134"/>
      <c r="G19" s="135"/>
      <c r="H19" s="134"/>
      <c r="I19" s="134"/>
      <c r="J19" s="134"/>
      <c r="K19" s="3" t="s">
        <v>81</v>
      </c>
      <c r="L19" s="134"/>
      <c r="S19" s="18" t="s">
        <v>29</v>
      </c>
      <c r="V19" s="122" t="s">
        <v>60</v>
      </c>
      <c r="Y19" s="123" t="s">
        <v>61</v>
      </c>
    </row>
    <row r="20" spans="2:26" ht="16.5" thickBot="1">
      <c r="B20" s="135" t="s">
        <v>9</v>
      </c>
      <c r="C20" s="134" t="s">
        <v>63</v>
      </c>
      <c r="D20" s="134"/>
      <c r="E20" s="134"/>
      <c r="F20" s="134"/>
      <c r="G20" s="135" t="str">
        <f>B20</f>
        <v>Rmin = </v>
      </c>
      <c r="H20" s="134" t="str">
        <f>SUBSTITUTE(C20,"127","15")</f>
        <v>V^2 / [15 * (eMax + f)]</v>
      </c>
      <c r="I20" s="134"/>
      <c r="J20" s="134"/>
      <c r="K20" s="3" t="s">
        <v>20</v>
      </c>
      <c r="L20" s="134"/>
      <c r="N20" s="28" t="s">
        <v>38</v>
      </c>
      <c r="O20" s="17" t="s">
        <v>37</v>
      </c>
      <c r="P20" s="22" t="s">
        <v>40</v>
      </c>
      <c r="Q20" s="13"/>
      <c r="S20" t="s">
        <v>27</v>
      </c>
      <c r="T20" t="s">
        <v>28</v>
      </c>
      <c r="V20" s="116">
        <v>6</v>
      </c>
      <c r="W20" s="117">
        <v>5</v>
      </c>
      <c r="Y20" s="124">
        <v>0.0006944444444444445</v>
      </c>
      <c r="Z20" s="125">
        <v>0.010416666666666666</v>
      </c>
    </row>
    <row r="21" spans="2:26" ht="12.75">
      <c r="B21" s="135" t="s">
        <v>10</v>
      </c>
      <c r="C21" s="134" t="s">
        <v>64</v>
      </c>
      <c r="D21" s="134"/>
      <c r="E21" s="134"/>
      <c r="F21" s="134"/>
      <c r="G21" s="135" t="str">
        <f>B21</f>
        <v>Rpi = </v>
      </c>
      <c r="H21" s="134" t="str">
        <f>SUBSTITUTE(C21,"127","15")</f>
        <v>Vr^2 / (15 * eMax)</v>
      </c>
      <c r="I21" s="134"/>
      <c r="J21" s="134"/>
      <c r="K21" s="3" t="s">
        <v>21</v>
      </c>
      <c r="L21" s="134"/>
      <c r="N21" s="24" t="s">
        <v>17</v>
      </c>
      <c r="O21" s="25">
        <v>0.2</v>
      </c>
      <c r="P21" s="26">
        <v>0.66</v>
      </c>
      <c r="S21" s="7">
        <v>1</v>
      </c>
      <c r="T21" s="8">
        <v>1</v>
      </c>
      <c r="V21" s="118">
        <v>81</v>
      </c>
      <c r="W21" s="119">
        <v>10</v>
      </c>
      <c r="Y21" s="126">
        <v>0.19791666666666666</v>
      </c>
      <c r="Z21" s="127">
        <v>0.020833333333333332</v>
      </c>
    </row>
    <row r="22" spans="2:26" ht="12.75">
      <c r="B22" s="135" t="s">
        <v>11</v>
      </c>
      <c r="C22" s="134" t="s">
        <v>65</v>
      </c>
      <c r="D22" s="134"/>
      <c r="E22" s="134"/>
      <c r="F22" s="134"/>
      <c r="G22" s="135"/>
      <c r="H22" s="136"/>
      <c r="I22" s="134"/>
      <c r="J22" s="134"/>
      <c r="K22" s="3" t="s">
        <v>25</v>
      </c>
      <c r="L22" s="134"/>
      <c r="N22" s="24" t="s">
        <v>18</v>
      </c>
      <c r="O22" s="25">
        <v>1.2</v>
      </c>
      <c r="P22" s="26">
        <v>4</v>
      </c>
      <c r="S22" s="9">
        <v>1.5</v>
      </c>
      <c r="T22" s="10">
        <v>1.25</v>
      </c>
      <c r="V22" s="118">
        <v>151</v>
      </c>
      <c r="W22" s="119">
        <v>25</v>
      </c>
      <c r="Y22" s="126">
        <v>0.3958333333333333</v>
      </c>
      <c r="Z22" s="127">
        <v>0.041666666666666664</v>
      </c>
    </row>
    <row r="23" spans="2:26" ht="12.75">
      <c r="B23" s="135" t="s">
        <v>12</v>
      </c>
      <c r="C23" s="134" t="s">
        <v>66</v>
      </c>
      <c r="D23" s="134"/>
      <c r="E23" s="134"/>
      <c r="F23" s="134"/>
      <c r="G23" s="135"/>
      <c r="H23" s="134"/>
      <c r="I23" s="134"/>
      <c r="J23" s="134"/>
      <c r="K23" s="3" t="s">
        <v>26</v>
      </c>
      <c r="L23" s="134"/>
      <c r="N23" s="24" t="s">
        <v>19</v>
      </c>
      <c r="O23" s="25">
        <v>1</v>
      </c>
      <c r="P23" s="26">
        <v>3.3</v>
      </c>
      <c r="S23" s="9">
        <v>2</v>
      </c>
      <c r="T23" s="10">
        <v>1.5</v>
      </c>
      <c r="V23" s="118">
        <v>251</v>
      </c>
      <c r="W23" s="119">
        <v>50</v>
      </c>
      <c r="Y23" s="126">
        <v>0.7916666666666666</v>
      </c>
      <c r="Z23" s="127">
        <v>0.08333333333333333</v>
      </c>
    </row>
    <row r="24" spans="2:26" ht="12.75">
      <c r="B24" s="135" t="s">
        <v>13</v>
      </c>
      <c r="C24" s="134" t="s">
        <v>72</v>
      </c>
      <c r="D24" s="134"/>
      <c r="E24" s="134"/>
      <c r="F24" s="134"/>
      <c r="G24" s="135"/>
      <c r="H24" s="134"/>
      <c r="I24" s="134"/>
      <c r="J24" s="134"/>
      <c r="K24" s="3" t="s">
        <v>67</v>
      </c>
      <c r="L24" s="134"/>
      <c r="N24" s="24" t="s">
        <v>43</v>
      </c>
      <c r="O24" s="25">
        <v>1</v>
      </c>
      <c r="P24" s="26">
        <v>5</v>
      </c>
      <c r="S24" s="9">
        <v>2.5</v>
      </c>
      <c r="T24" s="10">
        <v>1.75</v>
      </c>
      <c r="V24" s="118">
        <v>501</v>
      </c>
      <c r="W24" s="119">
        <v>100</v>
      </c>
      <c r="Y24" s="126">
        <v>1.125</v>
      </c>
      <c r="Z24" s="127">
        <v>0.16666666666666666</v>
      </c>
    </row>
    <row r="25" spans="2:26" ht="12.75">
      <c r="B25" s="135" t="s">
        <v>14</v>
      </c>
      <c r="C25" s="134" t="s">
        <v>73</v>
      </c>
      <c r="D25" s="134"/>
      <c r="E25" s="134"/>
      <c r="F25" s="134"/>
      <c r="G25" s="135"/>
      <c r="H25" s="136"/>
      <c r="I25" s="134"/>
      <c r="J25" s="134"/>
      <c r="K25" s="3" t="s">
        <v>77</v>
      </c>
      <c r="L25" s="134"/>
      <c r="N25" s="24" t="s">
        <v>44</v>
      </c>
      <c r="O25" s="25">
        <v>0.0214</v>
      </c>
      <c r="P25" s="26">
        <v>3.15</v>
      </c>
      <c r="S25" s="9">
        <v>3</v>
      </c>
      <c r="T25" s="10">
        <v>2</v>
      </c>
      <c r="V25" s="118">
        <v>1001</v>
      </c>
      <c r="W25" s="119">
        <v>250</v>
      </c>
      <c r="Y25" s="126">
        <v>1.6666666666666667</v>
      </c>
      <c r="Z25" s="127">
        <v>0.3333333333333333</v>
      </c>
    </row>
    <row r="26" spans="2:26" ht="13.5" thickBot="1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N26" s="24" t="s">
        <v>55</v>
      </c>
      <c r="O26" s="25">
        <v>0.7</v>
      </c>
      <c r="P26" s="26">
        <v>2.3</v>
      </c>
      <c r="Q26" t="s">
        <v>83</v>
      </c>
      <c r="S26" s="11">
        <v>3.5</v>
      </c>
      <c r="T26" s="12">
        <v>2.25</v>
      </c>
      <c r="V26" s="118">
        <v>2001</v>
      </c>
      <c r="W26" s="119">
        <v>500</v>
      </c>
      <c r="Y26" s="126">
        <v>4.333333333333333</v>
      </c>
      <c r="Z26" s="127">
        <v>0.4166666666666667</v>
      </c>
    </row>
    <row r="27" spans="2:26" ht="13.5" thickBot="1">
      <c r="B27" s="135" t="s">
        <v>69</v>
      </c>
      <c r="C27" s="134" t="s">
        <v>70</v>
      </c>
      <c r="D27" s="134"/>
      <c r="E27" s="134"/>
      <c r="F27" s="134"/>
      <c r="G27" s="134"/>
      <c r="H27" s="134"/>
      <c r="I27" s="134"/>
      <c r="J27" s="134"/>
      <c r="K27" s="3" t="s">
        <v>78</v>
      </c>
      <c r="L27" s="134"/>
      <c r="N27" s="24" t="s">
        <v>41</v>
      </c>
      <c r="O27" s="25">
        <v>1</v>
      </c>
      <c r="P27" s="27">
        <v>5729.57795131</v>
      </c>
      <c r="V27" s="118">
        <v>4001</v>
      </c>
      <c r="W27" s="119">
        <v>1000</v>
      </c>
      <c r="Y27" s="128">
        <v>5.5</v>
      </c>
      <c r="Z27" s="129">
        <v>1.0833333333333333</v>
      </c>
    </row>
    <row r="28" spans="2:23" ht="12.75">
      <c r="B28" s="135" t="s">
        <v>71</v>
      </c>
      <c r="C28" s="134" t="s">
        <v>74</v>
      </c>
      <c r="D28" s="134"/>
      <c r="E28" s="134"/>
      <c r="F28" s="134"/>
      <c r="G28" s="134"/>
      <c r="H28" s="134"/>
      <c r="I28" s="134"/>
      <c r="J28" s="134"/>
      <c r="K28" s="3" t="s">
        <v>79</v>
      </c>
      <c r="L28" s="134"/>
      <c r="V28" s="118">
        <v>6001</v>
      </c>
      <c r="W28" s="119">
        <v>2000</v>
      </c>
    </row>
    <row r="29" spans="2:23" ht="13.5" thickBot="1">
      <c r="B29" s="135" t="s">
        <v>75</v>
      </c>
      <c r="C29" s="134" t="s">
        <v>76</v>
      </c>
      <c r="D29" s="134"/>
      <c r="E29" s="134"/>
      <c r="F29" s="134"/>
      <c r="G29" s="134"/>
      <c r="H29" s="134"/>
      <c r="I29" s="134"/>
      <c r="J29" s="134"/>
      <c r="K29" s="3" t="s">
        <v>80</v>
      </c>
      <c r="L29" s="134"/>
      <c r="V29" s="120">
        <v>10001</v>
      </c>
      <c r="W29" s="121">
        <v>2500</v>
      </c>
    </row>
    <row r="30" spans="2:12" ht="12.75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2:12" ht="12.75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2:12" ht="12.75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</sheetData>
  <sheetProtection sheet="1" objects="1" scenarios="1"/>
  <mergeCells count="1">
    <mergeCell ref="G1:H1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mharman</dc:creator>
  <cp:keywords/>
  <dc:description/>
  <cp:lastModifiedBy>Stephen Chapman</cp:lastModifiedBy>
  <cp:lastPrinted>2001-08-28T19:11:17Z</cp:lastPrinted>
  <dcterms:created xsi:type="dcterms:W3CDTF">2001-01-03T23:45:29Z</dcterms:created>
  <dcterms:modified xsi:type="dcterms:W3CDTF">2006-11-28T22:57:58Z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