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40" windowWidth="9696" windowHeight="6216" tabRatio="805" firstSheet="3" activeTab="3"/>
  </bookViews>
  <sheets>
    <sheet name="OPT-Decisions" sheetId="1" r:id="rId1"/>
    <sheet name="OPT-Concentrations" sheetId="2" r:id="rId2"/>
    <sheet name="OPT-Costs" sheetId="3" r:id="rId3"/>
    <sheet name="OPT-Results" sheetId="4" r:id="rId4"/>
    <sheet name="LOAD-Wastewater" sheetId="5" r:id="rId5"/>
    <sheet name="FC-LandUses" sheetId="6" r:id="rId6"/>
    <sheet name="FC-Cropland" sheetId="7" r:id="rId7"/>
    <sheet name="FC-Background" sheetId="8" r:id="rId8"/>
    <sheet name="FC-Pastureland" sheetId="9" r:id="rId9"/>
    <sheet name="FC-Cattle Farming" sheetId="10" r:id="rId10"/>
    <sheet name="FC-Cattle Instream" sheetId="11" r:id="rId11"/>
    <sheet name="FC-Manure Application" sheetId="12" r:id="rId12"/>
    <sheet name="STORAGE&amp;COMPOSTING" sheetId="13" r:id="rId13"/>
    <sheet name="FC-SUMMARY" sheetId="14" r:id="rId14"/>
  </sheets>
  <definedNames>
    <definedName name="_xlnm.Print_Area" localSheetId="6">'FC-Cropland'!$A$3:$Z$85</definedName>
    <definedName name="_xlnm.Print_Area" localSheetId="13">'FC-SUMMARY'!$A$3:$P$79</definedName>
    <definedName name="_xlnm.Print_Area" localSheetId="1">'OPT-Concentrations'!$L$97:$AH$208</definedName>
    <definedName name="_xlnm.Print_Area" localSheetId="0">'OPT-Decisions'!$A$1:$D$40</definedName>
    <definedName name="_xlnm.Print_Area" localSheetId="3">'OPT-Results'!$A$1:$F$36</definedName>
    <definedName name="_xlnm.Print_Titles" localSheetId="6">'FC-Cropland'!$A:$A</definedName>
    <definedName name="_xlnm.Print_Titles" localSheetId="8">'FC-Pastureland'!$A:$A</definedName>
    <definedName name="ZA0" localSheetId="9">"Crystal Ball Data : Ver. 5.1"</definedName>
    <definedName name="ZA0" localSheetId="11">"Crystal Ball Data : Ver. 5.1"</definedName>
    <definedName name="ZA0" localSheetId="4">"Crystal Ball Data : Ver. 5.1"</definedName>
    <definedName name="ZA0" localSheetId="1">"Crystal Ball Data : Ver. 5.1"</definedName>
    <definedName name="ZA0" localSheetId="0">"Crystal Ball Data : Ver. 5.1"</definedName>
    <definedName name="ZA0" localSheetId="3">"Crystal Ball Data : Ver. 5.1"</definedName>
    <definedName name="ZA0" localSheetId="12">"Crystal Ball Data : Ver. 5.1"</definedName>
    <definedName name="ZA0A" localSheetId="9">0+0</definedName>
    <definedName name="ZA0A" localSheetId="11">0+0</definedName>
    <definedName name="ZA0A" localSheetId="4">0+0</definedName>
    <definedName name="ZA0A" localSheetId="1">41+140</definedName>
    <definedName name="ZA0A" localSheetId="0">0+0</definedName>
    <definedName name="ZA0A" localSheetId="12">0+0</definedName>
    <definedName name="ZA0C" localSheetId="9">0+0</definedName>
    <definedName name="ZA0C" localSheetId="11">0+0</definedName>
    <definedName name="ZA0C" localSheetId="4">0+0</definedName>
    <definedName name="ZA0C" localSheetId="0">0+0</definedName>
    <definedName name="ZA0C" localSheetId="12">0+0</definedName>
    <definedName name="ZA0D" localSheetId="9">0+100</definedName>
    <definedName name="ZA0D" localSheetId="11">0+125</definedName>
    <definedName name="ZA0D" localSheetId="4">0+100</definedName>
    <definedName name="ZA0D" localSheetId="0">31+130</definedName>
    <definedName name="ZA0D" localSheetId="12">0+100</definedName>
    <definedName name="ZA0F" localSheetId="9">0+0</definedName>
    <definedName name="ZA0F" localSheetId="11">0+0</definedName>
    <definedName name="ZA0F" localSheetId="4">0+0</definedName>
    <definedName name="ZA0F" localSheetId="0">0+117</definedName>
    <definedName name="ZA0F" localSheetId="3">17+116</definedName>
    <definedName name="ZA0F" localSheetId="12">0+0</definedName>
    <definedName name="ZA0T" localSheetId="9">34552914+0</definedName>
    <definedName name="ZA0T" localSheetId="11">34178292+0</definedName>
    <definedName name="ZA0T" localSheetId="4">34742783+0</definedName>
    <definedName name="ZA0T" localSheetId="1">4034889+0</definedName>
    <definedName name="ZA0T" localSheetId="0">25088490+0</definedName>
    <definedName name="ZA0T" localSheetId="3">19176865+0</definedName>
    <definedName name="ZA0T" localSheetId="12">34450364+0</definedName>
    <definedName name="ZA100" localSheetId="1">'OPT-Concentrations'!$C$43+"LCrop-Jan"+2050+1284+22729421.6877349+1+0+0.00000012916247906+0.00000000000167504+0.0000000968718593+22+42+7+1+1+8</definedName>
    <definedName name="ZA100AA" localSheetId="1">2+0.520161290322581+0+0+22729421.6877349+0.00000000000167504+0+22729421.6877349+0.00000001614530988+0+0.366935483870968+"?"+0+4245715.17020093+0.00000001614530988+0+4245715.17020093+0.00000003229061977+8</definedName>
    <definedName name="ZA100AB" localSheetId="1">0+0.0685483870967742+"?"+0+1498487.70712973+0.00000003229061977+0+1498487.70712973+0.00000004843592965+0+0.0241935483870968+"?"+0+249747.951188289+0.00000004843592965+0+249747.951188289+0.00000006458123953+8</definedName>
    <definedName name="ZA100AC" localSheetId="1">0+0.00403225806451613+"?"+0+499495.902376579+0.00000006458123953+0+499495.902376579+0.00000008072654941+0+0.00806451612903225+"?"+0+249747.951188289+0.00000008072654941+0+249747.951188289+0.0000000968718593+8</definedName>
    <definedName name="ZA100AD" localSheetId="1">0+0.00403225806451613+"?"+0+124873.975594144+0.0000000968718593+0+124873.975594144+0.00000012916247906+0+0.00403225806451613+"?"+9</definedName>
    <definedName name="ZA101" localSheetId="1">'OPT-Concentrations'!$C$44+"LCrop-Feb"+2050+844+15221058.570012+1+0+0.00000014428571429+0.0000000000122449+0.00000009017857143+19+21+6+1+1+8</definedName>
    <definedName name="ZA101AA" localSheetId="1">2+0.615044247787611+0+0+15221058.570012+0.0000000000122449+0+15221058.570012+0.00000001803571429+0+0.274336283185841+"?"+0+2453342.67940066+0.00000001803571429+0+2453342.67940066+0.00000003607142857+8</definedName>
    <definedName name="ZA101AB" localSheetId="1">0+0.0442477876106194+"?"+0+2208008.41146059+0.00000003607142857+0+2208008.41146059+0.00000005410714286+0+0.0398230088495575+"?"+0+981337.071760267+0.00000005410714286+0+981337.071760267+0.00000007214285714+8</definedName>
    <definedName name="ZA101AC" localSheetId="1">0+0.0176991150442478+"?"+0+245334.267940067+0.00000007214285714+0+245334.267940067+0.00000009017857143+0+0.00442477876106195+"?"+0+81778.0893133556+0.00000009017857143+0+81778.0893133556+0.00000014428571429+8</definedName>
    <definedName name="ZA101AD" localSheetId="1">0+0.00442477876106195+"?"+9</definedName>
    <definedName name="ZA102" localSheetId="1">'OPT-Concentrations'!$C$45+"LCrop-March"+2050+1284+1290432.31128387+1+0+0.00000842+0.00000000002232143+0.0000065775+25+42+8+1+1+8</definedName>
    <definedName name="ZA102AA" localSheetId="1">2+0.411290322580645+0+0+1290432.31128387+0.00000000002232143+0+1290432.31128387+0.0000002625+0+0.338709677419355+"?"+0+168970.814132104+0.0000002625+0+168970.814132104+0.000000525+0+0.0443548387096774+"?"+8</definedName>
    <definedName name="ZA102AB" localSheetId="1">0+92165.8986175118+0.000000525+0+92165.8986175118+0.0000007875+0+0.0241935483870969+"?"+0+92165.8986175114+0.0000007875+0+92165.8986175114+0.00000105+0+0.0241935483870968+"?"+0+59088.720619775+0.00000105+8</definedName>
    <definedName name="ZA102AC" localSheetId="1">0+59088.720619775+0.0000028925+0+0.108870967741936+"?"+0+15319.2979384601+0.0000028925+0+15319.2979384601+0.000004735+0+0.0282258064516129+"?"+0+8753.88453626296+0.000004735+0+8753.88453626296+0.0000065775+8</definedName>
    <definedName name="ZA102AD" localSheetId="1">0+0.0161290322580645+"?"+0+2188.47113406573+0.0000065775+0+2188.47113406573+0.00000842+0+0.00403225806451613+"?"+9</definedName>
    <definedName name="ZA103" localSheetId="1">'OPT-Concentrations'!$C$46+"LCrop-April"+2050+1284+34875131.3069702+0.995833333333333+0+0.00000008890060241+0.00000000000150602+0.00000007778802711+25+42+8+1+1+8</definedName>
    <definedName name="ZA103AA" localSheetId="1">2+0.329166666666667+0+0+34875131.3069702+0.00000000000150602+0+34875131.3069702+0.0000000111125753+0+0.3875+"?"+0+10123665.9325766+0.0000000111125753+0+10123665.9325766+0.0000000222251506+8</definedName>
    <definedName name="ZA103AB" localSheetId="1">0+0.1125+"?"+0+7499011.80190862+0.0000000222251506+0+7499011.80190862+0.0000000333377259+0+0.0833333333333333+"?"+0+3749505.90095432+0.0000000333377259+0+3749505.90095432+0.0000000444503012+8</definedName>
    <definedName name="ZA103AC" localSheetId="1">0+0.0416666666666667+"?"+0+374950.59009543+0.0000000444503012+0+374950.59009543+0.00000005556287651+0+0.00416666666666665+"?"+0+1499802.36038172+0.00000005556287651+0+1499802.36038172+0.00000006667545181+8</definedName>
    <definedName name="ZA103AD" localSheetId="1">0+0.0166666666666666+"?"+0+1124851.7702863+0.00000006667545181+0+1124851.7702863+0.00000007778802711+0+0.0125000000000001+"?"+0+749901.18019086+0.00000007778802711+0+749901.18019086+0.00000008890060241+8</definedName>
    <definedName name="ZA103AE" localSheetId="1">0+0.0083333333333333+"?"+9</definedName>
    <definedName name="ZA104" localSheetId="1">'OPT-Concentrations'!$C$47+"LCrop-May"+2050+844+21915208.699693+1+0+0.00000013247663551+0.00000000000015576+0.0000000827978972+19+21+6+1+1+8</definedName>
    <definedName name="ZA104AA" localSheetId="1">2+0.556451612903226+0+0+21915208.699693+0.00000000000015576+0+21915208.699693+0.00000001655957944+0+0.362903225806452+"?"+0+2678500.31290891+0.00000001655957944+0+2678500.31290891+0.00000003311915888+8</definedName>
    <definedName name="ZA104AB" localSheetId="1">0+0.0443548387096775+"?"+0+1461000.17067758+0.00000003311915888+0+1461000.17067758+0.00000004967873832+0+0.0241935483870968+"?"+0+243500.028446264+0.00000004967873832+0+243500.028446264+0.00000006623831776+8</definedName>
    <definedName name="ZA104AC" localSheetId="1">0+0.00403225806451613+"?"+0+243500.028446264+0.00000006623831776+0+243500.028446264+0.0000000827978972+0+0.00403225806451613+"?"+0+81166.6761487549+0.0000000827978972+0+81166.6761487549+0.00000013247663551+8</definedName>
    <definedName name="ZA104AD" localSheetId="1">0+0.00403225806451613+"?"+9</definedName>
    <definedName name="ZA105" localSheetId="1">'OPT-Concentrations'!$C$48+"LCrop-June"+2050+1284+19857646.9884562+1+0+0.00000008728915663+0.0000000000001506+0.00000006546686747+22+42+7+1+1+8</definedName>
    <definedName name="ZA105AA" localSheetId="1">2+0.704166666666667+0+0+19857646.9884562+0.0000000000001506+0+19857646.9884562+0.00000001091114458+0+0.216666666666667+"?"+0+1527490.2231424+0.00000001091114458+0+1527490.2231424+0.00000002182228916+8</definedName>
    <definedName name="ZA105AB" localSheetId="1">0+0.0166666666666667+"?"+0+2291235.33471359+0.00000002182228916+0+2291235.33471359+0.00000003273343373+0+0.025+"?"+0+1527490.22314239+0.00000003273343373+0+1527490.22314239+0.00000004364457831+8</definedName>
    <definedName name="ZA105AC" localSheetId="1">0+0.0166666666666666+"?"+0+1145617.6673568+0.00000004364457831+0+1145617.6673568+0.00000005455572289+0+0.0125000000000001+"?"+0+381872.555785598+0.00000005455572289+0+381872.555785598+0.00000006546686747+8</definedName>
    <definedName name="ZA105AD" localSheetId="1">0+0.00416666666666665+"?"+0+190936.277892799+0.00000006546686747+0+190936.277892799+0.00000008728915663+0+0.00416666666666665+"?"+9</definedName>
    <definedName name="ZA106" localSheetId="1">'OPT-Concentrations'!$C$49+"LCrop-July"+2050+1284+21267634.992597+1+0+0.00000007034129693+0.0000000000003413+0.00000006154863481+22+42+7+1+1+8</definedName>
    <definedName name="ZA106AA" localSheetId="1">2+0.760162601626016+0+0+21267634.992597+0.0000000000003413+0+21267634.992597+0.00000000879266212+0+0.186991869918699+"?"+0+2311609.72453975+0.00000000879266212+0+2311609.72453975+0.00000001758532423+8</definedName>
    <definedName name="ZA106AB" localSheetId="1">0+0.0203252032520326+"?"+0+1849287.77963179+0.00000001758532423+0+1849287.77963179+0.00000002637798635+0+0.016260162601626+"?"+0+462321.944907946+0.00000002637798635+0+462321.944907946+0.00000003517064846+8</definedName>
    <definedName name="ZA106AC" localSheetId="1">0+0.00406504065040647+"?"+0+231160.972453973+0.00000003517064846+0+231160.972453973+0.0000000527559727+0+0.00406504065040647+"?"+0+462321.944907958+0.0000000527559727+0+462321.944907958+0.00000006154863481+8</definedName>
    <definedName name="ZA106AD" localSheetId="1">0+0.00406504065040658+"?"+0+462321.944907946+0.00000006154863481+0+462321.944907946+0.00000007034129693+0+0.00406504065040647+"?"+9</definedName>
    <definedName name="ZA107" localSheetId="1">'OPT-Concentrations'!$C$50+"LCrop-Aug"+2050+656+32847975.533303+1+0+0.00000002111945392+0.0000000000003413+0.00000000527986348+10+12+3+1+1+8</definedName>
    <definedName name="ZA107AA" localSheetId="1">2+0.895953757225434+0+0+32847975.533303+0.0000000000003413+0+32847975.533303+0.00000000263993174+0+0.0867052023121386+"?"+0+4379163.84873202+0.00000000263993174+0+4379163.84873202+0.00000000527986348+8</definedName>
    <definedName name="ZA107AB" localSheetId="1">0+0.0115606936416185+"?"+0+364930.320727671+0.00000000527986348+0+364930.320727671+0.00000002111945392+0+0.0057803468208093+"?"+9</definedName>
    <definedName name="ZA108" localSheetId="1">'OPT-Concentrations'!$C$51+"LCrop-Septem"+2050+656+34650608.3369599+1+0+0.00000002111945392+0.0000000000003413+0.00000000527986348+10+12+3+1+1+8</definedName>
    <definedName name="ZA108AA" localSheetId="1">2+0.890243902439024+0+0+34650608.3369599+0.0000000000003413+0+34650608.3369599+0.00000000263993174+0+0.0914634146341463+"?"+0+4619483.81604049+0.00000000263993174+0+4619483.81604049+0.00000000527986348+8</definedName>
    <definedName name="ZA108AB" localSheetId="1">0+0.0121951219512195+"?"+0+384956.98467004+0.00000000527986348+0+384956.98467004+0.00000002111945392+0+0.00609756097560976+"?"+9</definedName>
    <definedName name="ZA109" localSheetId="1">'OPT-Concentrations'!$C$52+"LCrop-Oct"+2050+780+175064386.086327+0.995391705069124+0+0.00000000253688525+0.00000000000122951+0.00000000221977459+16+18+5+1+1+8</definedName>
    <definedName name="ZA109AA" localSheetId="1">2+0.903225806451613+0+0+175064386.086327+0.00000000000122951+0+175064386.086327+0.00000000031711066+0+0.0552995391705069+"?"+0+14532135.2262829+0.00000000031711066+0+14532135.2262829+0.00000000158555328+8</definedName>
    <definedName name="ZA109AB" localSheetId="1">0+0.0184331797235023+"?"+0+29064270.4525656+0.00000000158555328+0+29064270.4525656+0.00000000190266393+0+0.00921658986175111+"?"+0+14532135.2262831+0.00000000190266393+0+14532135.2262831+0.00000000221977459+8</definedName>
    <definedName name="ZA109AC" localSheetId="1">0+0.00460829493087567+"?"+0+14532135.2262828+0.00000000221977459+0+14532135.2262828+0.00000000253688525+0+0.00460829493087556+"?"+9</definedName>
    <definedName name="ZA110" localSheetId="1">'OPT-Concentrations'!$C$53+"LCrop-Nov"+2050+844+14749640.0575905+1+0+0.00000007765726681+0.00000000002169197+0.00000005824295011+19+21+6+1+1+8</definedName>
    <definedName name="ZA110AA" localSheetId="1">2+0.766666666666667+0+0+14749640.0575905+0.00000000002169197+0+14749640.0575905+0.00000000970715835+0+0.142857142857143+"?"+0+4415003.990423+0.00000000970715835+0+4415003.990423+0.0000000194143167+8</definedName>
    <definedName name="ZA110AB" localSheetId="1">0+0.0428571428571428+"?"+0+2943335.99361533+0.0000000194143167+0+2943335.99361533+0.00000002912147505+0+0.0285714285714286+"?"+0+490555.998935899+0.00000002912147505+0+490555.998935899+0.00000003882863341+8</definedName>
    <definedName name="ZA110AC" localSheetId="1">0+0.00476190476190486+"?"+0+490555.998935887+0.00000003882863341+0+490555.998935887+0.00000005824295011+0+0.00952380952380949+"?"+0+245277.999467943+0.00000005824295011+0+245277.999467943+0.00000007765726681+8</definedName>
    <definedName name="ZA110AD" localSheetId="1">0+0.00476190476190474+"?"+9</definedName>
    <definedName name="ZA111" localSheetId="1">'OPT-Concentrations'!$C$54+"LCrop-Dec"+2050+844+1630723.13346546+1+0+0.00000178616071429+0.00000000002232143+0.000001562890625+19+21+6+1+1+8</definedName>
    <definedName name="ZA111AA" localSheetId="1">2+0.594470046082949+0+0+1630723.13346546+0.00000000002232143+0+1630723.13346546+0.00000022327008929+0+0.36405529953917+"?"+0+61920.0038700004+0.00000022327008929+0+61920.0038700004+0.00000044654017857+8</definedName>
    <definedName name="ZA111AB" localSheetId="1">0+0.0138248847926268+"?"+0+61920.0038699998+0.00000044654017857+0+61920.0038699998+0.00000066981026786+0+0.0138248847926267+"?"+0+20640.0012900004+0.00000066981026786+0+20640.0012900004+0.00000089308035714+8</definedName>
    <definedName name="ZA111AC" localSheetId="1">0+0.00460829493087567+"?"+0+6880.00042999999+0.00000089308035714+0+6880.00042999999+0.000001562890625+0+0.00460829493087556+"?"+0+20640.00129+0.000001562890625+0+20640.00129+0.00000178616071429+8</definedName>
    <definedName name="ZA111AD" localSheetId="1">0+0.00460829493087556+"?"+9</definedName>
    <definedName name="ZA112" localSheetId="1">'OPT-Concentrations'!$C$79+"LSeptic-Jan"+2050+1284+1027740.44500531+0.995967741935484+0.00000002766442953+0.00000166513422819+"+"+0.00000002766442953+24+42+8+0+0+8</definedName>
    <definedName name="ZA112AA" localSheetId="1">0+1027740.44500531+0.00000002766442953+0+1027740.44500531+0.00000020814177852+0+0.185483870967742+"?"+0+833023.999334309+0.00000020814177852+0+833023.999334309+0.00000041628355705+0+0.173387096774194+"?"+8</definedName>
    <definedName name="ZA112AB" localSheetId="1">0+639297.487861214+0.00000041628355705+0+639297.487861214+0.00000062442533557+0+0.133064516129032+"?"+0+464943.627535428+0.00000062442533557+0+464943.627535428+0.00000083256711409+0+0.0967741935483871+"?"+8</definedName>
    <definedName name="ZA112AC" localSheetId="1">0+639297.487861214+0.00000083256711409+0+639297.487861214+0.00000104070889262+0+0.133064516129032+"?"+0+523061.580977357+0.00000104070889262+0+523061.580977357+0.00000124885067114+0+0.108870967741936+"?"+8</definedName>
    <definedName name="ZA112AD" localSheetId="1">0+251844.464915023+0.00000124885067114+0+251844.464915023+0.00000145699244966+0+0.0524193548387096+"?"+0+542434.232124666+0.00000145699244966+0+542434.232124666+0.00000166513422819+8</definedName>
    <definedName name="ZA112AE" localSheetId="1">0+0.112903225806452+"?"+9</definedName>
    <definedName name="ZA113" localSheetId="1">'OPT-Concentrations'!$C$80+"LSeptic-Feb"+2050+1284+1030054.39086608+0.995575221238938+0.00000001775167785+0.00000168845637584+"+"+0.00000001775167785+24+42+8+0+0+8</definedName>
    <definedName name="ZA113AA" localSheetId="1">0+1030054.39086608+0.00000001775167785+0+1030054.39086608+0.00000021105704698+0+0.199115044247788+"?"+0+461226.640552064+0.00000021105704698+0+461226.640552064+0.00000042211409396+0+0.0973451327433628+"?"+8</definedName>
    <definedName name="ZA113AB" localSheetId="1">0+607980.571636812+0.00000042211409396+0+607980.571636812+0.00000063317114094+0+0.128318584070796+"?"+0+754734.50272156+0.00000063317114094+0+754734.50272156+0.00000084422818792+0+0.15929203539823+"?"+8</definedName>
    <definedName name="ZA113AC" localSheetId="1">0+691839.960828097+0.00000084422818792+0+691839.960828097+0.0000010552852349+0+0.146017699115044+"?"+0+482191.487849885+0.0000010552852349+0+482191.487849885+0.00000126634228188+0+0.101769911504425+"?"+8</definedName>
    <definedName name="ZA113AD" localSheetId="1">0+461226.640552065+0.00000126634228188+0+461226.640552065+0.00000147739932886+0+0.0973451327433629+"?"+0+314472.709467317+0.00000147739932886+0+314472.709467317+0.00000168845637584+8</definedName>
    <definedName name="ZA113AE" localSheetId="1">0+0.0663716814159292+"?"+9</definedName>
    <definedName name="ZA114" localSheetId="1">'OPT-Concentrations'!$C$81+"LSeptic-March"+2050+1284+1099007.3072159+1+0.00000003791946309+0.00000170241610738+"+"+0.00000003791946309+24+42+8+0+0+8</definedName>
    <definedName name="ZA114AA" localSheetId="1">0+714765.422623045+0.00000003791946309+0+714765.422623045+0.00000021280201342+0+0.125+"?"+0+1099007.3072159+0.00000021280201342+0+1099007.3072159+0.00000042560402685+0+0.233870967741936+"?"+8</definedName>
    <definedName name="ZA114AB" localSheetId="1">0+511606.849910853+0.00000042560402685+0+511606.849910853+0.00000063840604027+0+0.108870967741935+"?"+0+814781.279487655+0.00000063840604027+0+814781.279487655+0.00000085120805369+0+0.173387096774194+"?"+8</definedName>
    <definedName name="ZA114AC" localSheetId="1">0+644245.662850704+0.00000085120805369+0+644245.662850704+0.00000106401006711+0+0.137096774193548+"?"+0+265277.625879702+0.00000106401006711+0+265277.625879702+0.00000127681208054+0+0.0564516129032259+"?"+8</definedName>
    <definedName name="ZA114AD" localSheetId="1">0+397916.438819552+0.00000127681208054+0+397916.438819552+0.00000148961409396+0+0.0846774193548386+"?"+0+378968.036971002+0.00000148961409396+0+378968.036971002+0.00000170241610738+8</definedName>
    <definedName name="ZA114AE" localSheetId="1">0+0.0806451612903226+"?"+9</definedName>
    <definedName name="ZA115" localSheetId="1">'OPT-Concentrations'!$C$82+"LSeptic-April"+2050+720+356549.550171418+1+0.00000002315436242+0.00001963087248322+"+"+0.00000002315436242+15+15+5+0+0+8</definedName>
    <definedName name="ZA115AA" localSheetId="1">0+356549.550171418+0.00000002315436242+0+356549.550171418+0.0000024538590604+0+0.866666666666667+"?"+0+32262.1082621082+0.0000024538590604+0+32262.1082621082+0.00000490771812081+0+0.0791666666666666+"?"+8</definedName>
    <definedName name="ZA115AB" localSheetId="1">0+13584.0455840455+0.00000490771812081+0+13584.0455840455+0.00000736157718121+0+0.0333333333333333+"?"+0+5094.01709401712+0.00000736157718121+0+5094.01709401712+0.00000981543624161+8</definedName>
    <definedName name="ZA115AC" localSheetId="1">0+0.0125000000000001+"?"+0+849.002849002846+0.00000981543624161+0+849.002849002846+0.00001963087248322+0+0.0083333333333333+"?"+9</definedName>
    <definedName name="ZA116" localSheetId="1">'OPT-Concentrations'!$C$83+"LSeptic-May"+2050+720+68508.3254503394+1+0+0.00011174496644295+0.00000001879194631+0.00004190436241611+13+15+4+1+1+8</definedName>
    <definedName name="ZA116AA" localSheetId="1">2+0.00403225806451613+0+0+68508.3254503394+0.00000001879194631+0+68508.3254503394+0.00001396812080537+0+0.955645161290323+"?"+0+1732.05463528044+0.00001396812080537+0+1732.05463528044+0.00002793624161074+8</definedName>
    <definedName name="ZA116AB" localSheetId="1">0+0.0241935483870968+"?"+0+577.35154509348+0.00002793624161074+0+577.35154509348+0.00004190436241611+0+0.00806451612903225+"?"+0+115.470309018696+0.00004190436241611+0+115.470309018696+0.00011174496644295+8</definedName>
    <definedName name="ZA116AC" localSheetId="1">0+0.00806451612903225+"?"+9</definedName>
    <definedName name="ZA117" localSheetId="1">'OPT-Concentrations'!$C$84+"LSeptic-June"+2050+720+23208.7399951692+1+0+0.00031653936241611+0.00000007080536913+0.00023740452181208+13+15+4+1+1+8</definedName>
    <definedName name="ZA117AA" localSheetId="1">2+0.0708333333333333+0+0+23208.7399951692+0.00000007080536913+0+23208.7399951692+0.00003956742030201+0+0.916666666666667+"?"+0+52.6527460580318+0.00003956742030201+0+52.6527460580318+0.00011870226090604+8</definedName>
    <definedName name="ZA117AB" localSheetId="1">0+0.00416666666666665+"?"+0+35.1018307053545+0.00011870226090604+0+35.1018307053545+0.00023740452181208+0+0.00416666666666665+"?"+0+52.6527460580318+0.00023740452181208+0+52.6527460580318+0.00031653936241611+8</definedName>
    <definedName name="ZA117AC" localSheetId="1">0+0.00416666666666665+"?"+9</definedName>
    <definedName name="ZA118" localSheetId="1">'OPT-Concentrations'!$C$85+"LSeptic-July"+2050+592+2799.03628980567+1+0+0.00252146946308725+0.00000003456375839+0.00031518368288591+7+9+2+1+1+8</definedName>
    <definedName name="ZA118AA" localSheetId="1">2+0.113821138211382+0+0+2799.03628980567+0.00000003456375839+0+2799.03628980567+0.00031518368288591+0+0.882113821138211+"?"+0+1.84248146223174+0.00031518368288591+0+1.84248146223174+0.00252146946308725+8</definedName>
    <definedName name="ZA118AB" localSheetId="1">0+0.00406504065040647+"?"+9</definedName>
    <definedName name="ZA119" localSheetId="1">'OPT-Concentrations'!$C$86+"LSeptic-Aug"+2050+844+170164.02490868+1+0+0.00002856271812081+0.00000020738255034+0.0000249923783557+19+21+6+1+1+8</definedName>
    <definedName name="ZA119AA" localSheetId="1">2+0.092485549132948+0+0+170164.02490868+0.00000020738255034+0+170164.02490868+0.0000035703397651+0+0.572254335260116+"?"+0+61521.6460175066+0.0000035703397651+0+61521.6460175066+0.0000071406795302+8</definedName>
    <definedName name="ZA119AB" localSheetId="1">0+0.219653179190751+"?"+0+21046.8789007259+0.0000071406795302+0+21046.8789007259+0.0000107110192953+0+0.0751445086705203+"?"+0+8094.95342335615+0.0000107110192953+0+8094.95342335615+0.0000142813590604+8</definedName>
    <definedName name="ZA119AC" localSheetId="1">0+0.0289017341040463+"?"+0+539.66356155707+0.0000142813590604+0+539.66356155707+0.0000249923783557+0+0.00578034682080919+"?"+0+1618.99068467124+0.0000249923783557+0+1618.99068467124+0.00002856271812081+8</definedName>
    <definedName name="ZA119AD" localSheetId="1">0+0.0057803468208093+"?"+9</definedName>
    <definedName name="ZA120" localSheetId="1">'OPT-Concentrations'!$C$87+"LSeptic-Sept"+2050+728+31553.927252922+0.99390243902439+0+0.00011166627516779+0.00000028288590604+0.00008374970637584+13+15+4+1+1+8</definedName>
    <definedName name="ZA120AA" localSheetId="1">2+0.0609756097560976+0+0+31553.927252922+0.00000028288590604+0+31553.927252922+0.00002791656879195+0+0.871951219512195+"?"+0+1528.94602296475+0.00002791656879195+0+1528.94602296475+0.00005583313758389+8</definedName>
    <definedName name="ZA120AB" localSheetId="1">0+0.0426829268292682+"?"+0+218.420860423536+0.00005583313758389+0+218.420860423536+0.00008374970637584+0+0.00609756097560976+"?"+0+436.841720847073+0.00008374970637584+0+436.841720847073+0.00011166627516779+8</definedName>
    <definedName name="ZA120AC" localSheetId="1">0+0.0121951219512195+"?"+9</definedName>
    <definedName name="ZA121" localSheetId="1">'OPT-Concentrations'!$C$88+"LSeptic-Oct"+2050+844+662128.012032855+1+0+0.0000050110738255+0.00000025033557047+0+19+21+6+1+0+8</definedName>
    <definedName name="ZA121AA" localSheetId="1">2+0.00460829493087558+0+0+208326.800846096+0.00000025033557047+0+208326.800846096+0.00000062638422819+0+0.0783410138248848+"?"+0+662128.012032855+0.00000062638422819+0+662128.012032855+0.00000125276845638+8</definedName>
    <definedName name="ZA121AB" localSheetId="1">0+0.414746543778802+"?"+0+161853.514052475+0.00000125276845638+0+161853.514052475+0.00000187915268456+0+0.101382488479263+"?"+0+617986.144563998+0.00000187915268456+0+617986.144563998+0.00000250553691275+8</definedName>
    <definedName name="ZA121AC" localSheetId="1">0+0.387096774193548+"?"+0+14713.9558229524+0.00000250553691275+0+14713.9558229524+0.00000313192114094+0+0.00921658986175122+"?"+0+2452.32597049204+0.00000313192114094+0+2452.32597049204+0.0000050110738255+8</definedName>
    <definedName name="ZA121AD" localSheetId="1">0+0.00460829493087556+"?"+9</definedName>
    <definedName name="ZA122" localSheetId="1">'OPT-Concentrations'!$C$89+"LSeptic-Nov"+2050+1284+821473.446675386+1+0.00000011785234899+0.00000199409395973+"+"+0.00000011785234899+24+42+8+0+0+8</definedName>
    <definedName name="ZA122AA" localSheetId="1">0+108711.513205895+0.00000011785234899+0+108711.513205895+0.00000024926174497+0+0.0142857142857143+"?"+0+343872.605585045+0.00000024926174497+0+343872.605585045+0.00000049852348993+8</definedName>
    <definedName name="ZA122AB" localSheetId="1">0+0.0857142857142857+"?"+0+745057.31210093+0.00000049852348993+0+745057.31210093+0.0000007477852349+0+0.185714285714286+"?"+0+573121.009308408+0.0000007477852349+0+573121.009308408+0.00000099704697987+8</definedName>
    <definedName name="ZA122AC" localSheetId="1">0+0.142857142857143+"?"+0+611329.076595635+0.00000099704697987+0+611329.076595635+0.00000124630872483+0+0.152380952380952+"?"+0+573121.009308407+0.00000124630872483+0+573121.009308407+0.0000014955704698+8</definedName>
    <definedName name="ZA122AD" localSheetId="1">0+0.142857142857143+"?"+0+286560.504654204+0.0000014955704698+0+286560.504654204+0.00000174483221477+0+0.0714285714285714+"?"+0+821473.446675386+0.00000174483221477+0+821473.446675386+0.00000199409395973+8</definedName>
    <definedName name="ZA122AE" localSheetId="1">0+0.204761904761905+"?"+9</definedName>
    <definedName name="ZA123" localSheetId="1">'OPT-Concentrations'!$C$90+"LSeptic-Dec"+2050+1284+835269.097495944+0.995391705069124+0.0000000244966443+0.00000185375838926+"+"+0.0000000244966443+24+42+8+0+0+8</definedName>
    <definedName name="ZA123AA" localSheetId="1">0+444766.410882448+0.0000000244966443+0+444766.410882448+0.00000023171979866+0+0.0921658986175115+"?"+0+835269.097495944+0.00000023171979866+0+835269.097495944+0.00000046343959732+0+0.193548387096774+"?"+8</definedName>
    <definedName name="ZA123AB" localSheetId="1">0+755719.659639188+0.00000046343959732+0+755719.659639188+0.00000069515939597+0+0.175115207373272+"?"+0+298310.391962837+0.00000069515939597+0+298310.391962837+0.00000092687919463+0+0.0691244239631337+"?"+8</definedName>
    <definedName name="ZA123AC" localSheetId="1">0+437521.908212161+0.00000092687919463+0+437521.908212161+0.00000115859899329+0+0.101382488479263+"?"+0+735832.300174998+0.00000115859899329+0+735832.300174998+0.00000139031879195+0+0.170506912442396+"?"+8</definedName>
    <definedName name="ZA123AD" localSheetId="1">0+497183.986604729+0.00000139031879195+0+497183.986604729+0.0000016220385906+0+0.115207373271889+"?"+0+338085.110891215+0.0000016220385906+0+338085.110891215+0.00000185375838926+0+0.0783410138248848+"?"+9</definedName>
    <definedName name="ZA123AE" localSheetId="1">0+0.0783410138248848+"?"+9</definedName>
    <definedName name="ZA124" localSheetId="1">'OPT-Concentrations'!$F$79+"LWWTP-Jan"+2050+1284+1027708.93503194+1+0.00000002765849535+0.00000166513102282+"+"+0.00000002765849535+24+42+8+0+0+8</definedName>
    <definedName name="ZA124AA" localSheetId="1">0+1027708.93503194+0.00000002765849535+0+1027708.93503194+0.00000020814137785+0+0.185483870967742+"?"+0+833025.602899189+0.00000020814137785+0+833025.602899189+0.00000041628275571+0+0.173387096774194+"?"+8</definedName>
    <definedName name="ZA124AB" localSheetId="1">0+639298.718504028+0.00000041628275571+0+639298.718504028+0.00000062442413356+0+0.133064516129032+"?"+0+464944.522548384+0.00000062442413356+0+464944.522548384+0.00000083256551141+0+0.0967741935483871+"?"+8</definedName>
    <definedName name="ZA124AC" localSheetId="1">0+639298.718504028+0.00000083256551141+0+639298.718504028+0.00000104070688926+0+0.133064516129032+"?"+0+523062.587866932+0.00000104070688926+0+523062.587866932+0.00000124884826712+0+0.108870967741936+"?"+8</definedName>
    <definedName name="ZA124AD" localSheetId="1">0+251844.949713708+0.00000124884826712+0+251844.949713708+0.00000145698964497+0+0.0524193548387096+"?"+0+561807.964745965+0.00000145698964497+0+561807.964745965+0.00000166513102282+8</definedName>
    <definedName name="ZA124AE" localSheetId="1">0+0.116935483870968+"?"+9</definedName>
    <definedName name="ZA125" localSheetId="1">'OPT-Concentrations'!$F$80+"LWWTP-Feb"+2050+1284+1030063.97024259+1+0.00000001775147929+0.00000168844040575+"+"+0.00000001775147929+24+42+8+0+0+8</definedName>
    <definedName name="ZA125AA" localSheetId="1">0+1030063.97024259+0.00000001775147929+0+1030063.97024259+0.00000021105505072+0+0.199115044247788+"?"+0+461231.00305803+0.00000021105505072+0+461231.00305803+0.00000042211010144+0+0.0973451327433628+"?"+8</definedName>
    <definedName name="ZA125AB" localSheetId="1">0+607986.322212857+0.00000042211010144+0+607986.322212857+0.00000063316515216+0+0.128318584070796+"?"+0+754741.641367685+0.00000063316515216+0+754741.641367685+0.00000084422020287+0+0.15929203539823+"?"+8</definedName>
    <definedName name="ZA125AC" localSheetId="1">0+691846.504587044+0.00000084422020287+0+691846.504587044+0.00000105527525359+0+0.146017699115044+"?"+0+482196.048651576+0.00000105527525359+0+482196.048651576+0.00000126633030431+0+0.101769911504425+"?"+8</definedName>
    <definedName name="ZA125AD" localSheetId="1">0+461231.00305803+0.00000126633030431+0+461231.00305803+0.00000147738535503+0+0.0973451327433629+"?"+0+335440.729496749+0.00000147738535503+0+335440.729496749+0.00000168844040575+0+0.0707964601769912+"?"+9</definedName>
    <definedName name="ZA125AE" localSheetId="1">0+0.0707964601769912+"?"+9</definedName>
    <definedName name="ZA126" localSheetId="1">'OPT-Concentrations'!$F$81+"LWWTP-March"+2050+1284+1099011.81196637+1+0.00000003791208791+0.00000170240912933+"+"+0.00000003791208791+24+42+8+0+0+8</definedName>
    <definedName name="ZA126AA" localSheetId="1">0+714738.845421865+0.00000003791208791+0+714738.845421865+0.00000021280114117+0+0.125+"?"+0+1099011.81196637+0.00000021280114117+0+1099011.81196637+0.00000042560228233+0+0.233870967741936+"?"+8</definedName>
    <definedName name="ZA126AB" localSheetId="1">0+511608.946949863+0.00000042560228233+0+511608.946949863+0.0000006384034235+0+0.108870967741935+"?"+0+814784.619216449+0.0000006384034235+0+814784.619216449+0.00000085120456467+0+0.173387096774194+"?"+8</definedName>
    <definedName name="ZA126AC" localSheetId="1">0+644248.303566494+0.00000085120456467+0+644248.303566494+0.00000106400570583+0+0.137096774193548+"?"+0+265278.713233262+0.00000106400570583+0+265278.713233262+0.000001276806847+0+0.0564516129032259+"?"+8</definedName>
    <definedName name="ZA126AD" localSheetId="1">0+397918.069849893+0.000001276806847+0+397918.069849893+0.00000148960798817+0+0.0846774193548386+"?"+0+378969.590333232+0.00000148960798817+0+378969.590333232+0.00000170240912933+0+0.0806451612903226+"?"+9</definedName>
    <definedName name="ZA126AE" localSheetId="1">0+0.0806451612903226+"?"+9</definedName>
    <definedName name="ZA127" localSheetId="1">'OPT-Concentrations'!$F$89+"LWWTP-Nov"+2050+1284+821495.43935508+1+0.00000011785714286+0.00000199404057481+"+"+0.00000011785714286+24+42+8+0+0+8</definedName>
    <definedName name="ZA127AA" localSheetId="1">0+108721.000361867+0.00000011785714286+0+108721.000361867+0.00000024925507185+0+0.0142857142857143+"?"+0+343881.811823056+0.00000024925507185+0+343881.811823056+0.0000004985101437+0+0.0857142857142857+"?"+8</definedName>
    <definedName name="ZA127AB" localSheetId="1">0+745077.258949956+0.0000004985101437+0+745077.258949956+0.00000074776521555+0+0.185714285714286+"?"+0+573136.353038428+0.00000074776521555+0+573136.353038428+0.0000009970202874+0+0.142857142857143+"?"+8</definedName>
    <definedName name="ZA127AC" localSheetId="1">0+611345.44324099+0.0000009970202874+0+611345.44324099+0.00000124627535926+0+0.152380952380952+"?"+0+573136.353038427+0.00000124627535926+0+573136.353038427+0.00000149553043111+0+0.142857142857143+"?"+8</definedName>
    <definedName name="ZA127AD" localSheetId="1">0+286568.176519213+0.00000149553043111+0+286568.176519213+0.00000174478550296+0+0.0714285714285714+"?"+0+821495.43935508+0.00000174478550296+0+821495.43935508+0.00000199404057481+0+0.204761904761905+"?"+9</definedName>
    <definedName name="ZA127AE" localSheetId="1">0+0.204761904761905+"?"+9</definedName>
    <definedName name="ZA128" localSheetId="1">'OPT-Concentrations'!$F$90+"LWWTP-Dec"+2050+1284+835286.68482358+1+0.00000002451394759+0.00000185371935757+"+"+0.00000002451394759+24+42+8+0+0+8</definedName>
    <definedName name="ZA128AA" localSheetId="1">0+444814.026118018+0.00000002451394759+0+444814.026118018+0.0000002317149197+0+0.0921658986175115+"?"+0+835286.68482358+0.0000002317149197+0+835286.68482358+0.00000046342983939+0+0.193548387096774+"?"+8</definedName>
    <definedName name="ZA128AB" localSheetId="1">0+755735.571983239+0.00000046342983939+0+755735.571983239+0.00000069514475909+0+0.175115207373272+"?"+0+298316.673151279+0.00000069514475909+0+298316.673151279+0.00000092685967878+0+0.0691244239631337+"?"+8</definedName>
    <definedName name="ZA128AC" localSheetId="1">0+437531.120621875+0.00000092685967878+0+437531.120621875+0.00000115857459848+0+0.101382488479263+"?"+0+735847.793773153+0.00000115857459848+0+735847.793773153+0.00000139028951817+0+0.170506912442396+"?"+8</definedName>
    <definedName name="ZA128AD" localSheetId="1">0+497194.455252131+0.00000139028951817+0+497194.455252131+0.00000162200443787+0+0.115207373271889+"?"+0+357980.007781534+0.00000162200443787+0+357980.007781534+0.00000185371935757+0+0.0829493087557603+"?"+9</definedName>
    <definedName name="ZA128AE" localSheetId="1">0+0.0829493087557603+"?"+9</definedName>
    <definedName name="ZA129" localSheetId="1">'OPT-Concentrations'!$E$7+"LBkg-Jan"+513+1284+0.0701483637894146+1+3.75500000000002+57.022+"+"+3.75500000000002+24+42+8+0+0+8</definedName>
    <definedName name="ZA129AA" localSheetId="1">0+0.063363628320912+3.75500000000002+0+0.063363628320912+7.12775+0+0.213709677419355+"?"+0+0.0701483637894146+7.12775+0+0.0701483637894146+14.2555+0+0.5+"?"+0+0.0147085278913289+14.2555+8</definedName>
    <definedName name="ZA129AB" localSheetId="1">0+0.0147085278913289+21.38325+0+0.104838709677419+"?"+0+0.0107485396128942+21.38325+0+0.0107485396128942+28.511+0+0.0766129032258064+"?"+0+0.00961711439048429+28.511+0+0.00961711439048429+35.63875+8</definedName>
    <definedName name="ZA129AC" localSheetId="1">0+0.0685483870967742+"?"+0+0.00226285044481982+35.63875+0+0.00226285044481982+42.7665+0+0.0161290322580645+"?"+0+0.00113142522240991+42.7665+0+0.00113142522240991+49.89425+0+0.00806451612903225+"?"+8</definedName>
    <definedName name="ZA129AD" localSheetId="1">0+0.00169713783361487+49.89425+0+0.00169713783361487+57.022+0+0.0120967741935484+"?"+9</definedName>
    <definedName name="ZA129AE" localSheetId="1">0+0.0120967741935484+"?"+9</definedName>
    <definedName name="ZA130" localSheetId="1">'OPT-Concentrations'!$E$8+"LBkg-Feb"+513+1284+0.0786204644630745+1+3.33699999999998+55.83+"+"+3.33699999999998+24+42+8+0+0+8</definedName>
    <definedName name="ZA130AA" localSheetId="1">0+0.0583206921208136+3.33699999999998+0+0.0583206921208136+6.97875+0+0.212389380530973+"?"+0+0.0786204644630745+6.97875+0+0.0786204644630745+13.9575+0+0.548672566371681+"?"+0+0.00824246804854815+13.9575+8</definedName>
    <definedName name="ZA130AB" localSheetId="1">0+0.00824246804854815+20.93625+0+0.0575221238938054+"?"+0+0.0126807200746894+20.93625+0+0.0126807200746894+27.915+0+0.0884955752212389+"?"+0+0.00507228802987579+27.915+0+0.00507228802987579+34.89375+8</definedName>
    <definedName name="ZA130AC" localSheetId="1">0+0.0353982300884956+"?"+0+0.00253614401493789+34.89375+0+0.00253614401493789+41.8725+0+0.0176991150442478+"?"+0+0.00380421602240682+41.8725+0+0.00380421602240682+48.85125+0+0.0265486725663716+"?"+8</definedName>
    <definedName name="ZA130AD" localSheetId="1">0+0.00190210801120342+48.85125+0+0.00190210801120342+55.83+0+0.0132743362831859+"?"+9</definedName>
    <definedName name="ZA131" localSheetId="1">'OPT-Concentrations'!$E$9+"LBkg-March"+513+1284+0.07647505416983+1+3.72000000000002+58.21+"+"+3.72000000000002+24+42+8+0+0+8</definedName>
    <definedName name="ZA131AA" localSheetId="1">0+0.058960258518057+3.72000000000002+0+0.058960258518057+7.27625+0+0.209677419354839+"?"+0+0.07647505416983+7.27625+0+0.07647505416983+14.5525+0+0.556451612903226+"?"+0+0.0110833411840334+14.5525+8</definedName>
    <definedName name="ZA131AB" localSheetId="1">0+0.0110833411840334+21.82875+0+0.0806451612903226+"?"+0+0.00775833882882333+21.82875+0+0.00775833882882333+29.105+0+0.0564516129032258+"?"+0+0.00720417176962168+29.105+0+0.00720417176962168+36.38125+8</definedName>
    <definedName name="ZA131AC" localSheetId="1">0+0.0524193548387097+"?"+0+0.00221666823680667+36.38125+0+0.00221666823680667+43.6575+0+0.0161290322580645+"?"+0+0.00110833411840333+43.6575+0+0.00110833411840333+50.93375+0+0.00806451612903225+"?"+8</definedName>
    <definedName name="ZA131AD" localSheetId="1">0+0.00277083529600833+50.93375+0+0.00277083529600833+58.21+0+0.0201612903225806+"?"+9</definedName>
    <definedName name="ZA132" localSheetId="1">'OPT-Concentrations'!$E$10+"LBkg-Apr"+513+1284+0.0548219287715083+1+7.50700000000003+83.3000000000004+"+"+7.50700000000003+24+42+8+0+0+8</definedName>
    <definedName name="ZA132AA" localSheetId="1">0+0.0415877932656454+7.50700000000003+0+0.0415877932656454+10.4125+0+0.120833333333333+"?"+0+0.0548219287715083+10.4125+0+0.0548219287715083+20.8250000000001+0+0.570833333333333+"?"+8</definedName>
    <definedName name="ZA132AB" localSheetId="1">0+0.011204481792717+20.8250000000001+0+0.011204481792717+31.2375000000001+0+0.116666666666667+"?"+0+0.00720288115246095+31.2375000000001+0+0.00720288115246095+41.6500000000002+0+0.075+"?"+8</definedName>
    <definedName name="ZA132AC" localSheetId="1">0+0.00800320128051217+41.6500000000002+0+0.00800320128051217+52.0625000000002+0+0.0833333333333334+"?"+0+0.00160064025610243+52.0625000000002+0+0.00160064025610243+62.4750000000003+8</definedName>
    <definedName name="ZA132AD" localSheetId="1">0+0.0166666666666666+"?"+0+0.00120048019207683+62.4750000000003+0+0.00120048019207683+72.8875000000003+0+0.0125000000000001+"?"+0+0.00040016006402561+72.8875000000003+0+0.00040016006402561+83.3000000000004+8</definedName>
    <definedName name="ZA132AE" localSheetId="1">0+0.00416666666666665+"?"+9</definedName>
    <definedName name="ZA133" localSheetId="1">'OPT-Concentrations'!$E$11+"LBkg-May"+513+1284+0.0710303695634571+1+7.1044+78.1799999999998+"+"+7.1044+24+42+8+0+0+8</definedName>
    <definedName name="ZA133AA" localSheetId="1">0+0.0710303695634571+7.1044+0+0.0710303695634571+9.77249999999998+0+0.189516129032258+"?"+0+0.0528144315434191+9.77249999999998+0+0.0528144315434191+19.545+0+0.516129032258065+"?"+8</definedName>
    <definedName name="ZA133AB" localSheetId="1">0+0.011965769646556+19.545+0+0.011965769646556+29.3174999999999+0+0.116935483870968+"?"+0+0.00742702943579334+29.3174999999999+0+0.00742702943579334+39.0899999999999+0+0.0725806451612903+"?"+8</definedName>
    <definedName name="ZA133AC" localSheetId="1">0+0.00618919119649446+39.0899999999999+0+0.00618919119649446+48.8624999999999+0+0.060483870967742+"?"+0+0.00123783823929889+48.8624999999999+0+0.00123783823929889+58.6349999999998+8</definedName>
    <definedName name="ZA133AD" localSheetId="1">0+0.0120967741935484+"?"+0+0.00288828922503074+58.6349999999998+0+0.00288828922503074+68.4074999999998+0+0.0282258064516129+"?"+0+0.00041261274643296+68.4074999999998+0+0.00041261274643296+78.1799999999998+8</definedName>
    <definedName name="ZA133AE" localSheetId="1">0+0.00403225806451613+"?"+9</definedName>
    <definedName name="ZA134" localSheetId="1">'OPT-Concentrations'!$E$12+"LBkg-June"+513+1284+0.0484171322160149+1+8.09099999999999+89.5+"+"+8.09099999999999+24+42+8+0+0+8</definedName>
    <definedName name="ZA134AA" localSheetId="1">0+0.0417137628505302+8.09099999999999+0+0.0417137628505302+11.1875+0+0.129166666666667+"?"+0+0.0484171322160149+11.1875+0+0.0484171322160149+22.375+0+0.541666666666667+"?"+0+0.0108007448789572+22.375+8</definedName>
    <definedName name="ZA134AB" localSheetId="1">0+0.0108007448789572+33.5625+0+0.120833333333333+"?"+0+0.00931098696461826+33.5625+0+0.00931098696461826+44.75+0+0.104166666666667+"?"+0+0.00484171322160148+44.75+0+0.00484171322160148+55.9375+8</definedName>
    <definedName name="ZA134AC" localSheetId="1">0+0.0541666666666666+"?"+0+0.00223463687150838+55.9375+0+0.00223463687150838+67.125+0+0.025+"?"+0+0.00148975791433892+67.125+0+0.00148975791433892+78.3125+0+0.0166666666666667+"?"+0+0.00074487895716946+78.3125+8</definedName>
    <definedName name="ZA134AD" localSheetId="1">0+0.00074487895716946+89.5+0+0.0083333333333333+"?"+9</definedName>
    <definedName name="ZA135" localSheetId="1">'OPT-Concentrations'!$E$13+"LBkg-July"+513+528+0.00867641572110285+1+7.61479999999999+979.210000000006+"+"+7.61479999999999+6+6+2+0+0+8</definedName>
    <definedName name="ZA135AA" localSheetId="1">0+0.00867641572110285+7.61479999999999+0+0.00867641572110285+122.40125+0+0.995934959349594+"?"+0+0.00000474439675179+122.40125+0+0.00000474439675179+979.210000000006+8</definedName>
    <definedName name="ZA135AB" localSheetId="1">0+0.00406504065040647+"?"+9</definedName>
    <definedName name="ZA136" localSheetId="1">'OPT-Concentrations'!$E$14+"LBkg-Aug"+513+780+0.061346211948095+1+10.952+113.07+"+"+10.952+18+18+6+0+0+8</definedName>
    <definedName name="ZA136AA" localSheetId="1">0+0.014533754872782+10.952+0+0.014533754872782+14.13375+0+0.046242774566474+"?"+0+0.061346211948095+14.13375+0+0.061346211948095+28.2675+0+0.867052023121387+"?"+0+0.00204487373160317+28.2675+8</definedName>
    <definedName name="ZA136AB" localSheetId="1">0+0.00204487373160317+42.40125+0+0.0289017341040463+"?"+0+0.00163589898528253+42.40125+0+0.00163589898528253+56.535+0+0.023121387283237+"?"+0+0.00163589898528253+56.535+0+0.00163589898528253+70.66875+8</definedName>
    <definedName name="ZA136AC" localSheetId="1">0+0.023121387283237+"?"+0+0.00027264983088042+70.66875+0+0.00027264983088042+113.07+0+0.0115606936416185+"?"+9</definedName>
    <definedName name="ZA137" localSheetId="1">'OPT-Concentrations'!$E$15+"LBkg-Septem"+513+656+0.0530845361690914+0.951219512195122+15.24+249.65+"+"+15.24+12+12+4+0+0+8</definedName>
    <definedName name="ZA137AA" localSheetId="1">0+0.0530845361690914+15.24+0+0.0530845361690914+31.20625+0+0.847560975609756+"?"+0+0.00293093257389614+31.20625+0+0.00293093257389614+62.4125+0+0.0914634146341463+"?"+0+0.00006513183497547+62.4125+8</definedName>
    <definedName name="ZA137AB" localSheetId="1">0+0.00006513183497547+156.03125+0+0.00609756097560976+"?"+0+0.00006513183497547+156.03125+0+0.00006513183497547+249.65+0+0.00609756097560976+"?"+9</definedName>
    <definedName name="ZA138" localSheetId="1">'OPT-Concentrations'!$E$16+"LBkg-Oct"+513+1284+0.0706962882443101+1+0+73.536+0.00099999999997635+55.152+22+42+7+1+1+8</definedName>
    <definedName name="ZA138AA" localSheetId="1">2+0.0414746543778802+0+0+0.0706962882443101+0.00099999999997635+0+0.0706962882443101+9.192+0+0.649769585253456+"?"+0+0.00802140109812981+9.192+0+0.00802140109812981+18.384+0+0.0737327188940092+"?"+8</definedName>
    <definedName name="ZA138AB" localSheetId="1">0+0.00852273866676292+18.384+0+0.00852273866676292+27.576+0+0.0783410138248848+"?"+0+0.00551471325496424+27.576+0+0.00551471325496424+36.768+0+0.0506912442396313+"?"+0+0.00651738839223047+36.768+8</definedName>
    <definedName name="ZA138AC" localSheetId="1">0+0.00651738839223047+45.96+0+0.0599078341013825+"?"+0+0.00401070054906491+45.96+0+0.00401070054906491+55.152+0+0.0368663594470047+"?"+0+0.00050133756863311+55.152+0+0.00050133756863311+73.536+8</definedName>
    <definedName name="ZA138AD" localSheetId="1">0+0.00921658986175111+"?"+9</definedName>
    <definedName name="ZA139" localSheetId="1">'OPT-Concentrations'!$E$17+"LBkg-Nov"+513+1284+0.0598138972152553+1+1.018+57.185+"+"+1.018+24+42+8+0+0+8</definedName>
    <definedName name="ZA139AA" localSheetId="1">0+0.0598138972152553+1.018+0+0.0598138972152553+7.148125+0+0.366666666666667+"?"+0+0.0373058202908688+7.148125+0+0.0373058202908688+14.29625+0+0.266666666666667+"?"+0+0.00866027971038026+14.29625+8</definedName>
    <definedName name="ZA139AB" localSheetId="1">0+0.00866027971038026+21.444375+0+0.0619047619047619+"?"+0+0.0126573318844019+21.444375+0+0.0126573318844019+28.5925+0+0.0904761904761905+"?"+0+0.011324981159728+28.5925+0+0.011324981159728+35.740625+8</definedName>
    <definedName name="ZA139AC" localSheetId="1">0+0.080952380952381+"?"+0+0.011324981159728+35.740625+0+0.011324981159728+42.88875+0+0.0809523809523809+"?"+0+0.0046632275363586+42.88875+0+0.0046632275363586+50.036875+0+0.0333333333333333+"?"+8</definedName>
    <definedName name="ZA139AD" localSheetId="1">0+0.00266470144934778+50.036875+0+0.00266470144934778+57.185+0+0.0190476190476191+"?"+9</definedName>
    <definedName name="ZA140" localSheetId="1">'OPT-Concentrations'!$E$18+"LBkg-Dec"+513+1284+0.0561903619824234+1+1.96+69.48+"+"+1.96+24+42+8+0+0+8</definedName>
    <definedName name="ZA140AA" localSheetId="1">0+0.0561903619824234+1.96+0+0.0561903619824234+8.685+0+0.377880184331797+"?"+0+0.0445707281742716+8.685+0+0.0445707281742716+17.37+0+0.387096774193548+"?"+0+0.00742845469571192+17.37+8</definedName>
    <definedName name="ZA140AB" localSheetId="1">0+0.00742845469571192+26.055+0+0.064516129032258+"?"+0+0.012203889857241+26.055+0+0.012203889857241+34.74+0+0.105990783410138+"?"+0+0.00371422734785597+34.74+0+0.00371422734785597+43.425+8</definedName>
    <definedName name="ZA140AC" localSheetId="1">0+0.0322580645161291+"?"+0+0.00212241562734625+43.425+0+0.00212241562734625+52.11+0+0.0184331797235022+"?"+0+0.00053060390683658+52.11+0+0.00053060390683658+60.795+0+0.00460829493087567+"?"+8</definedName>
    <definedName name="ZA140AD" localSheetId="1">0+0.00106120781367313+60.795+0+0.00106120781367313+69.48+0+0.00921658986175111+"?"+9</definedName>
    <definedName name="ZD100" localSheetId="0">'OPT-Decisions'!$C$7+"Hog Appl Jan"+16+0+1+0.01</definedName>
    <definedName name="ZD101" localSheetId="0">'OPT-Decisions'!$C$8+"Hog Appl Feb"+16+0+1+0.01</definedName>
    <definedName name="ZD102" localSheetId="0">'OPT-Decisions'!$C$9+"Hog Appl Mar"+16+0+1+0.01</definedName>
    <definedName name="ZD103" localSheetId="0">'OPT-Decisions'!$C$10+"Hog Appl Apr"+16+0+1+0.01</definedName>
    <definedName name="ZD104" localSheetId="0">'OPT-Decisions'!$C$11+"Hog Appl May"+16+0+1+0.01</definedName>
    <definedName name="ZD105" localSheetId="0">'OPT-Decisions'!$C$12+"Hog Appl June"+16+0+1+0.01</definedName>
    <definedName name="ZD106" localSheetId="0">'OPT-Decisions'!$C$13+"Hog Appl July"+16+0+1+0.01</definedName>
    <definedName name="ZD107" localSheetId="0">'OPT-Decisions'!$C$14+"Hog Appl Aug"+16+0+1+0.01</definedName>
    <definedName name="ZD108" localSheetId="0">'OPT-Decisions'!$C$15+"Hog Appl Septem"+16+0+1+0.01</definedName>
    <definedName name="ZD109" localSheetId="0">'OPT-Decisions'!$C$16+"Hog Appl Oct"+16+0+1+0.01</definedName>
    <definedName name="ZD110" localSheetId="0">'OPT-Decisions'!$C$17+"Hog Appl Nov"+16+0+1+0.01</definedName>
    <definedName name="ZD111" localSheetId="0">'OPT-Decisions'!$C$18+"Hog Appl Dec"+16+0+1+0.01</definedName>
    <definedName name="ZD112" localSheetId="0">'OPT-Decisions'!$C$19+"Cow Appl Jan"+16+0+1+0.01</definedName>
    <definedName name="ZD113" localSheetId="0">'OPT-Decisions'!$C$20+"Cow Appl Feb"+16+0+1+0.01</definedName>
    <definedName name="ZD114" localSheetId="0">'OPT-Decisions'!$C$21+"Cow Appl March"+16+0+1+0.01</definedName>
    <definedName name="ZD115" localSheetId="0">'OPT-Decisions'!$C$22+"Cow Appl April"+16+0+1+0.01</definedName>
    <definedName name="ZD116" localSheetId="0">'OPT-Decisions'!$C$23+"Cow Appl May"+16+0+1+0.01</definedName>
    <definedName name="ZD117" localSheetId="0">'OPT-Decisions'!$C$24+"Cow Appl June"+16+0+1+0.01</definedName>
    <definedName name="ZD118" localSheetId="0">'OPT-Decisions'!$C$25+"Cow Appl July"+16+0+1+0.01</definedName>
    <definedName name="ZD119" localSheetId="0">'OPT-Decisions'!$C$26+"Cow Appl Aug"+16+0+1+0.01</definedName>
    <definedName name="ZD120" localSheetId="0">'OPT-Decisions'!$C$27+"Cow Appl Septem"+16+0+1+0.01</definedName>
    <definedName name="ZD121" localSheetId="0">'OPT-Decisions'!$C$28+"Cow Appl Oct"+16+0+1+0.01</definedName>
    <definedName name="ZD122" localSheetId="0">'OPT-Decisions'!$C$29+"Cow Appl Nov"+16+0+1+0.01</definedName>
    <definedName name="ZD123" localSheetId="0">'OPT-Decisions'!$C$30+"Cow Appl Dec"+16+0+1+0.01</definedName>
    <definedName name="ZD124" localSheetId="0">'OPT-Decisions'!$C$31+"Cow Incorp"+16+0.75+1+0.01</definedName>
    <definedName name="ZD125" localSheetId="0">'OPT-Decisions'!$C$32+"Hogs Incorp"+16+0.75+1+0.01</definedName>
    <definedName name="ZD126" localSheetId="0">'OPT-Decisions'!$C$33+"Compost Hog&amp;dairy"+16+0+1+0.01</definedName>
    <definedName name="ZD127" localSheetId="0">'OPT-Decisions'!$C$35+"Instream excl"+16+0+1+0.01</definedName>
    <definedName name="ZD128" localSheetId="0">'OPT-Decisions'!$C$38+"Septic failures"+16+0+10+1</definedName>
    <definedName name="ZD129" localSheetId="0">'OPT-Decisions'!$C$39+"WWTP limit"+16+10+200+10</definedName>
    <definedName name="ZD130" localSheetId="0">'OPT-Decisions'!$C$36+"Compost Beef"+16+0+0.05+0.01</definedName>
    <definedName name="ZF100" localSheetId="3">'OPT-Results'!$D$9+"Incr. Cost"+"$"+41+41+3033+57+18+352+477+4+3+"-"+"+"+2.6+50+2+4+95+0.0171543490883778+5+2+"-"+"+"+-1+-1+0</definedName>
    <definedName name="ZF101" localSheetId="3">'OPT-Results'!$C$9+"Annual Cost"+"$"+41+41+3033+72+40+367+499+4+3+"-"+"+"+2.6+50+2+4+95+2364.91233228846+5+2+"-"+"+"+-1+-1+0</definedName>
    <definedName name="ZF102" localSheetId="3">'OPT-Results'!$C$19+"Equate Loads"+""+514+514+3033+87+62+382+521+4+3+"-"+"+"+2.6+50+2+4+95+563245993909230000000+5+2+"-"+"+"+-1+-1+0</definedName>
    <definedName name="ZF103" localSheetId="3">'OPT-Results'!$E$19+"Equate Load Red."+""+514+514+3033+102+84+397+543+4+3+"-"+"+"+2.6+50+2+4+95+0+5+2+"-"+"+"+-1+-1+0</definedName>
    <definedName name="ZF104" localSheetId="3">'OPT-Results'!$F$19+"Equate % Red."+""+517+517+3033+117+106+412+565+4+3+"-"+"+"+2.6+50+2+4+95+0+5+2+"-"+"+"+-1+-1+0</definedName>
    <definedName name="ZF105" localSheetId="3">'OPT-Results'!$C$24+"Jan Conc"+""+1+1+3033+132+128+427+587+4+3+"-"+"+"+2.6+50+2+4+95+5.71698989055284+5+2+"-"+"+"+-1+-1+0</definedName>
    <definedName name="ZF106" localSheetId="3">'OPT-Results'!$C$25+"Feb Conc"+""+1+1+3033+147+150+442+609+4+3+"-"+"+"+2.6+50+2+4+95+5.3839736120083+5+2+"-"+"+"+-1+-1+0</definedName>
    <definedName name="ZF107" localSheetId="3">'OPT-Results'!$C$26+"March Conc"+""+1+1+3033+162+172+457+631+4+3+"-"+"+"+2.6+50+2+4+95+6.48687351030587+5+2+"-"+"+"+-1+-1+0</definedName>
    <definedName name="ZF108" localSheetId="3">'OPT-Results'!$C$27+"Apr Conc"+""+1+1+3033+177+194+472+653+4+3+"-"+"+"+2.6+50+2+4+95+105.434505655513+5+2+"-"+"+"+-1+-1+0</definedName>
    <definedName name="ZF109" localSheetId="3">'OPT-Results'!$C$28+"May Conc"+""+1+1+3033+192+216+487+675+4+3+"-"+"+"+2.6+50+2+4+95+290.710866265864+5+2+"-"+"+"+-1+-1+0</definedName>
    <definedName name="ZF110" localSheetId="3">'OPT-Results'!$C$29+"June Conc"+""+1+1+3033+207+238+502+697+4+3+"-"+"+"+2.6+50+2+4+95+34.2931368823781+5+2+"-"+"+"+-1+-1+0</definedName>
    <definedName name="ZF111" localSheetId="3">'OPT-Results'!$C$30+"July Conc"+""+1+1+3033+225+193+520+652+4+3+"-"+"+"+2.6+50+2+4+95+220.048807190749+5+2+"-"+"+"+-1+-1+0</definedName>
    <definedName name="ZF112" localSheetId="3">'OPT-Results'!$C$31+"Aug Conc"+""+1+1+3033+228+213+523+672+4+3+"-"+"+"+2.6+50+2+4+95+6.58023198010369+5+2+"-"+"+"+-1+-1+0</definedName>
    <definedName name="ZF113" localSheetId="3">'OPT-Results'!$C$32+"Sept Conc"+""+1+1+3033+240+249+535+708+4+3+"-"+"+"+2.6+50+2+4+95+24.9999549829482+5+2+"-"+"+"+-1+-1+0</definedName>
    <definedName name="ZF114" localSheetId="3">'OPT-Results'!$C$33+"Oct Conc"+""+1+1+3033+91+247+386+706+4+3+"-"+"+"+2.6+50+2+4+95+6.25132329764482+5+2+"-"+"+"+-1+-1+0</definedName>
    <definedName name="ZF115" localSheetId="3">'OPT-Results'!$C$34+"Nov Conc"+""+1+1+3033+112+253+407+712+4+3+"-"+"+"+2.6+50+2+4+95+5.97929987576116+5+2+"-"+"+"+-1+-1+0</definedName>
    <definedName name="ZF116" localSheetId="3">'OPT-Results'!$C$35+"Dec Conc"+""+1+1+3033+150+288+445+747+4+3+"-"+"+"+2.6+50+2+4+95+5.74430013564496+5+2+"-"+"+"+-1+-1+0</definedName>
  </definedNames>
  <calcPr fullCalcOnLoad="1"/>
</workbook>
</file>

<file path=xl/comments13.xml><?xml version="1.0" encoding="utf-8"?>
<comments xmlns="http://schemas.openxmlformats.org/spreadsheetml/2006/main">
  <authors>
    <author>OW</author>
  </authors>
  <commentList>
    <comment ref="B105" authorId="0">
      <text>
        <r>
          <rPr>
            <b/>
            <sz val="8"/>
            <rFont val="Tahoma"/>
            <family val="0"/>
          </rPr>
          <t>Baseline manure application (hog and dairy) rate * P content of manure</t>
        </r>
      </text>
    </comment>
    <comment ref="D105" authorId="0">
      <text>
        <r>
          <rPr>
            <b/>
            <sz val="8"/>
            <rFont val="Tahoma"/>
            <family val="0"/>
          </rPr>
          <t>Baseline P applied - new P applied</t>
        </r>
      </text>
    </comment>
  </commentList>
</comments>
</file>

<file path=xl/comments3.xml><?xml version="1.0" encoding="utf-8"?>
<comments xmlns="http://schemas.openxmlformats.org/spreadsheetml/2006/main">
  <authors>
    <author>OW</author>
  </authors>
  <commentList>
    <comment ref="F14" authorId="0">
      <text>
        <r>
          <rPr>
            <sz val="8"/>
            <rFont val="Tahoma"/>
            <family val="0"/>
          </rPr>
          <t>Annual costs for incorporation consist only of OM costs.  Assume that incorporation effort and corresponding costs will never be less than baseline OM costs.</t>
        </r>
      </text>
    </comment>
    <comment ref="F15" authorId="0">
      <text>
        <r>
          <rPr>
            <sz val="8"/>
            <rFont val="Tahoma"/>
            <family val="0"/>
          </rPr>
          <t>Annual costs for incorporation consist only of OM costs.</t>
        </r>
      </text>
    </comment>
  </commentList>
</comments>
</file>

<file path=xl/comments4.xml><?xml version="1.0" encoding="utf-8"?>
<comments xmlns="http://schemas.openxmlformats.org/spreadsheetml/2006/main">
  <authors>
    <author>OW</author>
  </authors>
  <commentList>
    <comment ref="C4" authorId="0">
      <text>
        <r>
          <rPr>
            <b/>
            <sz val="8"/>
            <rFont val="Tahoma"/>
            <family val="0"/>
          </rPr>
          <t xml:space="preserve">Total New Annual Costs are minimized when the objective is to minimize the costs of meeting criteria.
</t>
        </r>
      </text>
    </comment>
    <comment ref="D4" authorId="0">
      <text>
        <r>
          <rPr>
            <b/>
            <sz val="8"/>
            <rFont val="Tahoma"/>
            <family val="0"/>
          </rPr>
          <t>Incremental costs are used to describe the actual costs associated with meeting water quality criteria.</t>
        </r>
      </text>
    </comment>
    <comment ref="A19" authorId="0">
      <text>
        <r>
          <rPr>
            <b/>
            <sz val="8"/>
            <rFont val="Tahoma"/>
            <family val="0"/>
          </rPr>
          <t>Objective forecasts are equal to the sum of the squared differences between each stakeholder pair.  One of these forecast options must be minimized if cost minimization is not assumed.</t>
        </r>
      </text>
    </comment>
    <comment ref="A9" authorId="0">
      <text>
        <r>
          <rPr>
            <b/>
            <sz val="8"/>
            <rFont val="Tahoma"/>
            <family val="0"/>
          </rPr>
          <t>These forecasts apply if the objective is to minimize costs.</t>
        </r>
      </text>
    </comment>
  </commentList>
</comments>
</file>

<file path=xl/comments5.xml><?xml version="1.0" encoding="utf-8"?>
<comments xmlns="http://schemas.openxmlformats.org/spreadsheetml/2006/main">
  <authors>
    <author>OW</author>
  </authors>
  <commentList>
    <comment ref="B16" authorId="0">
      <text>
        <r>
          <rPr>
            <b/>
            <sz val="8"/>
            <rFont val="Tahoma"/>
            <family val="0"/>
          </rPr>
          <t>Load = New Crit/Baseline Crit * Baseline load</t>
        </r>
      </text>
    </comment>
  </commentList>
</comments>
</file>

<file path=xl/sharedStrings.xml><?xml version="1.0" encoding="utf-8"?>
<sst xmlns="http://schemas.openxmlformats.org/spreadsheetml/2006/main" count="2662" uniqueCount="539">
  <si>
    <t>COMMERCIAL AND SERVICES</t>
  </si>
  <si>
    <t>MXD URBAN OR BUILT-UP</t>
  </si>
  <si>
    <t>PASTURELAND</t>
  </si>
  <si>
    <t>CROPLAND</t>
  </si>
  <si>
    <t>SUBSHED</t>
  </si>
  <si>
    <t>P2</t>
  </si>
  <si>
    <t>TOTAL</t>
  </si>
  <si>
    <t>Original Land use category</t>
  </si>
  <si>
    <t>FOREST</t>
  </si>
  <si>
    <t>BEEF COWS</t>
  </si>
  <si>
    <t>DAIRY COWS</t>
  </si>
  <si>
    <t>POULTRY</t>
  </si>
  <si>
    <t>Wildlife</t>
  </si>
  <si>
    <t>Agricultural Animals</t>
  </si>
  <si>
    <t>January</t>
  </si>
  <si>
    <t>AREA (AC)</t>
  </si>
  <si>
    <t xml:space="preserve">FC prod </t>
  </si>
  <si>
    <t>FC accum</t>
  </si>
  <si>
    <t>(#/day)</t>
  </si>
  <si>
    <t>(#/acre/day)</t>
  </si>
  <si>
    <t>#deer</t>
  </si>
  <si>
    <t>Reference</t>
  </si>
  <si>
    <t>Estimated Fecal Coliform Production Rates by Animal</t>
  </si>
  <si>
    <t>Animal</t>
  </si>
  <si>
    <t>#/day</t>
  </si>
  <si>
    <t>Cow</t>
  </si>
  <si>
    <t>Metcalf &amp; Eddy, 1991</t>
  </si>
  <si>
    <t>Hog</t>
  </si>
  <si>
    <t>Sheep</t>
  </si>
  <si>
    <t>Chicken</t>
  </si>
  <si>
    <t>Turkey</t>
  </si>
  <si>
    <t>Duck</t>
  </si>
  <si>
    <t>Deer</t>
  </si>
  <si>
    <t>Geese</t>
  </si>
  <si>
    <t>LIRPB, 1982</t>
  </si>
  <si>
    <t>Beef cow</t>
  </si>
  <si>
    <t>Dairy cow</t>
  </si>
  <si>
    <t>Broiler</t>
  </si>
  <si>
    <t># hogs</t>
  </si>
  <si>
    <t>FC prod</t>
  </si>
  <si>
    <t>(#/year)</t>
  </si>
  <si>
    <t>Local Hog Manure Application</t>
  </si>
  <si>
    <t>February</t>
  </si>
  <si>
    <t>March</t>
  </si>
  <si>
    <t>April</t>
  </si>
  <si>
    <t>May</t>
  </si>
  <si>
    <t>June</t>
  </si>
  <si>
    <t>August</t>
  </si>
  <si>
    <t>October</t>
  </si>
  <si>
    <t>November</t>
  </si>
  <si>
    <t>December</t>
  </si>
  <si>
    <t>Applied in</t>
  </si>
  <si>
    <t>month</t>
  </si>
  <si>
    <t>FC applied</t>
  </si>
  <si>
    <t>per day</t>
  </si>
  <si>
    <t>Local Cattle Manure Application</t>
  </si>
  <si>
    <t># dairy cattle</t>
  </si>
  <si>
    <t># beef cattle</t>
  </si>
  <si>
    <t xml:space="preserve">dairy FC prod </t>
  </si>
  <si>
    <t xml:space="preserve">beef FC prod </t>
  </si>
  <si>
    <t>Poultry Litter Application</t>
  </si>
  <si>
    <t xml:space="preserve">poultry FC prod </t>
  </si>
  <si>
    <t>poultry FC prod</t>
  </si>
  <si>
    <t>Hog Manure Application</t>
  </si>
  <si>
    <t>Cattle Manure Application</t>
  </si>
  <si>
    <t># turkeys</t>
  </si>
  <si>
    <t>Beef Cattle Grazing</t>
  </si>
  <si>
    <t>All Months</t>
  </si>
  <si>
    <t>Subwatershed</t>
  </si>
  <si>
    <t>July</t>
  </si>
  <si>
    <t>September</t>
  </si>
  <si>
    <t>% available for runoff = (1 - % incorporated) + (% incorporated * 0.33)</t>
  </si>
  <si>
    <t xml:space="preserve">Available for </t>
  </si>
  <si>
    <t>Available for</t>
  </si>
  <si>
    <t>% available for runoff = (1 - % incorporated) + (% incorporated * 0.5)</t>
  </si>
  <si>
    <t>% of annual manure applied in month</t>
  </si>
  <si>
    <t>Cattle Manure Available for Wash-off</t>
  </si>
  <si>
    <t>Hog Manure Available for Wash-off</t>
  </si>
  <si>
    <t>ACQOP</t>
  </si>
  <si>
    <t>SQOLIM</t>
  </si>
  <si>
    <t>(#/acre)</t>
  </si>
  <si>
    <t>FC rate</t>
  </si>
  <si>
    <t>(#/hr)</t>
  </si>
  <si>
    <t>(cfs)</t>
  </si>
  <si>
    <t>people/septic</t>
  </si>
  <si>
    <t xml:space="preserve"> (Horsely &amp; Whitten, 1996)</t>
  </si>
  <si>
    <t>ACQOP and SQOLIM by Landuse</t>
  </si>
  <si>
    <t>Road</t>
  </si>
  <si>
    <t>Commercial</t>
  </si>
  <si>
    <t>Single family low density</t>
  </si>
  <si>
    <t>Single family high density</t>
  </si>
  <si>
    <t>Multifamily residential</t>
  </si>
  <si>
    <t>From: Horner, 1992</t>
  </si>
  <si>
    <t>median #/ha-y</t>
  </si>
  <si>
    <t>#/acre/day</t>
  </si>
  <si>
    <t>Modeled land use category</t>
  </si>
  <si>
    <t>Areas are listed in acres.</t>
  </si>
  <si>
    <t>BUILT-UP</t>
  </si>
  <si>
    <t>Sources of fecal coliform bacteria for the Cropland are wildlife, hog manure application, cattle manure application, and poultry litter application.</t>
  </si>
  <si>
    <t>Total</t>
  </si>
  <si>
    <t>SWINE (HOGS)</t>
  </si>
  <si>
    <t>The deer population is the only wildlife considered as a fecal coliform contributor to the Forest.</t>
  </si>
  <si>
    <t xml:space="preserve">Due to lack of animal counts, etc. for Built-up land, literature values are used. </t>
  </si>
  <si>
    <t>The deer population is the only major wildlife source considered.  The same deer density is assumed for all subwatersheds.</t>
  </si>
  <si>
    <t>This sheet contains information relevant to land application of waste produced by agricultural animals in the study area.</t>
  </si>
  <si>
    <t>The information is presented based on monthly variability of waste application.</t>
  </si>
  <si>
    <t xml:space="preserve">This is the percentage of manure applied by month.  </t>
  </si>
  <si>
    <t>The following is the resulting manure application based on the monthly percentage applied and incorporation into the soil.</t>
  </si>
  <si>
    <t>Note that all hog waste produced is applied to Cropland in the form of manure.  Application varies by month.</t>
  </si>
  <si>
    <t>Application of hog manure, cattle manure, and poultry litter are considered.</t>
  </si>
  <si>
    <t>Note that all poultry manure or litter is applied only to Cropland and is based on variable monthly application.</t>
  </si>
  <si>
    <t>From ASAE</t>
  </si>
  <si>
    <t>These data accessed from the following references are used in the remaining worksheets.</t>
  </si>
  <si>
    <t>From Metcalf &amp; Eddy</t>
  </si>
  <si>
    <t>BPJ</t>
  </si>
  <si>
    <t>Fecal Coliform Loading Rates by Landuse</t>
  </si>
  <si>
    <t>FC prod*</t>
  </si>
  <si>
    <t>Assume that dairy cattle are only kept in feedlots.  Therefore all of their waste is used for manure application (divided between Cropland and Pastureland).</t>
  </si>
  <si>
    <t>It is assumed that cattle manure is applied to both Cropland and Pastureland using the same method.</t>
  </si>
  <si>
    <t>Month</t>
  </si>
  <si>
    <t xml:space="preserve">June </t>
  </si>
  <si>
    <t xml:space="preserve">April </t>
  </si>
  <si>
    <t># grazing</t>
  </si>
  <si>
    <t>Sources of fecal coliform bacteria for the Pastureland are wildlife, cattle manure application, and beef cattle grazing.</t>
  </si>
  <si>
    <t>*The FC produced (as listed in the Cattle Manure Application section) does not consider the amount produced by grazing cattle or cattle in the streams.</t>
  </si>
  <si>
    <t>Beef Cattle Grazing*</t>
  </si>
  <si>
    <t>* The total FC produced (as listed in the Cattle Manure Application section) does not consider the amount produced by grazing cattle or cattle in the streams.</t>
  </si>
  <si>
    <t xml:space="preserve">Beef cattle waste is therefore either applied as manure to Cropland and Pastureland, contributed directly to Pastureland, or contributed directly to streams (referred to as Cattle in Streams).  </t>
  </si>
  <si>
    <t>Beef cattle are assumed to graze only from April through November.  During this period a specified percentage of these cattle also have direct access to streams.</t>
  </si>
  <si>
    <t xml:space="preserve">Beef cattle are assumed to be either kept in feedlots or allowed to graze (depending on the season).  When grazing, a certain percentage is assumed to have direct access to streams.  </t>
  </si>
  <si>
    <t>Percentage of Time</t>
  </si>
  <si>
    <t>* Note that the Beef Cattle Grazing section takes into account the number of cattle with access to rivers.  See the Cattle in Streams worksheet.</t>
  </si>
  <si>
    <t># grazing beef cattle</t>
  </si>
  <si>
    <t># cattle in streams</t>
  </si>
  <si>
    <t>The direct contribution of fecal coliform from cattle to a stream can be represented as a point source in the model.  Required input for point sources in NPSM are flow (cfs) and loading rate (#/hr).</t>
  </si>
  <si>
    <t>Waste Flow</t>
  </si>
  <si>
    <t>This sheet contains information related to the direct contribution of beef cattle fecal coliform bacteria to streams.</t>
  </si>
  <si>
    <t>CATTLE AS A POINT SOURCE</t>
  </si>
  <si>
    <t>Assume a typical septic overcharge flow rate of:</t>
  </si>
  <si>
    <t>gal/day/person</t>
  </si>
  <si>
    <t>Assume the average FC concentration reaching the stream (from septic overcharge) is:</t>
  </si>
  <si>
    <t>#/100 ml</t>
  </si>
  <si>
    <t>The direct contribution of fecal coliform from septics to a stream can be represented as a point source in the model.  Required input for point sources in NPSM are loading rate (#/hr) and flow (cfs).</t>
  </si>
  <si>
    <t>Beef Cattle Waste:</t>
  </si>
  <si>
    <t xml:space="preserve">(lbs/animal/day) </t>
  </si>
  <si>
    <t>Assume the following:</t>
  </si>
  <si>
    <t>The density of cattle manure (including urine) is approximately the density of water:</t>
  </si>
  <si>
    <t>(lbs/cubic foot)</t>
  </si>
  <si>
    <t>N1 = N0(10^(-kt))</t>
  </si>
  <si>
    <t>where:</t>
  </si>
  <si>
    <t>N1 = number of fecal coliforms at time t</t>
  </si>
  <si>
    <t>N0 = number of fecal coliforms at time 0</t>
  </si>
  <si>
    <t>t = time in days</t>
  </si>
  <si>
    <t>k = first order die-off rate constant.  Typical values for warm months = 0.51 and for cold months = 0.36</t>
  </si>
  <si>
    <t>Assume that warmer months are April through September while colder months are October through March.</t>
  </si>
  <si>
    <t>Assume a buildup limit of 1.8 x daily buildup rate for non-monthly varying SQOLIM.</t>
  </si>
  <si>
    <t>This sheet contains information relevant to cattle farming in the study area.</t>
  </si>
  <si>
    <t>Dairy Cattle</t>
  </si>
  <si>
    <t>Beef Cattle</t>
  </si>
  <si>
    <t>(0.0 to 1.0)</t>
  </si>
  <si>
    <t>Assumed Cattle Access to Streams</t>
  </si>
  <si>
    <t>It is assumed that only beef cattle are grazing and therefore have access to streams.  They have access to the stream based on information in the Cattle Farming worksheet.</t>
  </si>
  <si>
    <t xml:space="preserve">Beef cattle are assumed to be either kept in feedlots or allowed to graze (depending on the season).  When grazing, a certain percentage are assumed to have direct access to streams. </t>
  </si>
  <si>
    <t>(0.0 or 1.0)</t>
  </si>
  <si>
    <t>Total Cattle Grazing Days</t>
  </si>
  <si>
    <t>Total Grazing Days:</t>
  </si>
  <si>
    <t>Avg # people served per septic:</t>
  </si>
  <si>
    <t>Percentage of Time not Confined</t>
  </si>
  <si>
    <t>DECIDUOUS FOREST LAND</t>
  </si>
  <si>
    <t>LAKES</t>
  </si>
  <si>
    <t>RESIDENTIAL</t>
  </si>
  <si>
    <t>TRANS, COMM, UTIL</t>
  </si>
  <si>
    <t>PASTURE</t>
  </si>
  <si>
    <t xml:space="preserve">The percent manure available for runoff is dependent on method of manure application. Computations below are based on assumed % incorporation into soil. </t>
  </si>
  <si>
    <t xml:space="preserve">The percent of manure available for runoff is dependent on method of manure application. Computations below are based on assumed incorporation into soil.  </t>
  </si>
  <si>
    <t xml:space="preserve">The percent of manure available for runoff is dependent on the method of manure application. Computations below are based on assumed incorporation into soil.  </t>
  </si>
  <si>
    <r>
      <t xml:space="preserve">Note that </t>
    </r>
    <r>
      <rPr>
        <u val="single"/>
        <sz val="8"/>
        <color indexed="12"/>
        <rFont val="Arial"/>
        <family val="2"/>
      </rPr>
      <t>not</t>
    </r>
    <r>
      <rPr>
        <sz val="8"/>
        <color indexed="12"/>
        <rFont val="Arial"/>
        <family val="2"/>
      </rPr>
      <t xml:space="preserve"> all cattle waste is applied to the Cropland.  </t>
    </r>
  </si>
  <si>
    <t xml:space="preserve">Available </t>
  </si>
  <si>
    <t>for month</t>
  </si>
  <si>
    <t xml:space="preserve">MIXED URBAN </t>
  </si>
  <si>
    <t>OR BUILT-UP</t>
  </si>
  <si>
    <t>UTIL AREA (AC)</t>
  </si>
  <si>
    <t xml:space="preserve"> TRANS, COMM</t>
  </si>
  <si>
    <t>COMMERCIAL</t>
  </si>
  <si>
    <t>AND SERVICES</t>
  </si>
  <si>
    <r>
      <t xml:space="preserve">Note that </t>
    </r>
    <r>
      <rPr>
        <u val="single"/>
        <sz val="8"/>
        <color indexed="12"/>
        <rFont val="Arial"/>
        <family val="2"/>
      </rPr>
      <t>not</t>
    </r>
    <r>
      <rPr>
        <sz val="8"/>
        <color indexed="12"/>
        <rFont val="Arial"/>
        <family val="2"/>
      </rPr>
      <t xml:space="preserve"> all cattle waste is applied to the Cropland. </t>
    </r>
  </si>
  <si>
    <t xml:space="preserve">% of time </t>
  </si>
  <si>
    <t>grazing</t>
  </si>
  <si>
    <t>% of time</t>
  </si>
  <si>
    <t>AREA</t>
  </si>
  <si>
    <t>(AC)</t>
  </si>
  <si>
    <t xml:space="preserve">AREA </t>
  </si>
  <si>
    <t>#dairy cattle</t>
  </si>
  <si>
    <t xml:space="preserve">This sheet contains values for ACQOP (or MON-ACCUM if monthly) and SQOLIM (or MON-SQOLIM if monthly). </t>
  </si>
  <si>
    <t xml:space="preserve"> These parameters represent the rate of fecal coliform accumulation and the maximum storage of fecal coliform bacteria.</t>
  </si>
  <si>
    <t xml:space="preserve">Using the above equation and assuming the die-off rates presented, the maximum buildup during warm months is approximately 1.5 x daily buildup rate; for colder months is 1.8 x daily buildup rate. </t>
  </si>
  <si>
    <t>The value for SQOLIM is derived from Horsley &amp; Whitten 1986, where the following equation was used to represent the surface die-off of fecal coliform bacteria:</t>
  </si>
  <si>
    <t>Deer/acre (forest land)</t>
  </si>
  <si>
    <t>Deer/sq mile (other lands)</t>
  </si>
  <si>
    <t>Deer/acre (other lands)</t>
  </si>
  <si>
    <t>Deer/sq mile (forest land)</t>
  </si>
  <si>
    <t>Jan</t>
  </si>
  <si>
    <t>Feb</t>
  </si>
  <si>
    <t>Mar</t>
  </si>
  <si>
    <t>Apr</t>
  </si>
  <si>
    <t>Aug</t>
  </si>
  <si>
    <t>Oct</t>
  </si>
  <si>
    <t>Nov</t>
  </si>
  <si>
    <t>Dec</t>
  </si>
  <si>
    <t>Used for Beef Cow manure application rates in this version of the spreadsheet.</t>
  </si>
  <si>
    <t>Used only for dairy cow manure application in this version of the spreadsheet</t>
  </si>
  <si>
    <t>original value for beef cows was 5.71 E 10 - modified for use in Cottonwood.</t>
  </si>
  <si>
    <t>This column has been</t>
  </si>
  <si>
    <t>edited from original.</t>
  </si>
  <si>
    <t>edited from original</t>
  </si>
  <si>
    <t>Sept</t>
  </si>
  <si>
    <t xml:space="preserve"> </t>
  </si>
  <si>
    <t>Baseline load=</t>
  </si>
  <si>
    <t>Baseline criteria=</t>
  </si>
  <si>
    <t>cfu/100 ml</t>
  </si>
  <si>
    <t>New criteria=</t>
  </si>
  <si>
    <t>Beef manure Available for Wash-off</t>
  </si>
  <si>
    <t>UV dose needed =</t>
  </si>
  <si>
    <t>cap cost=</t>
  </si>
  <si>
    <t>OM cost=</t>
  </si>
  <si>
    <t>percent incorporated=</t>
  </si>
  <si>
    <t>hogs</t>
  </si>
  <si>
    <t>number of hogs=</t>
  </si>
  <si>
    <t>Manure/animal/day</t>
  </si>
  <si>
    <t>total manure/month</t>
  </si>
  <si>
    <t>lbs</t>
  </si>
  <si>
    <t>tons</t>
  </si>
  <si>
    <t>surplus</t>
  </si>
  <si>
    <t>max</t>
  </si>
  <si>
    <t>dairy cows</t>
  </si>
  <si>
    <t>number of cows=</t>
  </si>
  <si>
    <t>storage</t>
  </si>
  <si>
    <t xml:space="preserve">total </t>
  </si>
  <si>
    <t>incremental cap cost</t>
  </si>
  <si>
    <t>incremental OM cost=</t>
  </si>
  <si>
    <t>Storage</t>
  </si>
  <si>
    <t>total surplus hogs</t>
  </si>
  <si>
    <t>total surplus</t>
  </si>
  <si>
    <t>total manure produced</t>
  </si>
  <si>
    <t>fecal loss factor</t>
  </si>
  <si>
    <t>decision</t>
  </si>
  <si>
    <t>&lt;-----</t>
  </si>
  <si>
    <t>&lt;------</t>
  </si>
  <si>
    <t>Incorporation</t>
  </si>
  <si>
    <t>hog tons incorporated</t>
  </si>
  <si>
    <t>Cattle tons incorporated</t>
  </si>
  <si>
    <t>A fecal loss factor from the storage sheet has been incorporated into the fecal coliform numbers (cfu/day)</t>
  </si>
  <si>
    <t>fraction of</t>
  </si>
  <si>
    <t xml:space="preserve">acres with </t>
  </si>
  <si>
    <t>fencing/springs/piping etc</t>
  </si>
  <si>
    <t>&lt;----</t>
  </si>
  <si>
    <t>=acres with grazing</t>
  </si>
  <si>
    <t>abatement</t>
  </si>
  <si>
    <t>P2 Subwatershed</t>
  </si>
  <si>
    <t>STAKEHOLDER/ACTIVITY</t>
  </si>
  <si>
    <t>BASELINE DECISION VALUES</t>
  </si>
  <si>
    <t>NEW DECISION VALUES</t>
  </si>
  <si>
    <t>RANGE</t>
  </si>
  <si>
    <t>Hog and Dairy Operations</t>
  </si>
  <si>
    <t>Fraction of Annual Hog Manure Production applied in Jan</t>
  </si>
  <si>
    <t>0 to 1</t>
  </si>
  <si>
    <t>Fraction of Annual Hog Manure Production applied in Feb</t>
  </si>
  <si>
    <t>Fraction of Annual Hog Manure Production applied in Mar</t>
  </si>
  <si>
    <t>Fraction of Annual Hog Manure Production applied in Apr</t>
  </si>
  <si>
    <t>Fraction of Annual Hog Manure Production applied in May</t>
  </si>
  <si>
    <t>Fraction of Annual Hog Manure Production applied in Jun</t>
  </si>
  <si>
    <t>Fraction of Annual Hog Manure Production applied in Jul</t>
  </si>
  <si>
    <t>Fraction of Annual Hog Manure Production applied in Aug</t>
  </si>
  <si>
    <t>Fraction of Annual Hog Manure Production applied in Sep</t>
  </si>
  <si>
    <t>Fraction of Annual Hog Manure Production applied in Oct</t>
  </si>
  <si>
    <t>Fraction of Annual Hog Manure Production applied in Nov</t>
  </si>
  <si>
    <t>Fraction of Annual Hog Manure Production applied in Dec</t>
  </si>
  <si>
    <t>Fraction of Annual Dairy Manure Production applied in Jan</t>
  </si>
  <si>
    <t>Fraction of Annual Dairy Manure Production applied in Feb</t>
  </si>
  <si>
    <t>Fraction of Annual Dairy Manure Production applied in Mar</t>
  </si>
  <si>
    <t>Fraction of Annual Dairy Manure Production applied in Apr</t>
  </si>
  <si>
    <t>Fraction of Annual Dairy Manure Production applied in May</t>
  </si>
  <si>
    <t>Fraction of Annual Dairy Manure Production applied in Jun</t>
  </si>
  <si>
    <t>Fraction of Annual Dairy Manure Production applied in Jul</t>
  </si>
  <si>
    <t>Fraction of Annual Dairy Manure Production applied in Aug</t>
  </si>
  <si>
    <t>Fraction of Annual Dairy Manure Production applied in Sep</t>
  </si>
  <si>
    <t>Fraction of Annual Dairy Manure Production applied in Oct</t>
  </si>
  <si>
    <t>Fraction of Annual Dairy Manure Production applied in Nov</t>
  </si>
  <si>
    <t>Fraction of Annual Dairy Manure Production applied in Dec</t>
  </si>
  <si>
    <t>Fraction of Dairy Manure Incorporated into cropland soil</t>
  </si>
  <si>
    <t>Fraction of Hog Manure Incorporated into cropland soil</t>
  </si>
  <si>
    <t>Fraction of Hog and Dairy Manure Composted</t>
  </si>
  <si>
    <t>Beef Cattle Operations</t>
  </si>
  <si>
    <t>Fraction of acres with Instream Exclusion Practices</t>
  </si>
  <si>
    <t>Wastewater Treatment</t>
  </si>
  <si>
    <t>0 to 10</t>
  </si>
  <si>
    <t>WWTP effluent concentration (cfu/100 ml)</t>
  </si>
  <si>
    <t>10 to 200</t>
  </si>
  <si>
    <t>Summary of Cost Forecasts</t>
  </si>
  <si>
    <t>STAKEHOLDER</t>
  </si>
  <si>
    <t>BASELINE ANNUAL COST</t>
  </si>
  <si>
    <t>NEW ANNUAL COST</t>
  </si>
  <si>
    <t>INCREMENTAL COST</t>
  </si>
  <si>
    <t>MONTH</t>
  </si>
  <si>
    <t>BASELINE CONCENTRATION</t>
  </si>
  <si>
    <t>NEW CONCENTRATION</t>
  </si>
  <si>
    <t>Maximum</t>
  </si>
  <si>
    <t>Discount period =</t>
  </si>
  <si>
    <t>Discount rate =</t>
  </si>
  <si>
    <t>1/Annuity Factor =</t>
  </si>
  <si>
    <t>Cost Calculations</t>
  </si>
  <si>
    <t>ACTIVITY LEVEL</t>
  </si>
  <si>
    <t>Hog Manure Storage Capacity (tons)</t>
  </si>
  <si>
    <t>Dairy Manure Storage Capacity (tons)</t>
  </si>
  <si>
    <t>Hog manure incorporated into cropland soil (tons/yr)</t>
  </si>
  <si>
    <t>Dairy Manure incorporated into cropland soil (tons/yr)</t>
  </si>
  <si>
    <t>Hog and Dairy Manure Composted (tons/yr)</t>
  </si>
  <si>
    <t>Acres with instream exlusion practices (acres)</t>
  </si>
  <si>
    <t>New septic systems</t>
  </si>
  <si>
    <t>WWTP effluent concentration</t>
  </si>
  <si>
    <t>Total Annual Cost Forecast</t>
  </si>
  <si>
    <t>Source: Cropland</t>
  </si>
  <si>
    <t>Source 1</t>
  </si>
  <si>
    <t>ENVIRONMENTAL LOAD</t>
  </si>
  <si>
    <t>Impact Coefficient</t>
  </si>
  <si>
    <t>Incremental Concentration</t>
  </si>
  <si>
    <t>Total Incremental Concentration</t>
  </si>
  <si>
    <t>Average Stream Flow (100's ml/day)</t>
  </si>
  <si>
    <t>Total Incremental Aquatic Load</t>
  </si>
  <si>
    <t>Source: Pastureland</t>
  </si>
  <si>
    <t xml:space="preserve">Source: Instream Cattle </t>
  </si>
  <si>
    <t>Source: Septic Systems</t>
  </si>
  <si>
    <t>Source: WWTP</t>
  </si>
  <si>
    <t>Probability Density Function Data for Impact Coefficient Assumptions</t>
  </si>
  <si>
    <t>---------- &gt;    ----------- &gt;  ------------ &gt; --------- &gt;  ------ &gt;</t>
  </si>
  <si>
    <t>PDFs and Correlations for deriving Impact Coefficient Assumptions</t>
  </si>
  <si>
    <t>Cropland - January</t>
  </si>
  <si>
    <t>Cropland - February</t>
  </si>
  <si>
    <t>Cropland - March</t>
  </si>
  <si>
    <t>Cropland - April</t>
  </si>
  <si>
    <t>Cropland - May</t>
  </si>
  <si>
    <t>Cropland - June</t>
  </si>
  <si>
    <t>&gt;=X</t>
  </si>
  <si>
    <t>&lt;X</t>
  </si>
  <si>
    <t>Prob</t>
  </si>
  <si>
    <t>Cropland - July</t>
  </si>
  <si>
    <t>Cropland - August</t>
  </si>
  <si>
    <t>Cropland - September</t>
  </si>
  <si>
    <t>Cropland - October</t>
  </si>
  <si>
    <t>Cropland - November</t>
  </si>
  <si>
    <t>Cropland - December</t>
  </si>
  <si>
    <t>Pastureland - January</t>
  </si>
  <si>
    <t>Pastureland - February</t>
  </si>
  <si>
    <t>Pastureland - March</t>
  </si>
  <si>
    <t>Pastureland - April</t>
  </si>
  <si>
    <t>Pastureland - May</t>
  </si>
  <si>
    <t>Pastureland - June</t>
  </si>
  <si>
    <t>Proportional to Cropland</t>
  </si>
  <si>
    <t>Constant =</t>
  </si>
  <si>
    <t>Pastureland - July</t>
  </si>
  <si>
    <t>Pastureland - August</t>
  </si>
  <si>
    <t>Pastureland - September</t>
  </si>
  <si>
    <t>Pastureland - October</t>
  </si>
  <si>
    <t>Pastureland - November</t>
  </si>
  <si>
    <t>Pastureland - December</t>
  </si>
  <si>
    <t>WWTP- January</t>
  </si>
  <si>
    <t>WWTP - February</t>
  </si>
  <si>
    <t>WWTP - March</t>
  </si>
  <si>
    <t>WWTP - July</t>
  </si>
  <si>
    <t>WWTP - August</t>
  </si>
  <si>
    <t>WWTP - September</t>
  </si>
  <si>
    <t>WWTP - October</t>
  </si>
  <si>
    <t>WWTP - November</t>
  </si>
  <si>
    <t>WWTP - December</t>
  </si>
  <si>
    <t>Proportional to Septics</t>
  </si>
  <si>
    <t>Septics - January</t>
  </si>
  <si>
    <t>Septics - February</t>
  </si>
  <si>
    <t>Septics - March</t>
  </si>
  <si>
    <t>Septics - April</t>
  </si>
  <si>
    <t>Septics - May</t>
  </si>
  <si>
    <t>Septics - June</t>
  </si>
  <si>
    <t>Septics - July</t>
  </si>
  <si>
    <t>Septics - August</t>
  </si>
  <si>
    <t>Septics - September</t>
  </si>
  <si>
    <t>Septics - October</t>
  </si>
  <si>
    <t>Septics - November</t>
  </si>
  <si>
    <t>Septics - December</t>
  </si>
  <si>
    <t>Cattle Instream - April</t>
  </si>
  <si>
    <t>Cattle Instream - May</t>
  </si>
  <si>
    <t xml:space="preserve">Proportional to Septic </t>
  </si>
  <si>
    <t>Proportional to Septic</t>
  </si>
  <si>
    <t>Background - January</t>
  </si>
  <si>
    <t>Background - February</t>
  </si>
  <si>
    <t>Background - March</t>
  </si>
  <si>
    <t>Background - April</t>
  </si>
  <si>
    <t>Background - May</t>
  </si>
  <si>
    <t>Background - June</t>
  </si>
  <si>
    <t>Background - July</t>
  </si>
  <si>
    <t>Background - August</t>
  </si>
  <si>
    <t>Background - September</t>
  </si>
  <si>
    <t>Background - October</t>
  </si>
  <si>
    <t>Background - November</t>
  </si>
  <si>
    <t>Background - December</t>
  </si>
  <si>
    <t>Incremental Concentration: Hog and Dairy</t>
  </si>
  <si>
    <t>Incremental Concentration: Beef Cattle</t>
  </si>
  <si>
    <t>Incremental Concentration: Wastewater</t>
  </si>
  <si>
    <t>Total Annual Cost</t>
  </si>
  <si>
    <t>Average Daily Load (cfu/day)</t>
  </si>
  <si>
    <t>NEW DAILY LOAD</t>
  </si>
  <si>
    <t>BASELINE DAILY LOAD</t>
  </si>
  <si>
    <t>INCREMENTAL LOAD REDUCTION</t>
  </si>
  <si>
    <t>PERCENT REDUCTION</t>
  </si>
  <si>
    <t>Failing Septic Systems (# of systems)</t>
  </si>
  <si>
    <t>ENVIRONMENTAL LOAD (#/acre/day)</t>
  </si>
  <si>
    <t>Fraction Composted</t>
  </si>
  <si>
    <t>Total Manure/yr composted</t>
  </si>
  <si>
    <t>total manure composted</t>
  </si>
  <si>
    <t>(used in column H of FC-References)</t>
  </si>
  <si>
    <t>total manure/yr not composted</t>
  </si>
  <si>
    <t>Maximum Hog storage needed</t>
  </si>
  <si>
    <t>Maximum Dairy storage needed</t>
  </si>
  <si>
    <t>Beef Cattle Manure Stored and Composted (tons/yr)</t>
  </si>
  <si>
    <t>Number of Animals</t>
  </si>
  <si>
    <t>0 to 0.05</t>
  </si>
  <si>
    <t>(assumes that beef cattle are corraled a maximum of 5% of the year)</t>
  </si>
  <si>
    <t>SubTotal</t>
  </si>
  <si>
    <t>total surplus dairy</t>
  </si>
  <si>
    <t>Maximum Beef storage needed</t>
  </si>
  <si>
    <t>Storage Needed</t>
  </si>
  <si>
    <t>CAPITAL COST OF NEW ACTIVITY LEVEL</t>
  </si>
  <si>
    <t>CAPITAL COST OF BASELINE ACTIVITY</t>
  </si>
  <si>
    <t>Fraction manure composted</t>
  </si>
  <si>
    <t>Total Manure produced/year</t>
  </si>
  <si>
    <t>total manure produced/year</t>
  </si>
  <si>
    <t>lbs/ton manure</t>
  </si>
  <si>
    <t>lbs/acre</t>
  </si>
  <si>
    <t>Total Acres =</t>
  </si>
  <si>
    <t>Fraction with crops =</t>
  </si>
  <si>
    <t>P requirement =</t>
  </si>
  <si>
    <t>N requirement =</t>
  </si>
  <si>
    <t>acres</t>
  </si>
  <si>
    <t>N content =</t>
  </si>
  <si>
    <t>P content =</t>
  </si>
  <si>
    <t>N fertilizer rate =</t>
  </si>
  <si>
    <t>P fertilizer rate =</t>
  </si>
  <si>
    <t>Baseline P applied (lbs)</t>
  </si>
  <si>
    <t>New P applied (lbs)</t>
  </si>
  <si>
    <t>P needed (lbs)</t>
  </si>
  <si>
    <t>Baseline N applied (lbs)</t>
  </si>
  <si>
    <t>New N applied (lbs)</t>
  </si>
  <si>
    <t>N needed (lbs)</t>
  </si>
  <si>
    <t>P Fertilizer replacement for manure (tons)</t>
  </si>
  <si>
    <t>N Fertilizer replacement for manure (tons)</t>
  </si>
  <si>
    <t>`</t>
  </si>
  <si>
    <t>Background</t>
  </si>
  <si>
    <t>PERCENT OF TOTAL NEW LOAD</t>
  </si>
  <si>
    <t>RESULTS AND FORECASTS</t>
  </si>
  <si>
    <t>OPERATION AND MAINTENANCE COST</t>
  </si>
  <si>
    <t>Incremental Aquatic Load (cfu/day)</t>
  </si>
  <si>
    <t>Annual cost = Column E + Maximum (Column C, Column D)*Annuity Factor</t>
  </si>
  <si>
    <t>Annual cost is therefore equal to OM cost plus the maximum of baseline or new capital cost obligations:</t>
  </si>
  <si>
    <t>ENVIRONMENTAL LOADS FOR WASTEWATER SOURCES</t>
  </si>
  <si>
    <t>MANAGEMENT DECISIONS</t>
  </si>
  <si>
    <t>ANNUAL COST (see note 1)</t>
  </si>
  <si>
    <t>1. Annual costs must acknowledge fixed obligations associated with baseline capital investment.</t>
  </si>
  <si>
    <t>NOTES:</t>
  </si>
  <si>
    <t>Environmental Load</t>
  </si>
  <si>
    <t>cfu/hour</t>
  </si>
  <si>
    <t>Environmental Load Estimation for Wastewater Treatment Plant</t>
  </si>
  <si>
    <t>Based on design flows (.3 to .8 MGD) and a weekly average criterion of 200 cfu/100 ml, the average baseline daily load is equal</t>
  </si>
  <si>
    <t>to 4.73E7 cfu/hour.  Any technology designed to achieve a lower effluent criteria is assumed to decrease the effluent</t>
  </si>
  <si>
    <t xml:space="preserve">load by an equal percent.  The WWTP is assumed to discharge between October and March only (WWTP discharge is used for </t>
  </si>
  <si>
    <t>irrigation at other times).  Treatment technology is assumed to consist of UV treatment.</t>
  </si>
  <si>
    <t>Environmental Load Estimation for Failing Septic Systems</t>
  </si>
  <si>
    <t>The following assumptions are made for septic contributions:</t>
  </si>
  <si>
    <t># failing systems</t>
  </si>
  <si>
    <t>Total area (acres)</t>
  </si>
  <si>
    <t>Tot. # people served</t>
  </si>
  <si>
    <t>Septic flow (gal/day)</t>
  </si>
  <si>
    <t>Septic flow (ml/hr)</t>
  </si>
  <si>
    <t>FC Environmental Load (cfu/hr)</t>
  </si>
  <si>
    <t>Septic flow (cfs)</t>
  </si>
  <si>
    <r>
      <t>(this sheet combines information originally contained in the following Pathogen Loading Estimation Tool:</t>
    </r>
    <r>
      <rPr>
        <b/>
        <sz val="10"/>
        <rFont val="Arial"/>
        <family val="2"/>
      </rPr>
      <t xml:space="preserve"> General, Animals, References</t>
    </r>
    <r>
      <rPr>
        <sz val="10"/>
        <rFont val="Arial"/>
        <family val="2"/>
      </rPr>
      <t>)</t>
    </r>
  </si>
  <si>
    <t>The total number of animals in the subwatershed is as follows:</t>
  </si>
  <si>
    <t>(Fecal contributions from these animals are used to derive loading estimates for all landuses except for Built-up.)</t>
  </si>
  <si>
    <t>Modeled Landuses</t>
  </si>
  <si>
    <t>Original Landuses</t>
  </si>
  <si>
    <t>Fecal Coliform Production Rates for Animals</t>
  </si>
  <si>
    <t>LAND USE AND FECAL COLIFORM PRODUCTION</t>
  </si>
  <si>
    <t>Fecal Coliform Production Rates for Land Uses</t>
  </si>
  <si>
    <t>Total Manure production (lb/day per 1,000 lb animal)</t>
  </si>
  <si>
    <t>Typical Animal Mass (lb)</t>
  </si>
  <si>
    <t>Manure production per animal (lb/day)</t>
  </si>
  <si>
    <t>Fecal Coliform (cfu/day E10 per 1,000 lb animal)</t>
  </si>
  <si>
    <t>Fecal coliform (cfu/day)</t>
  </si>
  <si>
    <t>Manure prod (lb/yr)</t>
  </si>
  <si>
    <t>Technology and BMP Decisions</t>
  </si>
  <si>
    <t>Upper Cottonwood</t>
  </si>
  <si>
    <t>BACKGROUND SOURCES OF FECAL COLIFORM BACTERIA</t>
  </si>
  <si>
    <t>Forest Land</t>
  </si>
  <si>
    <t>Fecal Coliform accumulation on land</t>
  </si>
  <si>
    <t>Wildlife Fecal Coliform Production</t>
  </si>
  <si>
    <t>Total Fecal Coliform Accumulation</t>
  </si>
  <si>
    <t xml:space="preserve">A single, weighted Built-up loading value is quantified for each subwatershed based on individual built-up landuses  </t>
  </si>
  <si>
    <t>Built-up Areas (Urban land)</t>
  </si>
  <si>
    <t>AQUATIC LOADS, CONCENTRATIONS, AND ASSUMPTIONS</t>
  </si>
  <si>
    <t>Background Concentration Assumptions</t>
  </si>
  <si>
    <t>Total Concentration</t>
  </si>
  <si>
    <t>Concentration Estimates   (cfu/100 ml)</t>
  </si>
  <si>
    <t>Background Load Estimates</t>
  </si>
  <si>
    <t>Incremental Load and Concentration Estimates - Hog and Dairy Operations</t>
  </si>
  <si>
    <t>Incremental Load and Concentration Estimates - Beef Cattle</t>
  </si>
  <si>
    <t>Incremental Load and Concentration Estimates - Wastewater Treatment</t>
  </si>
  <si>
    <t>Impact Coefficient Assumptions</t>
  </si>
  <si>
    <t>COST ESTIMATES</t>
  </si>
  <si>
    <t>present and their corresponding loading rates.</t>
  </si>
  <si>
    <t>For all months</t>
  </si>
  <si>
    <t>Summary of Average Concentration Forecasts</t>
  </si>
  <si>
    <t>0.75 to 1</t>
  </si>
  <si>
    <t>Forecast Objective Options</t>
  </si>
  <si>
    <t>Sum of Loads</t>
  </si>
  <si>
    <t>Summary of Average Daily Load Forecasts (cfu/day)</t>
  </si>
  <si>
    <t>Change in lbs stored</t>
  </si>
  <si>
    <t>Total lbs stored</t>
  </si>
  <si>
    <t>(Storage should be enough to accommodate composting as well reallocation of manure applications)</t>
  </si>
  <si>
    <t>P deficit for March to October =</t>
  </si>
  <si>
    <t>Composting (Assume that composted manure is never applied to cropland)</t>
  </si>
  <si>
    <t>ESTIMATE MANURE HANDLING NEEDS</t>
  </si>
  <si>
    <t>Manure Production and Monthly Storage Needs</t>
  </si>
  <si>
    <t>Maximum Manure Storage Needs</t>
  </si>
  <si>
    <t xml:space="preserve">Fertilizer Needs </t>
  </si>
  <si>
    <t>(Assume that N and P losses from diverting manure to composting</t>
  </si>
  <si>
    <t xml:space="preserve"> must be replaced with fertilizer)</t>
  </si>
  <si>
    <t>BACTERIA ACCUMULATION RATE ON CROPLAND</t>
  </si>
  <si>
    <t>BACTERIA ACCUMULATION RATE ON PASTURELAND</t>
  </si>
  <si>
    <t>BACTERIA LOADS FROM BEEF CATTLE IN STREAMS</t>
  </si>
  <si>
    <t>MANURE APPLICATION AND INCORPORATION</t>
  </si>
  <si>
    <t>BEEF CATTLE ACCESS TO STREAM</t>
  </si>
  <si>
    <t>SUMMARY OF BACTERIA ACCUMULATION RATES BY LAND TYPE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</si>
</sst>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E+00"/>
    <numFmt numFmtId="167" formatCode="0.0"/>
    <numFmt numFmtId="168" formatCode="0.0000E+00"/>
    <numFmt numFmtId="169" formatCode="0.000E+00"/>
    <numFmt numFmtId="170" formatCode="0.000000E+000"/>
    <numFmt numFmtId="171" formatCode="0.00E+000"/>
    <numFmt numFmtId="172" formatCode="0.00000"/>
    <numFmt numFmtId="173" formatCode="&quot;$&quot;#,##0"/>
    <numFmt numFmtId="174" formatCode="&quot;$&quot;#,##0.00"/>
    <numFmt numFmtId="175" formatCode="0.00000000"/>
    <numFmt numFmtId="176" formatCode="0.00000000E+00"/>
    <numFmt numFmtId="177" formatCode="0.000"/>
    <numFmt numFmtId="178" formatCode="0.0000000E+00"/>
    <numFmt numFmtId="179" formatCode="0.00000E+00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4"/>
      <color indexed="63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9"/>
      <name val="Arial"/>
      <family val="2"/>
    </font>
    <font>
      <b/>
      <i/>
      <sz val="18"/>
      <color indexed="63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1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center"/>
    </xf>
    <xf numFmtId="11" fontId="0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5" fillId="2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/>
    </xf>
    <xf numFmtId="0" fontId="1" fillId="3" borderId="0" xfId="0" applyFont="1" applyFill="1" applyAlignment="1">
      <alignment/>
    </xf>
    <xf numFmtId="11" fontId="1" fillId="0" borderId="0" xfId="0" applyNumberFormat="1" applyFont="1" applyAlignment="1">
      <alignment horizontal="center"/>
    </xf>
    <xf numFmtId="11" fontId="1" fillId="0" borderId="3" xfId="0" applyNumberFormat="1" applyFont="1" applyBorder="1" applyAlignment="1">
      <alignment horizontal="center"/>
    </xf>
    <xf numFmtId="1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1" fontId="1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1" fontId="1" fillId="0" borderId="8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1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7" fillId="5" borderId="9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4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 horizontal="center"/>
    </xf>
    <xf numFmtId="0" fontId="4" fillId="4" borderId="0" xfId="0" applyFont="1" applyFill="1" applyAlignment="1">
      <alignment horizontal="center" wrapText="1"/>
    </xf>
    <xf numFmtId="0" fontId="19" fillId="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20" fillId="5" borderId="9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0" fillId="4" borderId="9" xfId="0" applyFill="1" applyBorder="1" applyAlignment="1">
      <alignment/>
    </xf>
    <xf numFmtId="0" fontId="19" fillId="5" borderId="9" xfId="0" applyFont="1" applyFill="1" applyBorder="1" applyAlignment="1">
      <alignment/>
    </xf>
    <xf numFmtId="0" fontId="4" fillId="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4" borderId="9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5" borderId="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8" fillId="0" borderId="9" xfId="0" applyFont="1" applyBorder="1" applyAlignment="1">
      <alignment/>
    </xf>
    <xf numFmtId="0" fontId="19" fillId="5" borderId="0" xfId="0" applyFont="1" applyFill="1" applyAlignment="1">
      <alignment/>
    </xf>
    <xf numFmtId="0" fontId="27" fillId="5" borderId="0" xfId="0" applyFont="1" applyFill="1" applyAlignment="1">
      <alignment/>
    </xf>
    <xf numFmtId="0" fontId="27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5" borderId="9" xfId="0" applyFont="1" applyFill="1" applyBorder="1" applyAlignment="1">
      <alignment/>
    </xf>
    <xf numFmtId="0" fontId="27" fillId="5" borderId="9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76" fontId="0" fillId="0" borderId="9" xfId="0" applyNumberFormat="1" applyFill="1" applyBorder="1" applyAlignment="1">
      <alignment/>
    </xf>
    <xf numFmtId="11" fontId="0" fillId="0" borderId="2" xfId="0" applyNumberFormat="1" applyBorder="1" applyAlignment="1" quotePrefix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2" xfId="0" applyNumberFormat="1" applyBorder="1" applyAlignment="1">
      <alignment/>
    </xf>
    <xf numFmtId="173" fontId="4" fillId="0" borderId="0" xfId="0" applyNumberFormat="1" applyFont="1" applyAlignment="1">
      <alignment/>
    </xf>
    <xf numFmtId="173" fontId="5" fillId="0" borderId="9" xfId="0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>
      <alignment/>
    </xf>
    <xf numFmtId="165" fontId="29" fillId="0" borderId="0" xfId="0" applyNumberFormat="1" applyFont="1" applyFill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/>
    </xf>
    <xf numFmtId="1" fontId="25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2" fontId="0" fillId="4" borderId="9" xfId="0" applyNumberFormat="1" applyFill="1" applyBorder="1" applyAlignment="1">
      <alignment/>
    </xf>
    <xf numFmtId="1" fontId="9" fillId="4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173" fontId="0" fillId="0" borderId="0" xfId="0" applyNumberFormat="1" applyFont="1" applyAlignment="1">
      <alignment/>
    </xf>
    <xf numFmtId="0" fontId="31" fillId="0" borderId="0" xfId="0" applyFont="1" applyAlignment="1">
      <alignment/>
    </xf>
    <xf numFmtId="173" fontId="16" fillId="0" borderId="0" xfId="0" applyNumberFormat="1" applyFont="1" applyAlignment="1">
      <alignment/>
    </xf>
    <xf numFmtId="173" fontId="18" fillId="5" borderId="9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center" wrapText="1"/>
    </xf>
    <xf numFmtId="173" fontId="0" fillId="0" borderId="9" xfId="0" applyNumberFormat="1" applyBorder="1" applyAlignment="1">
      <alignment/>
    </xf>
    <xf numFmtId="2" fontId="16" fillId="0" borderId="0" xfId="0" applyNumberFormat="1" applyFont="1" applyAlignment="1">
      <alignment/>
    </xf>
    <xf numFmtId="2" fontId="18" fillId="5" borderId="9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173" fontId="9" fillId="0" borderId="0" xfId="0" applyNumberFormat="1" applyFont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right"/>
    </xf>
    <xf numFmtId="173" fontId="0" fillId="0" borderId="9" xfId="0" applyNumberFormat="1" applyFill="1" applyBorder="1" applyAlignment="1">
      <alignment/>
    </xf>
    <xf numFmtId="173" fontId="0" fillId="7" borderId="9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19" fillId="0" borderId="0" xfId="0" applyFont="1" applyAlignment="1">
      <alignment/>
    </xf>
    <xf numFmtId="0" fontId="4" fillId="0" borderId="7" xfId="0" applyFont="1" applyBorder="1" applyAlignment="1">
      <alignment wrapText="1"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Alignment="1">
      <alignment/>
    </xf>
    <xf numFmtId="10" fontId="0" fillId="4" borderId="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11" fontId="9" fillId="0" borderId="0" xfId="0" applyNumberFormat="1" applyFont="1" applyAlignment="1">
      <alignment horizontal="center"/>
    </xf>
    <xf numFmtId="11" fontId="0" fillId="4" borderId="0" xfId="0" applyNumberFormat="1" applyFill="1" applyBorder="1" applyAlignment="1">
      <alignment horizontal="center"/>
    </xf>
    <xf numFmtId="11" fontId="9" fillId="4" borderId="0" xfId="0" applyNumberFormat="1" applyFont="1" applyFill="1" applyBorder="1" applyAlignment="1">
      <alignment horizontal="center"/>
    </xf>
    <xf numFmtId="11" fontId="0" fillId="4" borderId="0" xfId="0" applyNumberFormat="1" applyFill="1" applyBorder="1" applyAlignment="1">
      <alignment/>
    </xf>
    <xf numFmtId="10" fontId="0" fillId="4" borderId="0" xfId="0" applyNumberFormat="1" applyFill="1" applyBorder="1" applyAlignment="1">
      <alignment/>
    </xf>
    <xf numFmtId="11" fontId="0" fillId="0" borderId="9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0" fillId="8" borderId="0" xfId="0" applyNumberFormat="1" applyFill="1" applyAlignment="1">
      <alignment/>
    </xf>
    <xf numFmtId="11" fontId="0" fillId="0" borderId="13" xfId="0" applyNumberFormat="1" applyBorder="1" applyAlignment="1">
      <alignment/>
    </xf>
    <xf numFmtId="11" fontId="4" fillId="0" borderId="9" xfId="0" applyNumberFormat="1" applyFont="1" applyBorder="1" applyAlignment="1">
      <alignment/>
    </xf>
    <xf numFmtId="1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8" borderId="0" xfId="0" applyNumberFormat="1" applyFill="1" applyAlignment="1">
      <alignment/>
    </xf>
    <xf numFmtId="167" fontId="0" fillId="0" borderId="2" xfId="0" applyNumberFormat="1" applyFill="1" applyBorder="1" applyAlignment="1">
      <alignment/>
    </xf>
    <xf numFmtId="167" fontId="0" fillId="0" borderId="9" xfId="0" applyNumberFormat="1" applyBorder="1" applyAlignment="1">
      <alignment/>
    </xf>
    <xf numFmtId="167" fontId="0" fillId="8" borderId="9" xfId="0" applyNumberFormat="1" applyFill="1" applyBorder="1" applyAlignment="1">
      <alignment/>
    </xf>
    <xf numFmtId="167" fontId="0" fillId="0" borderId="13" xfId="0" applyNumberForma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5" fillId="0" borderId="0" xfId="0" applyNumberFormat="1" applyFont="1" applyFill="1" applyBorder="1" applyAlignment="1">
      <alignment horizontal="right"/>
    </xf>
    <xf numFmtId="0" fontId="0" fillId="5" borderId="9" xfId="0" applyFill="1" applyBorder="1" applyAlignment="1">
      <alignment/>
    </xf>
    <xf numFmtId="0" fontId="9" fillId="0" borderId="0" xfId="0" applyFont="1" applyAlignment="1">
      <alignment/>
    </xf>
    <xf numFmtId="0" fontId="0" fillId="9" borderId="9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/>
    </xf>
    <xf numFmtId="0" fontId="15" fillId="9" borderId="9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9" borderId="9" xfId="0" applyFont="1" applyFill="1" applyBorder="1" applyAlignment="1">
      <alignment/>
    </xf>
    <xf numFmtId="0" fontId="0" fillId="9" borderId="9" xfId="0" applyFont="1" applyFill="1" applyBorder="1" applyAlignment="1">
      <alignment/>
    </xf>
    <xf numFmtId="0" fontId="18" fillId="5" borderId="9" xfId="0" applyFont="1" applyFill="1" applyBorder="1" applyAlignment="1">
      <alignment horizontal="left"/>
    </xf>
    <xf numFmtId="0" fontId="28" fillId="0" borderId="0" xfId="0" applyFont="1" applyAlignment="1">
      <alignment/>
    </xf>
    <xf numFmtId="1" fontId="28" fillId="5" borderId="9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5" fillId="0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/>
    </xf>
    <xf numFmtId="11" fontId="0" fillId="0" borderId="1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3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1" fontId="4" fillId="0" borderId="15" xfId="0" applyNumberFormat="1" applyFont="1" applyBorder="1" applyAlignment="1">
      <alignment/>
    </xf>
    <xf numFmtId="11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11" fontId="0" fillId="0" borderId="17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1" fontId="11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5" xfId="0" applyFont="1" applyBorder="1" applyAlignment="1">
      <alignment/>
    </xf>
    <xf numFmtId="1" fontId="25" fillId="0" borderId="15" xfId="0" applyNumberFormat="1" applyFont="1" applyBorder="1" applyAlignment="1">
      <alignment/>
    </xf>
    <xf numFmtId="1" fontId="29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11" fontId="0" fillId="0" borderId="1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21" fillId="9" borderId="9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11" fontId="0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7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/>
    </xf>
    <xf numFmtId="11" fontId="1" fillId="0" borderId="15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Fill="1" applyAlignment="1">
      <alignment/>
    </xf>
    <xf numFmtId="2" fontId="0" fillId="0" borderId="9" xfId="0" applyNumberFormat="1" applyFill="1" applyBorder="1" applyAlignment="1">
      <alignment/>
    </xf>
    <xf numFmtId="2" fontId="9" fillId="6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0" xfId="0" applyFont="1" applyBorder="1" applyAlignment="1">
      <alignment/>
    </xf>
    <xf numFmtId="2" fontId="34" fillId="0" borderId="0" xfId="0" applyNumberFormat="1" applyFont="1" applyAlignment="1">
      <alignment/>
    </xf>
    <xf numFmtId="172" fontId="34" fillId="0" borderId="18" xfId="0" applyNumberFormat="1" applyFont="1" applyBorder="1" applyAlignment="1">
      <alignment/>
    </xf>
    <xf numFmtId="0" fontId="4" fillId="4" borderId="17" xfId="0" applyFont="1" applyFill="1" applyBorder="1" applyAlignment="1">
      <alignment horizontal="right"/>
    </xf>
    <xf numFmtId="0" fontId="0" fillId="4" borderId="17" xfId="0" applyFill="1" applyBorder="1" applyAlignment="1">
      <alignment/>
    </xf>
    <xf numFmtId="11" fontId="0" fillId="7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0" fontId="0" fillId="7" borderId="17" xfId="0" applyNumberForma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11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5" fillId="0" borderId="0" xfId="0" applyFont="1" applyFill="1" applyBorder="1" applyAlignment="1">
      <alignment/>
    </xf>
    <xf numFmtId="172" fontId="34" fillId="0" borderId="19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0" fontId="25" fillId="0" borderId="19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and us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64"/>
  <sheetViews>
    <sheetView showGridLines="0" zoomScale="75" zoomScaleNormal="75" workbookViewId="0" topLeftCell="A1">
      <selection activeCell="A7" sqref="A7"/>
    </sheetView>
  </sheetViews>
  <sheetFormatPr defaultColWidth="9.140625" defaultRowHeight="12.75"/>
  <cols>
    <col min="1" max="1" width="51.421875" style="93" customWidth="1"/>
    <col min="2" max="2" width="21.57421875" style="93" customWidth="1"/>
    <col min="3" max="3" width="17.00390625" style="93" customWidth="1"/>
    <col min="4" max="4" width="15.7109375" style="93" customWidth="1"/>
    <col min="5" max="5" width="16.00390625" style="93" customWidth="1"/>
    <col min="6" max="6" width="12.57421875" style="93" customWidth="1"/>
    <col min="7" max="16384" width="9.140625" style="93" customWidth="1"/>
  </cols>
  <sheetData>
    <row r="1" spans="1:3" s="91" customFormat="1" ht="23.25" thickBot="1">
      <c r="A1" s="226" t="s">
        <v>462</v>
      </c>
      <c r="B1" s="229"/>
      <c r="C1" s="230"/>
    </row>
    <row r="2" spans="1:4" ht="12.75">
      <c r="A2" s="92"/>
      <c r="D2" s="94"/>
    </row>
    <row r="3" spans="1:4" s="98" customFormat="1" ht="18" thickBot="1">
      <c r="A3" s="96" t="s">
        <v>496</v>
      </c>
      <c r="B3" s="97"/>
      <c r="C3" s="97"/>
      <c r="D3" s="97"/>
    </row>
    <row r="4" spans="1:4" s="100" customFormat="1" ht="36.75" customHeight="1" thickBot="1">
      <c r="A4" s="99" t="s">
        <v>259</v>
      </c>
      <c r="B4" s="99" t="s">
        <v>260</v>
      </c>
      <c r="C4" s="99" t="s">
        <v>261</v>
      </c>
      <c r="D4" s="99" t="s">
        <v>262</v>
      </c>
    </row>
    <row r="5" spans="1:8" s="100" customFormat="1" ht="13.5" thickTop="1">
      <c r="A5" s="101"/>
      <c r="B5" s="101"/>
      <c r="C5" s="101"/>
      <c r="D5" s="101"/>
      <c r="F5"/>
      <c r="G5"/>
      <c r="H5"/>
    </row>
    <row r="6" spans="1:8" ht="12.75">
      <c r="A6" s="102" t="s">
        <v>263</v>
      </c>
      <c r="B6" s="103"/>
      <c r="C6" s="104"/>
      <c r="D6" s="105" t="s">
        <v>216</v>
      </c>
      <c r="F6"/>
      <c r="G6"/>
      <c r="H6"/>
    </row>
    <row r="7" spans="1:8" ht="12.75">
      <c r="A7" s="106" t="s">
        <v>264</v>
      </c>
      <c r="B7" s="290">
        <v>0.02</v>
      </c>
      <c r="C7" s="289">
        <v>0.02</v>
      </c>
      <c r="D7" s="107" t="s">
        <v>265</v>
      </c>
      <c r="F7"/>
      <c r="G7"/>
      <c r="H7"/>
    </row>
    <row r="8" spans="1:8" ht="12.75">
      <c r="A8" s="106" t="s">
        <v>266</v>
      </c>
      <c r="B8" s="290">
        <v>0.02</v>
      </c>
      <c r="C8" s="289">
        <v>0.02</v>
      </c>
      <c r="D8" s="105" t="s">
        <v>265</v>
      </c>
      <c r="F8"/>
      <c r="G8"/>
      <c r="H8"/>
    </row>
    <row r="9" spans="1:8" ht="12.75">
      <c r="A9" s="106" t="s">
        <v>267</v>
      </c>
      <c r="B9" s="290">
        <v>0.02</v>
      </c>
      <c r="C9" s="289">
        <v>0.02</v>
      </c>
      <c r="D9" s="286" t="s">
        <v>265</v>
      </c>
      <c r="F9"/>
      <c r="G9"/>
      <c r="H9"/>
    </row>
    <row r="10" spans="1:8" ht="12.75">
      <c r="A10" s="106" t="s">
        <v>268</v>
      </c>
      <c r="B10" s="290">
        <v>0.02</v>
      </c>
      <c r="C10" s="289">
        <v>0.02</v>
      </c>
      <c r="D10" s="105" t="s">
        <v>265</v>
      </c>
      <c r="F10"/>
      <c r="G10"/>
      <c r="H10"/>
    </row>
    <row r="11" spans="1:8" ht="12.75">
      <c r="A11" s="106" t="s">
        <v>269</v>
      </c>
      <c r="B11" s="290">
        <v>0.02</v>
      </c>
      <c r="C11" s="289">
        <v>0.02</v>
      </c>
      <c r="D11" s="107" t="s">
        <v>265</v>
      </c>
      <c r="F11"/>
      <c r="G11"/>
      <c r="H11"/>
    </row>
    <row r="12" spans="1:8" ht="12.75">
      <c r="A12" s="106" t="s">
        <v>270</v>
      </c>
      <c r="B12" s="290">
        <v>0.02</v>
      </c>
      <c r="C12" s="289">
        <v>0.02</v>
      </c>
      <c r="D12" s="105" t="s">
        <v>265</v>
      </c>
      <c r="F12"/>
      <c r="G12"/>
      <c r="H12"/>
    </row>
    <row r="13" spans="1:9" s="98" customFormat="1" ht="14.25" customHeight="1">
      <c r="A13" s="106" t="s">
        <v>271</v>
      </c>
      <c r="B13" s="290">
        <v>0.27</v>
      </c>
      <c r="C13" s="289">
        <v>0.27</v>
      </c>
      <c r="D13" s="107" t="s">
        <v>265</v>
      </c>
      <c r="E13" s="93"/>
      <c r="F13"/>
      <c r="G13"/>
      <c r="H13"/>
      <c r="I13" s="93"/>
    </row>
    <row r="14" spans="1:9" s="108" customFormat="1" ht="12.75">
      <c r="A14" s="106" t="s">
        <v>272</v>
      </c>
      <c r="B14" s="290">
        <v>0.27</v>
      </c>
      <c r="C14" s="289">
        <v>0.27</v>
      </c>
      <c r="D14" s="105" t="s">
        <v>265</v>
      </c>
      <c r="E14" s="93"/>
      <c r="F14"/>
      <c r="G14"/>
      <c r="H14"/>
      <c r="I14" s="93"/>
    </row>
    <row r="15" spans="1:8" ht="12.75">
      <c r="A15" s="106" t="s">
        <v>273</v>
      </c>
      <c r="B15" s="290">
        <v>0.28</v>
      </c>
      <c r="C15" s="289">
        <v>0.28</v>
      </c>
      <c r="D15" s="107" t="s">
        <v>265</v>
      </c>
      <c r="F15"/>
      <c r="G15"/>
      <c r="H15"/>
    </row>
    <row r="16" spans="1:8" ht="12.75">
      <c r="A16" s="106" t="s">
        <v>274</v>
      </c>
      <c r="B16" s="290">
        <v>0.02</v>
      </c>
      <c r="C16" s="289">
        <v>0.02</v>
      </c>
      <c r="D16" s="105" t="s">
        <v>265</v>
      </c>
      <c r="F16"/>
      <c r="G16"/>
      <c r="H16"/>
    </row>
    <row r="17" spans="1:8" ht="12.75">
      <c r="A17" s="106" t="s">
        <v>275</v>
      </c>
      <c r="B17" s="290">
        <v>0.02</v>
      </c>
      <c r="C17" s="289">
        <v>0.02</v>
      </c>
      <c r="D17" s="107" t="s">
        <v>265</v>
      </c>
      <c r="F17"/>
      <c r="G17"/>
      <c r="H17"/>
    </row>
    <row r="18" spans="1:8" ht="12.75">
      <c r="A18" s="106" t="s">
        <v>276</v>
      </c>
      <c r="B18" s="290">
        <v>0.02</v>
      </c>
      <c r="C18" s="289">
        <v>0.02</v>
      </c>
      <c r="D18" s="105" t="s">
        <v>265</v>
      </c>
      <c r="F18"/>
      <c r="G18"/>
      <c r="H18"/>
    </row>
    <row r="19" spans="1:8" ht="20.25" customHeight="1">
      <c r="A19" s="106" t="s">
        <v>277</v>
      </c>
      <c r="B19" s="290">
        <v>0</v>
      </c>
      <c r="C19" s="289">
        <v>0</v>
      </c>
      <c r="D19" s="107" t="s">
        <v>265</v>
      </c>
      <c r="E19" s="287"/>
      <c r="F19"/>
      <c r="G19"/>
      <c r="H19"/>
    </row>
    <row r="20" spans="1:9" s="98" customFormat="1" ht="15" customHeight="1">
      <c r="A20" s="106" t="s">
        <v>278</v>
      </c>
      <c r="B20" s="290">
        <v>0</v>
      </c>
      <c r="C20" s="289">
        <v>0</v>
      </c>
      <c r="D20" s="105" t="s">
        <v>265</v>
      </c>
      <c r="E20" s="93"/>
      <c r="F20"/>
      <c r="G20"/>
      <c r="H20"/>
      <c r="I20" s="93"/>
    </row>
    <row r="21" spans="1:8" ht="12.75">
      <c r="A21" s="106" t="s">
        <v>279</v>
      </c>
      <c r="B21" s="290">
        <v>0</v>
      </c>
      <c r="C21" s="289">
        <v>0</v>
      </c>
      <c r="D21" s="107" t="s">
        <v>265</v>
      </c>
      <c r="F21"/>
      <c r="G21"/>
      <c r="H21"/>
    </row>
    <row r="22" spans="1:8" ht="12.75">
      <c r="A22" s="106" t="s">
        <v>280</v>
      </c>
      <c r="B22" s="290">
        <v>0.22</v>
      </c>
      <c r="C22" s="289">
        <v>0.22</v>
      </c>
      <c r="D22" s="105" t="s">
        <v>265</v>
      </c>
      <c r="F22"/>
      <c r="G22"/>
      <c r="H22"/>
    </row>
    <row r="23" spans="1:8" ht="12.75">
      <c r="A23" s="106" t="s">
        <v>281</v>
      </c>
      <c r="B23" s="290">
        <v>0.22</v>
      </c>
      <c r="C23" s="289">
        <v>0.22</v>
      </c>
      <c r="D23" s="107" t="s">
        <v>265</v>
      </c>
      <c r="F23"/>
      <c r="G23"/>
      <c r="H23"/>
    </row>
    <row r="24" spans="1:8" ht="12.75">
      <c r="A24" s="106" t="s">
        <v>282</v>
      </c>
      <c r="B24" s="290">
        <v>0.23</v>
      </c>
      <c r="C24" s="289">
        <v>0.23</v>
      </c>
      <c r="D24" s="105" t="s">
        <v>265</v>
      </c>
      <c r="F24"/>
      <c r="G24"/>
      <c r="H24"/>
    </row>
    <row r="25" spans="1:8" ht="12.75">
      <c r="A25" s="106" t="s">
        <v>283</v>
      </c>
      <c r="B25" s="290">
        <v>0.08</v>
      </c>
      <c r="C25" s="289">
        <v>0.08</v>
      </c>
      <c r="D25" s="107" t="s">
        <v>265</v>
      </c>
      <c r="F25"/>
      <c r="G25"/>
      <c r="H25"/>
    </row>
    <row r="26" spans="1:8" ht="12.75">
      <c r="A26" s="106" t="s">
        <v>284</v>
      </c>
      <c r="B26" s="290">
        <v>0.08</v>
      </c>
      <c r="C26" s="289">
        <v>0.08</v>
      </c>
      <c r="D26" s="105" t="s">
        <v>265</v>
      </c>
      <c r="F26"/>
      <c r="G26"/>
      <c r="H26"/>
    </row>
    <row r="27" spans="1:8" ht="12.75">
      <c r="A27" s="106" t="s">
        <v>285</v>
      </c>
      <c r="B27" s="290">
        <v>0.08</v>
      </c>
      <c r="C27" s="289">
        <v>0.08</v>
      </c>
      <c r="D27" s="107" t="s">
        <v>265</v>
      </c>
      <c r="F27"/>
      <c r="G27"/>
      <c r="H27"/>
    </row>
    <row r="28" spans="1:8" ht="12.75">
      <c r="A28" s="106" t="s">
        <v>286</v>
      </c>
      <c r="B28" s="290">
        <v>0.09</v>
      </c>
      <c r="C28" s="289">
        <v>0.09</v>
      </c>
      <c r="D28" s="105" t="s">
        <v>265</v>
      </c>
      <c r="F28"/>
      <c r="G28"/>
      <c r="H28"/>
    </row>
    <row r="29" spans="1:9" s="109" customFormat="1" ht="15" customHeight="1">
      <c r="A29" s="106" t="s">
        <v>287</v>
      </c>
      <c r="B29" s="290">
        <v>0</v>
      </c>
      <c r="C29" s="289">
        <v>0</v>
      </c>
      <c r="D29" s="107" t="s">
        <v>265</v>
      </c>
      <c r="E29" s="93"/>
      <c r="F29"/>
      <c r="G29"/>
      <c r="H29"/>
      <c r="I29" s="93"/>
    </row>
    <row r="30" spans="1:9" s="108" customFormat="1" ht="12.75">
      <c r="A30" s="106" t="s">
        <v>288</v>
      </c>
      <c r="B30" s="290">
        <v>0</v>
      </c>
      <c r="C30" s="289">
        <v>0</v>
      </c>
      <c r="D30" s="105" t="s">
        <v>265</v>
      </c>
      <c r="E30" s="93"/>
      <c r="F30"/>
      <c r="G30"/>
      <c r="H30"/>
      <c r="I30" s="93"/>
    </row>
    <row r="31" spans="1:8" ht="22.5" customHeight="1">
      <c r="A31" s="106" t="s">
        <v>289</v>
      </c>
      <c r="B31" s="290">
        <v>0.75</v>
      </c>
      <c r="C31" s="289">
        <v>0.75</v>
      </c>
      <c r="D31" s="105" t="s">
        <v>518</v>
      </c>
      <c r="F31"/>
      <c r="G31"/>
      <c r="H31"/>
    </row>
    <row r="32" spans="1:8" ht="13.5" customHeight="1">
      <c r="A32" s="106" t="s">
        <v>290</v>
      </c>
      <c r="B32" s="290">
        <v>0.75</v>
      </c>
      <c r="C32" s="289">
        <v>0.75</v>
      </c>
      <c r="D32" s="105" t="s">
        <v>518</v>
      </c>
      <c r="F32"/>
      <c r="G32"/>
      <c r="H32"/>
    </row>
    <row r="33" spans="1:8" ht="14.25" customHeight="1">
      <c r="A33" s="110" t="s">
        <v>291</v>
      </c>
      <c r="B33" s="290">
        <v>0</v>
      </c>
      <c r="C33" s="289">
        <v>0</v>
      </c>
      <c r="D33" s="105" t="s">
        <v>265</v>
      </c>
      <c r="F33"/>
      <c r="G33"/>
      <c r="H33"/>
    </row>
    <row r="34" spans="1:8" ht="24" customHeight="1">
      <c r="A34" s="102" t="s">
        <v>292</v>
      </c>
      <c r="B34" s="290"/>
      <c r="C34"/>
      <c r="D34" s="111"/>
      <c r="F34"/>
      <c r="G34"/>
      <c r="H34"/>
    </row>
    <row r="35" spans="1:8" ht="12.75">
      <c r="A35" s="110" t="s">
        <v>293</v>
      </c>
      <c r="B35" s="290">
        <v>0</v>
      </c>
      <c r="C35" s="289">
        <v>0</v>
      </c>
      <c r="D35" s="105" t="s">
        <v>265</v>
      </c>
      <c r="F35"/>
      <c r="G35"/>
      <c r="H35"/>
    </row>
    <row r="36" spans="1:8" ht="12.75">
      <c r="A36" s="110" t="s">
        <v>431</v>
      </c>
      <c r="B36" s="290">
        <v>0</v>
      </c>
      <c r="C36" s="289">
        <v>0</v>
      </c>
      <c r="D36" s="105" t="s">
        <v>423</v>
      </c>
      <c r="F36"/>
      <c r="G36"/>
      <c r="H36"/>
    </row>
    <row r="37" spans="1:8" ht="21.75" customHeight="1">
      <c r="A37" s="102" t="s">
        <v>294</v>
      </c>
      <c r="B37" s="290"/>
      <c r="C37" s="104"/>
      <c r="D37" s="105" t="s">
        <v>216</v>
      </c>
      <c r="F37"/>
      <c r="G37"/>
      <c r="H37"/>
    </row>
    <row r="38" spans="1:8" ht="12.75">
      <c r="A38" s="111" t="s">
        <v>412</v>
      </c>
      <c r="B38" s="290">
        <v>10</v>
      </c>
      <c r="C38" s="162">
        <v>10</v>
      </c>
      <c r="D38" s="105" t="s">
        <v>295</v>
      </c>
      <c r="F38"/>
      <c r="G38"/>
      <c r="H38"/>
    </row>
    <row r="39" spans="1:8" ht="12.75">
      <c r="A39" s="111" t="s">
        <v>296</v>
      </c>
      <c r="B39" s="290">
        <v>200</v>
      </c>
      <c r="C39" s="162">
        <v>200</v>
      </c>
      <c r="D39" s="105" t="s">
        <v>297</v>
      </c>
      <c r="F39"/>
      <c r="G39"/>
      <c r="H39"/>
    </row>
    <row r="40" spans="1:4" ht="13.5" thickBot="1">
      <c r="A40" s="112"/>
      <c r="B40" s="112"/>
      <c r="C40" s="112" t="s">
        <v>216</v>
      </c>
      <c r="D40" s="112"/>
    </row>
    <row r="41" spans="1:5" ht="12.75">
      <c r="A41" s="95"/>
      <c r="B41" s="95"/>
      <c r="C41" s="95"/>
      <c r="D41" s="95"/>
      <c r="E41" s="95"/>
    </row>
    <row r="42" spans="1:6" ht="12.75">
      <c r="A42" s="95"/>
      <c r="B42" s="95"/>
      <c r="C42" s="95"/>
      <c r="D42" s="95"/>
      <c r="E42" s="95"/>
      <c r="F42" s="95"/>
    </row>
    <row r="43" spans="7:10" ht="17.25">
      <c r="G43" s="98"/>
      <c r="H43" s="98"/>
      <c r="I43" s="98"/>
      <c r="J43" s="98"/>
    </row>
    <row r="44" spans="7:10" ht="12.75">
      <c r="G44" s="115"/>
      <c r="H44" s="115"/>
      <c r="I44" s="108"/>
      <c r="J44" s="108"/>
    </row>
    <row r="45" spans="7:8" ht="12.75">
      <c r="G45" s="95"/>
      <c r="H45" s="95"/>
    </row>
    <row r="46" spans="7:8" ht="12.75">
      <c r="G46" s="95"/>
      <c r="H46" s="95"/>
    </row>
    <row r="47" spans="7:8" ht="12.75">
      <c r="G47" s="95"/>
      <c r="H47" s="95"/>
    </row>
    <row r="48" spans="7:8" ht="12.75">
      <c r="G48" s="95"/>
      <c r="H48" s="95"/>
    </row>
    <row r="49" spans="7:8" ht="12.75">
      <c r="G49" s="95"/>
      <c r="H49" s="95"/>
    </row>
    <row r="50" spans="7:8" ht="12.75">
      <c r="G50" s="95"/>
      <c r="H50" s="95"/>
    </row>
    <row r="53" spans="7:11" ht="17.25">
      <c r="G53" s="114"/>
      <c r="H53" s="98"/>
      <c r="I53" s="98"/>
      <c r="J53" s="98"/>
      <c r="K53" s="98"/>
    </row>
    <row r="56" s="194" customFormat="1" ht="12.75"/>
    <row r="63" spans="7:10" ht="17.25">
      <c r="G63" s="109"/>
      <c r="H63" s="109"/>
      <c r="I63" s="109"/>
      <c r="J63" s="109"/>
    </row>
    <row r="64" spans="7:10" ht="12.75">
      <c r="G64" s="108"/>
      <c r="H64" s="108"/>
      <c r="I64" s="108"/>
      <c r="J64" s="108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G45"/>
  <sheetViews>
    <sheetView showGridLines="0" workbookViewId="0" topLeftCell="B1">
      <selection activeCell="E20" sqref="E20"/>
    </sheetView>
  </sheetViews>
  <sheetFormatPr defaultColWidth="9.140625" defaultRowHeight="12.75"/>
  <cols>
    <col min="1" max="1" width="22.00390625" style="0" customWidth="1"/>
    <col min="2" max="2" width="35.28125" style="0" customWidth="1"/>
    <col min="3" max="3" width="34.140625" style="0" customWidth="1"/>
  </cols>
  <sheetData>
    <row r="1" spans="2:3" ht="23.25" thickBot="1">
      <c r="B1" s="226" t="s">
        <v>537</v>
      </c>
      <c r="C1" s="222"/>
    </row>
    <row r="3" ht="12.75">
      <c r="A3" s="23" t="s">
        <v>156</v>
      </c>
    </row>
    <row r="4" ht="12.75">
      <c r="A4" s="23"/>
    </row>
    <row r="5" ht="12.75">
      <c r="A5" s="26" t="s">
        <v>157</v>
      </c>
    </row>
    <row r="6" ht="12.75">
      <c r="A6" s="28" t="s">
        <v>117</v>
      </c>
    </row>
    <row r="7" ht="12.75">
      <c r="A7" s="28"/>
    </row>
    <row r="8" ht="12.75">
      <c r="A8" s="27" t="s">
        <v>158</v>
      </c>
    </row>
    <row r="9" ht="12.75">
      <c r="A9" s="28" t="s">
        <v>162</v>
      </c>
    </row>
    <row r="10" ht="12.75">
      <c r="A10" s="28" t="s">
        <v>127</v>
      </c>
    </row>
    <row r="11" ht="12.75">
      <c r="A11" s="28"/>
    </row>
    <row r="12" ht="12.75">
      <c r="A12" s="26"/>
    </row>
    <row r="13" spans="2:5" ht="12.75">
      <c r="B13" s="55" t="s">
        <v>66</v>
      </c>
      <c r="C13" s="55" t="s">
        <v>160</v>
      </c>
      <c r="E13" t="s">
        <v>252</v>
      </c>
    </row>
    <row r="14" ht="12.75">
      <c r="E14" t="s">
        <v>253</v>
      </c>
    </row>
    <row r="15" spans="1:5" ht="12.75">
      <c r="A15" s="6" t="s">
        <v>119</v>
      </c>
      <c r="B15" s="18" t="s">
        <v>167</v>
      </c>
      <c r="C15" s="18" t="s">
        <v>130</v>
      </c>
      <c r="E15" t="s">
        <v>254</v>
      </c>
    </row>
    <row r="16" spans="1:3" ht="12.75">
      <c r="A16" s="6"/>
      <c r="B16" s="18" t="s">
        <v>163</v>
      </c>
      <c r="C16" s="18" t="s">
        <v>159</v>
      </c>
    </row>
    <row r="17" spans="1:3" ht="12.75">
      <c r="A17" s="19" t="s">
        <v>14</v>
      </c>
      <c r="B17" s="292">
        <v>1</v>
      </c>
      <c r="C17" s="292">
        <v>0</v>
      </c>
    </row>
    <row r="18" spans="1:3" ht="12.75">
      <c r="A18" s="19" t="s">
        <v>42</v>
      </c>
      <c r="B18" s="292">
        <v>1</v>
      </c>
      <c r="C18" s="292">
        <v>0</v>
      </c>
    </row>
    <row r="19" spans="1:3" ht="13.5" thickBot="1">
      <c r="A19" s="19" t="s">
        <v>43</v>
      </c>
      <c r="B19" s="292">
        <v>1</v>
      </c>
      <c r="C19" s="292">
        <v>0</v>
      </c>
    </row>
    <row r="20" spans="1:7" ht="13.5" thickBot="1">
      <c r="A20" s="19" t="s">
        <v>121</v>
      </c>
      <c r="B20" s="292">
        <v>1</v>
      </c>
      <c r="C20" s="293">
        <f>0.001-0.001*E20</f>
        <v>0.001</v>
      </c>
      <c r="D20" t="s">
        <v>216</v>
      </c>
      <c r="E20" s="306">
        <f>'OPT-Decisions'!$C$35</f>
        <v>0</v>
      </c>
      <c r="F20" t="s">
        <v>255</v>
      </c>
      <c r="G20" t="s">
        <v>245</v>
      </c>
    </row>
    <row r="21" spans="1:6" ht="13.5" thickBot="1">
      <c r="A21" s="19" t="s">
        <v>45</v>
      </c>
      <c r="B21" s="292">
        <v>1</v>
      </c>
      <c r="C21" s="304">
        <f>0.001-0.001*$E$20</f>
        <v>0.001</v>
      </c>
      <c r="D21" t="s">
        <v>216</v>
      </c>
      <c r="E21" s="305">
        <f>ROUND(E20*'FC-LandUses'!$E$8,0)</f>
        <v>0</v>
      </c>
      <c r="F21" s="82" t="s">
        <v>256</v>
      </c>
    </row>
    <row r="22" spans="1:6" ht="12.75">
      <c r="A22" s="19" t="s">
        <v>120</v>
      </c>
      <c r="B22" s="292">
        <v>1</v>
      </c>
      <c r="C22" s="292">
        <v>0</v>
      </c>
      <c r="F22" t="s">
        <v>257</v>
      </c>
    </row>
    <row r="23" spans="1:3" ht="12.75">
      <c r="A23" s="19" t="s">
        <v>69</v>
      </c>
      <c r="B23" s="292">
        <v>1</v>
      </c>
      <c r="C23" s="292">
        <v>0</v>
      </c>
    </row>
    <row r="24" spans="1:3" ht="12.75">
      <c r="A24" s="19" t="s">
        <v>47</v>
      </c>
      <c r="B24" s="292">
        <v>1</v>
      </c>
      <c r="C24" s="292">
        <v>0</v>
      </c>
    </row>
    <row r="25" spans="1:3" ht="12.75">
      <c r="A25" s="19" t="s">
        <v>70</v>
      </c>
      <c r="B25" s="292">
        <v>1</v>
      </c>
      <c r="C25" s="292">
        <v>0</v>
      </c>
    </row>
    <row r="26" spans="1:3" ht="12.75">
      <c r="A26" s="19" t="s">
        <v>48</v>
      </c>
      <c r="B26" s="292">
        <v>1</v>
      </c>
      <c r="C26" s="292">
        <v>0</v>
      </c>
    </row>
    <row r="27" spans="1:3" ht="12.75">
      <c r="A27" s="19" t="s">
        <v>49</v>
      </c>
      <c r="B27" s="292">
        <v>1</v>
      </c>
      <c r="C27" s="292">
        <v>0</v>
      </c>
    </row>
    <row r="28" spans="1:3" ht="12.75">
      <c r="A28" s="19" t="s">
        <v>50</v>
      </c>
      <c r="B28" s="292">
        <v>1</v>
      </c>
      <c r="C28" s="292">
        <v>0</v>
      </c>
    </row>
    <row r="31" ht="12.75">
      <c r="B31" s="6" t="s">
        <v>164</v>
      </c>
    </row>
    <row r="32" ht="12.75">
      <c r="A32" s="6" t="s">
        <v>119</v>
      </c>
    </row>
    <row r="33" spans="1:2" ht="12.75">
      <c r="A33" s="19" t="s">
        <v>14</v>
      </c>
      <c r="B33">
        <f>+B17*31</f>
        <v>31</v>
      </c>
    </row>
    <row r="34" spans="1:2" ht="12.75">
      <c r="A34" s="19" t="s">
        <v>42</v>
      </c>
      <c r="B34">
        <f>+B18*28</f>
        <v>28</v>
      </c>
    </row>
    <row r="35" spans="1:2" ht="12.75">
      <c r="A35" s="19" t="s">
        <v>43</v>
      </c>
      <c r="B35">
        <f aca="true" t="shared" si="0" ref="B35:B44">+B19*31</f>
        <v>31</v>
      </c>
    </row>
    <row r="36" spans="1:2" ht="12.75">
      <c r="A36" s="19" t="s">
        <v>121</v>
      </c>
      <c r="B36">
        <f>+B20*30</f>
        <v>30</v>
      </c>
    </row>
    <row r="37" spans="1:2" ht="12.75">
      <c r="A37" s="19" t="s">
        <v>45</v>
      </c>
      <c r="B37">
        <f t="shared" si="0"/>
        <v>31</v>
      </c>
    </row>
    <row r="38" spans="1:2" ht="12.75">
      <c r="A38" s="19" t="s">
        <v>120</v>
      </c>
      <c r="B38">
        <f>+B22*30</f>
        <v>30</v>
      </c>
    </row>
    <row r="39" spans="1:2" ht="12.75">
      <c r="A39" s="19" t="s">
        <v>69</v>
      </c>
      <c r="B39">
        <f t="shared" si="0"/>
        <v>31</v>
      </c>
    </row>
    <row r="40" spans="1:2" ht="12.75">
      <c r="A40" s="19" t="s">
        <v>47</v>
      </c>
      <c r="B40">
        <f t="shared" si="0"/>
        <v>31</v>
      </c>
    </row>
    <row r="41" spans="1:2" ht="12.75">
      <c r="A41" s="19" t="s">
        <v>70</v>
      </c>
      <c r="B41">
        <f>+B25*30</f>
        <v>30</v>
      </c>
    </row>
    <row r="42" spans="1:2" ht="12.75">
      <c r="A42" s="19" t="s">
        <v>48</v>
      </c>
      <c r="B42">
        <f t="shared" si="0"/>
        <v>31</v>
      </c>
    </row>
    <row r="43" spans="1:2" ht="12.75">
      <c r="A43" s="19" t="s">
        <v>49</v>
      </c>
      <c r="B43">
        <f>+B27*30</f>
        <v>30</v>
      </c>
    </row>
    <row r="44" spans="1:2" ht="12.75">
      <c r="A44" s="19" t="s">
        <v>50</v>
      </c>
      <c r="B44">
        <f t="shared" si="0"/>
        <v>31</v>
      </c>
    </row>
    <row r="45" spans="1:2" ht="12.75">
      <c r="A45" s="6" t="s">
        <v>165</v>
      </c>
      <c r="B45">
        <f>SUM(B33:B44)</f>
        <v>365</v>
      </c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M84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140625" style="19" customWidth="1"/>
    <col min="2" max="2" width="20.57421875" style="19" customWidth="1"/>
    <col min="3" max="3" width="19.28125" style="19" customWidth="1"/>
    <col min="4" max="4" width="14.00390625" style="19" customWidth="1"/>
    <col min="5" max="5" width="19.00390625" style="19" customWidth="1"/>
    <col min="6" max="6" width="13.421875" style="19" customWidth="1"/>
    <col min="7" max="13" width="9.140625" style="19" customWidth="1"/>
  </cols>
  <sheetData>
    <row r="1" spans="1:5" s="196" customFormat="1" ht="23.25" thickBot="1">
      <c r="A1" s="226" t="s">
        <v>535</v>
      </c>
      <c r="B1" s="226"/>
      <c r="C1" s="226"/>
      <c r="D1" s="226"/>
      <c r="E1" s="226"/>
    </row>
    <row r="3" spans="1:13" ht="12.75">
      <c r="A3" s="59" t="s">
        <v>136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60" t="s">
        <v>134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6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60" t="s">
        <v>161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6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ht="12.75">
      <c r="A8" s="26" t="s">
        <v>145</v>
      </c>
    </row>
    <row r="10" spans="1:3" ht="12.75">
      <c r="A10" s="45" t="s">
        <v>143</v>
      </c>
      <c r="B10" s="44">
        <f>+'FC-LandUses'!D55</f>
        <v>46.032048</v>
      </c>
      <c r="C10" s="45" t="s">
        <v>144</v>
      </c>
    </row>
    <row r="11" spans="1:6" ht="12.75">
      <c r="A11" s="43" t="s">
        <v>146</v>
      </c>
      <c r="B11" s="43"/>
      <c r="C11" s="43"/>
      <c r="E11" s="19">
        <v>62.4</v>
      </c>
      <c r="F11" s="46" t="s">
        <v>147</v>
      </c>
    </row>
    <row r="14" spans="1:3" ht="12.75">
      <c r="A14" s="7" t="s">
        <v>137</v>
      </c>
      <c r="B14" s="29"/>
      <c r="C14" s="42"/>
    </row>
    <row r="15" spans="4:6" ht="12.75">
      <c r="D15" s="15"/>
      <c r="E15" s="30"/>
      <c r="F15" s="47"/>
    </row>
    <row r="16" spans="2:5" ht="12.75">
      <c r="B16" s="33"/>
      <c r="C16" s="36"/>
      <c r="D16" s="38" t="s">
        <v>81</v>
      </c>
      <c r="E16" s="38" t="s">
        <v>135</v>
      </c>
    </row>
    <row r="17" spans="1:5" ht="12.75">
      <c r="A17" s="20" t="s">
        <v>14</v>
      </c>
      <c r="B17" s="34" t="s">
        <v>132</v>
      </c>
      <c r="C17" s="35" t="s">
        <v>133</v>
      </c>
      <c r="D17" s="38" t="s">
        <v>82</v>
      </c>
      <c r="E17" s="38" t="s">
        <v>83</v>
      </c>
    </row>
    <row r="18" spans="1:5" ht="12.75">
      <c r="A18" s="19" t="s">
        <v>5</v>
      </c>
      <c r="B18" s="49">
        <f>+'FC-Pastureland'!U18</f>
        <v>220</v>
      </c>
      <c r="C18" s="48">
        <f>+B18*'FC-Cattle Farming'!$C$17</f>
        <v>0</v>
      </c>
      <c r="D18" s="39">
        <f>C18*'FC-LandUses'!$F$55*(1/24)</f>
        <v>0</v>
      </c>
      <c r="E18" s="39">
        <f>+C18*$B$10*(1/(24*60*60))*(1/($E$11))</f>
        <v>0</v>
      </c>
    </row>
    <row r="21" spans="2:5" ht="12.75">
      <c r="B21" s="15"/>
      <c r="C21" s="15"/>
      <c r="D21" s="30"/>
      <c r="E21" s="31"/>
    </row>
    <row r="22" spans="2:5" ht="12.75">
      <c r="B22" s="33"/>
      <c r="C22" s="36"/>
      <c r="D22" s="38" t="s">
        <v>81</v>
      </c>
      <c r="E22" s="38" t="s">
        <v>135</v>
      </c>
    </row>
    <row r="23" spans="1:5" ht="12.75">
      <c r="A23" s="20" t="s">
        <v>42</v>
      </c>
      <c r="B23" s="34" t="s">
        <v>132</v>
      </c>
      <c r="C23" s="35" t="s">
        <v>133</v>
      </c>
      <c r="D23" s="38" t="s">
        <v>82</v>
      </c>
      <c r="E23" s="38" t="s">
        <v>83</v>
      </c>
    </row>
    <row r="24" spans="1:5" ht="12.75">
      <c r="A24" s="19" t="s">
        <v>5</v>
      </c>
      <c r="B24" s="49">
        <f>+'FC-Pastureland'!U23</f>
        <v>220</v>
      </c>
      <c r="C24" s="48">
        <f>+B24*'FC-Cattle Farming'!$C$18</f>
        <v>0</v>
      </c>
      <c r="D24" s="39">
        <f>C24*'FC-LandUses'!$F$55*(1/24)</f>
        <v>0</v>
      </c>
      <c r="E24" s="39">
        <f>+C24*$B$10*(1/(24*60*60))*(1/($E$11))</f>
        <v>0</v>
      </c>
    </row>
    <row r="27" spans="2:5" ht="12.75">
      <c r="B27" s="15"/>
      <c r="C27" s="15"/>
      <c r="D27" s="30"/>
      <c r="E27" s="31"/>
    </row>
    <row r="28" spans="2:5" ht="12.75">
      <c r="B28" s="33"/>
      <c r="C28" s="36"/>
      <c r="D28" s="38" t="s">
        <v>81</v>
      </c>
      <c r="E28" s="38" t="s">
        <v>135</v>
      </c>
    </row>
    <row r="29" spans="1:5" ht="12.75">
      <c r="A29" s="20" t="s">
        <v>43</v>
      </c>
      <c r="B29" s="34" t="s">
        <v>132</v>
      </c>
      <c r="C29" s="35" t="s">
        <v>133</v>
      </c>
      <c r="D29" s="38" t="s">
        <v>82</v>
      </c>
      <c r="E29" s="38" t="s">
        <v>83</v>
      </c>
    </row>
    <row r="30" spans="1:5" ht="12.75">
      <c r="A30" s="19" t="s">
        <v>5</v>
      </c>
      <c r="B30" s="49">
        <f>+'FC-Pastureland'!U29</f>
        <v>220</v>
      </c>
      <c r="C30" s="48">
        <f>+B30*'FC-Cattle Farming'!$C$19</f>
        <v>0</v>
      </c>
      <c r="D30" s="39">
        <f>C30*'FC-LandUses'!$F$55*(1/24)</f>
        <v>0</v>
      </c>
      <c r="E30" s="39">
        <f>+C30*$B$10*(1/(24*60*60))*(1/($E$11))</f>
        <v>0</v>
      </c>
    </row>
    <row r="33" spans="2:5" ht="12.75">
      <c r="B33" s="15"/>
      <c r="C33" s="15"/>
      <c r="D33" s="30"/>
      <c r="E33" s="31"/>
    </row>
    <row r="34" spans="2:5" ht="12.75">
      <c r="B34" s="33"/>
      <c r="C34" s="36"/>
      <c r="D34" s="38" t="s">
        <v>81</v>
      </c>
      <c r="E34" s="38" t="s">
        <v>135</v>
      </c>
    </row>
    <row r="35" spans="1:5" ht="12.75">
      <c r="A35" s="20" t="s">
        <v>44</v>
      </c>
      <c r="B35" s="34" t="s">
        <v>132</v>
      </c>
      <c r="C35" s="35" t="s">
        <v>133</v>
      </c>
      <c r="D35" s="38" t="s">
        <v>82</v>
      </c>
      <c r="E35" s="38" t="s">
        <v>83</v>
      </c>
    </row>
    <row r="36" spans="1:5" ht="12.75">
      <c r="A36" s="19" t="s">
        <v>5</v>
      </c>
      <c r="B36" s="49">
        <f>+'FC-Pastureland'!U35</f>
        <v>220</v>
      </c>
      <c r="C36" s="48">
        <f>+B36*'FC-Cattle Farming'!$C$20</f>
        <v>0.22</v>
      </c>
      <c r="D36" s="39">
        <f>C36*'FC-LandUses'!$F$55*(1/24)</f>
        <v>1046833333.3333333</v>
      </c>
      <c r="E36" s="39">
        <f>+C36*$B$10*(1/(24*60*60))*(1/($E$11))</f>
        <v>1.8783851495726499E-06</v>
      </c>
    </row>
    <row r="39" spans="2:5" ht="12.75">
      <c r="B39" s="15"/>
      <c r="C39" s="15"/>
      <c r="D39" s="30"/>
      <c r="E39" s="31"/>
    </row>
    <row r="40" spans="2:5" ht="12.75">
      <c r="B40" s="33"/>
      <c r="C40" s="36"/>
      <c r="D40" s="38" t="s">
        <v>81</v>
      </c>
      <c r="E40" s="38" t="s">
        <v>135</v>
      </c>
    </row>
    <row r="41" spans="1:5" ht="12.75">
      <c r="A41" s="20" t="s">
        <v>45</v>
      </c>
      <c r="B41" s="34" t="s">
        <v>132</v>
      </c>
      <c r="C41" s="35" t="s">
        <v>133</v>
      </c>
      <c r="D41" s="38" t="s">
        <v>82</v>
      </c>
      <c r="E41" s="38" t="s">
        <v>83</v>
      </c>
    </row>
    <row r="42" spans="1:5" ht="12.75">
      <c r="A42" s="19" t="s">
        <v>5</v>
      </c>
      <c r="B42" s="49">
        <f>+'FC-Pastureland'!U41</f>
        <v>220</v>
      </c>
      <c r="C42" s="48">
        <f>+B42*'FC-Cattle Farming'!$C$21</f>
        <v>0.22</v>
      </c>
      <c r="D42" s="39">
        <f>C42*'FC-LandUses'!$F$55*(1/24)</f>
        <v>1046833333.3333333</v>
      </c>
      <c r="E42" s="39">
        <f>+C42*$B$10*(1/(24*60*60))*(1/($E$11))</f>
        <v>1.8783851495726499E-06</v>
      </c>
    </row>
    <row r="45" spans="2:5" ht="12.75">
      <c r="B45" s="15"/>
      <c r="C45" s="15"/>
      <c r="D45" s="30"/>
      <c r="E45" s="31"/>
    </row>
    <row r="46" spans="2:5" ht="12.75">
      <c r="B46" s="33"/>
      <c r="C46" s="36"/>
      <c r="D46" s="38" t="s">
        <v>81</v>
      </c>
      <c r="E46" s="38" t="s">
        <v>135</v>
      </c>
    </row>
    <row r="47" spans="1:5" ht="12.75">
      <c r="A47" s="20" t="s">
        <v>46</v>
      </c>
      <c r="B47" s="34" t="s">
        <v>132</v>
      </c>
      <c r="C47" s="35" t="s">
        <v>133</v>
      </c>
      <c r="D47" s="38" t="s">
        <v>82</v>
      </c>
      <c r="E47" s="38" t="s">
        <v>83</v>
      </c>
    </row>
    <row r="48" spans="1:5" ht="12.75">
      <c r="A48" s="19" t="s">
        <v>5</v>
      </c>
      <c r="B48" s="49">
        <f>+'FC-Pastureland'!U47</f>
        <v>220</v>
      </c>
      <c r="C48" s="48">
        <f>+B48*'FC-Cattle Farming'!$C$22</f>
        <v>0</v>
      </c>
      <c r="D48" s="39">
        <f>C48*'FC-LandUses'!$F$55*(1/24)</f>
        <v>0</v>
      </c>
      <c r="E48" s="39">
        <f>+C48*$B$10*(1/(24*60*60))*(1/($E$11))</f>
        <v>0</v>
      </c>
    </row>
    <row r="51" spans="2:5" ht="12.75">
      <c r="B51" s="15"/>
      <c r="C51" s="15"/>
      <c r="D51" s="30"/>
      <c r="E51" s="31"/>
    </row>
    <row r="52" spans="2:5" ht="12.75">
      <c r="B52" s="33"/>
      <c r="C52" s="36"/>
      <c r="D52" s="38" t="s">
        <v>81</v>
      </c>
      <c r="E52" s="38" t="s">
        <v>135</v>
      </c>
    </row>
    <row r="53" spans="1:5" ht="12.75">
      <c r="A53" s="20" t="s">
        <v>69</v>
      </c>
      <c r="B53" s="34" t="s">
        <v>132</v>
      </c>
      <c r="C53" s="35" t="s">
        <v>133</v>
      </c>
      <c r="D53" s="38" t="s">
        <v>82</v>
      </c>
      <c r="E53" s="38" t="s">
        <v>83</v>
      </c>
    </row>
    <row r="54" spans="1:5" ht="12.75">
      <c r="A54" s="19" t="s">
        <v>5</v>
      </c>
      <c r="B54" s="49">
        <f>+'FC-Pastureland'!U53</f>
        <v>220</v>
      </c>
      <c r="C54" s="48">
        <f>+B54*'FC-Cattle Farming'!$C$23</f>
        <v>0</v>
      </c>
      <c r="D54" s="39">
        <f>C54*'FC-LandUses'!$F$55*(1/24)</f>
        <v>0</v>
      </c>
      <c r="E54" s="39">
        <f>+C54*$B$10*(1/(24*60*60))*(1/($E$11))</f>
        <v>0</v>
      </c>
    </row>
    <row r="57" spans="2:5" ht="12.75">
      <c r="B57" s="15"/>
      <c r="C57" s="15"/>
      <c r="D57" s="30"/>
      <c r="E57" s="31"/>
    </row>
    <row r="58" spans="2:5" ht="12.75">
      <c r="B58" s="33"/>
      <c r="C58" s="36"/>
      <c r="D58" s="38" t="s">
        <v>81</v>
      </c>
      <c r="E58" s="38" t="s">
        <v>135</v>
      </c>
    </row>
    <row r="59" spans="1:5" ht="12.75">
      <c r="A59" s="20" t="s">
        <v>47</v>
      </c>
      <c r="B59" s="34" t="s">
        <v>132</v>
      </c>
      <c r="C59" s="35" t="s">
        <v>133</v>
      </c>
      <c r="D59" s="38" t="s">
        <v>82</v>
      </c>
      <c r="E59" s="38" t="s">
        <v>83</v>
      </c>
    </row>
    <row r="60" spans="1:5" ht="12.75">
      <c r="A60" s="19" t="s">
        <v>5</v>
      </c>
      <c r="B60" s="49">
        <f>+'FC-Pastureland'!U59</f>
        <v>220</v>
      </c>
      <c r="C60" s="48">
        <f>+B60*'FC-Cattle Farming'!$C$24</f>
        <v>0</v>
      </c>
      <c r="D60" s="39">
        <f>C60*'FC-LandUses'!$F$55*(1/24)</f>
        <v>0</v>
      </c>
      <c r="E60" s="39">
        <f>+C60*$B$10*(1/(24*60*60))*(1/($E$11))</f>
        <v>0</v>
      </c>
    </row>
    <row r="63" spans="2:5" ht="12.75">
      <c r="B63" s="15"/>
      <c r="C63" s="15"/>
      <c r="D63" s="30"/>
      <c r="E63" s="31"/>
    </row>
    <row r="64" spans="2:5" ht="12.75">
      <c r="B64" s="33"/>
      <c r="C64" s="36"/>
      <c r="D64" s="38" t="s">
        <v>81</v>
      </c>
      <c r="E64" s="38" t="s">
        <v>135</v>
      </c>
    </row>
    <row r="65" spans="1:5" ht="12.75">
      <c r="A65" s="20" t="s">
        <v>70</v>
      </c>
      <c r="B65" s="34" t="s">
        <v>132</v>
      </c>
      <c r="C65" s="35" t="s">
        <v>133</v>
      </c>
      <c r="D65" s="38" t="s">
        <v>82</v>
      </c>
      <c r="E65" s="38" t="s">
        <v>83</v>
      </c>
    </row>
    <row r="66" spans="1:5" ht="12.75">
      <c r="A66" s="19" t="s">
        <v>5</v>
      </c>
      <c r="B66" s="49">
        <f>+'FC-Pastureland'!U65</f>
        <v>220</v>
      </c>
      <c r="C66" s="48">
        <f>+B66*'FC-Cattle Farming'!$C$25</f>
        <v>0</v>
      </c>
      <c r="D66" s="39">
        <f>C66*'FC-LandUses'!$F$55*(1/24)</f>
        <v>0</v>
      </c>
      <c r="E66" s="39">
        <f>+C66*$B$10*(1/(24*60*60))*(1/($E$11))</f>
        <v>0</v>
      </c>
    </row>
    <row r="69" spans="2:5" ht="12.75">
      <c r="B69" s="15"/>
      <c r="C69" s="15"/>
      <c r="D69" s="30"/>
      <c r="E69" s="31"/>
    </row>
    <row r="70" spans="2:5" ht="12.75">
      <c r="B70" s="33"/>
      <c r="C70" s="36"/>
      <c r="D70" s="38" t="s">
        <v>81</v>
      </c>
      <c r="E70" s="38" t="s">
        <v>135</v>
      </c>
    </row>
    <row r="71" spans="1:5" ht="12.75">
      <c r="A71" s="20" t="s">
        <v>48</v>
      </c>
      <c r="B71" s="34" t="s">
        <v>132</v>
      </c>
      <c r="C71" s="35" t="s">
        <v>133</v>
      </c>
      <c r="D71" s="38" t="s">
        <v>82</v>
      </c>
      <c r="E71" s="38" t="s">
        <v>83</v>
      </c>
    </row>
    <row r="72" spans="1:5" ht="12.75">
      <c r="A72" s="19" t="s">
        <v>5</v>
      </c>
      <c r="B72" s="49">
        <f>+'FC-Pastureland'!U71</f>
        <v>220</v>
      </c>
      <c r="C72" s="48">
        <f>+B72*'FC-Cattle Farming'!$C$26</f>
        <v>0</v>
      </c>
      <c r="D72" s="39">
        <f>C72*'FC-LandUses'!$F$55*(1/24)</f>
        <v>0</v>
      </c>
      <c r="E72" s="39">
        <f>+C72*$B$10*(1/(24*60*60))*(1/($E$11))</f>
        <v>0</v>
      </c>
    </row>
    <row r="75" spans="2:5" ht="12.75">
      <c r="B75" s="15"/>
      <c r="C75" s="15"/>
      <c r="D75" s="30"/>
      <c r="E75" s="31"/>
    </row>
    <row r="76" spans="2:5" ht="12.75">
      <c r="B76" s="33"/>
      <c r="C76" s="36"/>
      <c r="D76" s="38" t="s">
        <v>81</v>
      </c>
      <c r="E76" s="38" t="s">
        <v>135</v>
      </c>
    </row>
    <row r="77" spans="1:5" ht="12.75">
      <c r="A77" s="20" t="s">
        <v>49</v>
      </c>
      <c r="B77" s="34" t="s">
        <v>132</v>
      </c>
      <c r="C77" s="35" t="s">
        <v>133</v>
      </c>
      <c r="D77" s="38" t="s">
        <v>82</v>
      </c>
      <c r="E77" s="38" t="s">
        <v>83</v>
      </c>
    </row>
    <row r="78" spans="1:5" ht="12.75">
      <c r="A78" s="19" t="s">
        <v>5</v>
      </c>
      <c r="B78" s="49">
        <f>+'FC-Pastureland'!U77</f>
        <v>220</v>
      </c>
      <c r="C78" s="48">
        <f>+B78*'FC-Cattle Farming'!$C$27</f>
        <v>0</v>
      </c>
      <c r="D78" s="39">
        <f>C78*'FC-LandUses'!$F$55*(1/24)</f>
        <v>0</v>
      </c>
      <c r="E78" s="39">
        <f>+C78*$B$10*(1/(24*60*60))*(1/($E$11))</f>
        <v>0</v>
      </c>
    </row>
    <row r="81" spans="2:5" ht="12.75">
      <c r="B81" s="15"/>
      <c r="C81" s="15"/>
      <c r="D81" s="30"/>
      <c r="E81" s="31"/>
    </row>
    <row r="82" spans="2:5" ht="12.75">
      <c r="B82" s="33"/>
      <c r="C82" s="36"/>
      <c r="D82" s="38" t="s">
        <v>81</v>
      </c>
      <c r="E82" s="38" t="s">
        <v>135</v>
      </c>
    </row>
    <row r="83" spans="1:5" ht="12.75">
      <c r="A83" s="20" t="s">
        <v>50</v>
      </c>
      <c r="B83" s="34" t="s">
        <v>132</v>
      </c>
      <c r="C83" s="35" t="s">
        <v>133</v>
      </c>
      <c r="D83" s="38" t="s">
        <v>82</v>
      </c>
      <c r="E83" s="38" t="s">
        <v>83</v>
      </c>
    </row>
    <row r="84" spans="1:5" ht="12.75">
      <c r="A84" s="19" t="s">
        <v>5</v>
      </c>
      <c r="B84" s="49">
        <f>+'FC-Pastureland'!U83</f>
        <v>220</v>
      </c>
      <c r="C84" s="48">
        <f>+B84*'FC-Cattle Farming'!$C$28</f>
        <v>0</v>
      </c>
      <c r="D84" s="39">
        <f>C84*'FC-LandUses'!$F$55*(1/24)</f>
        <v>0</v>
      </c>
      <c r="E84" s="39">
        <f>+C84*$B$10*(1/(24*60*60))*(1/($E$11))</f>
        <v>0</v>
      </c>
    </row>
  </sheetData>
  <printOptions/>
  <pageMargins left="0.25" right="0.2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25.7109375" style="0" customWidth="1"/>
    <col min="2" max="8" width="7.7109375" style="0" customWidth="1"/>
  </cols>
  <sheetData>
    <row r="1" spans="1:8" s="303" customFormat="1" ht="23.25" thickBot="1">
      <c r="A1" s="226" t="s">
        <v>536</v>
      </c>
      <c r="B1" s="226"/>
      <c r="C1" s="226"/>
      <c r="D1" s="226"/>
      <c r="E1" s="226"/>
      <c r="F1" s="226"/>
      <c r="G1" s="226"/>
      <c r="H1" s="226"/>
    </row>
    <row r="3" spans="1:14" ht="12.75">
      <c r="A3" s="59" t="s">
        <v>104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60" t="s">
        <v>109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60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0" t="s">
        <v>118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61" t="s">
        <v>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6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60" t="s">
        <v>106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63" t="s">
        <v>14</v>
      </c>
      <c r="C11" s="63" t="s">
        <v>42</v>
      </c>
      <c r="D11" s="63" t="s">
        <v>43</v>
      </c>
      <c r="E11" s="63" t="s">
        <v>44</v>
      </c>
      <c r="F11" s="63" t="s">
        <v>45</v>
      </c>
      <c r="G11" s="63" t="s">
        <v>46</v>
      </c>
      <c r="H11" s="63" t="s">
        <v>69</v>
      </c>
      <c r="I11" s="63" t="s">
        <v>47</v>
      </c>
      <c r="J11" s="63" t="s">
        <v>70</v>
      </c>
      <c r="K11" s="63" t="s">
        <v>48</v>
      </c>
      <c r="L11" s="63" t="s">
        <v>49</v>
      </c>
      <c r="M11" s="63" t="s">
        <v>50</v>
      </c>
      <c r="N11" s="1"/>
    </row>
    <row r="12" spans="1:14" s="166" customFormat="1" ht="12.75">
      <c r="A12" s="164" t="s">
        <v>75</v>
      </c>
      <c r="B12" s="165">
        <f>'OPT-Decisions'!$C$7</f>
        <v>0.02</v>
      </c>
      <c r="C12" s="165">
        <f>'OPT-Decisions'!$C$8</f>
        <v>0.02</v>
      </c>
      <c r="D12" s="165">
        <f>'OPT-Decisions'!$C$9</f>
        <v>0.02</v>
      </c>
      <c r="E12" s="165">
        <f>'OPT-Decisions'!$C$10</f>
        <v>0.02</v>
      </c>
      <c r="F12" s="165">
        <f>'OPT-Decisions'!$C$11</f>
        <v>0.02</v>
      </c>
      <c r="G12" s="165">
        <f>'OPT-Decisions'!$C$12</f>
        <v>0.02</v>
      </c>
      <c r="H12" s="165">
        <f>'OPT-Decisions'!$C$13</f>
        <v>0.27</v>
      </c>
      <c r="I12" s="165">
        <f>'OPT-Decisions'!$C$14</f>
        <v>0.27</v>
      </c>
      <c r="J12" s="165">
        <f>'OPT-Decisions'!$C$15</f>
        <v>0.28</v>
      </c>
      <c r="K12" s="165">
        <f>'OPT-Decisions'!$C$16</f>
        <v>0.02</v>
      </c>
      <c r="L12" s="165">
        <f>'OPT-Decisions'!$C$17</f>
        <v>0.02</v>
      </c>
      <c r="M12" s="165">
        <f>'OPT-Decisions'!$C$18</f>
        <v>0.02</v>
      </c>
      <c r="N12" s="164">
        <f>SUM(B12:M12)</f>
        <v>1</v>
      </c>
    </row>
    <row r="13" spans="1:14" ht="12.75">
      <c r="A13" s="60" t="s">
        <v>173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66" customFormat="1" ht="21">
      <c r="A14" s="168" t="s">
        <v>74</v>
      </c>
      <c r="B14" s="164">
        <f>(1-G14)+(G14*0.5)</f>
        <v>0.625</v>
      </c>
      <c r="C14" s="164"/>
      <c r="D14" s="164"/>
      <c r="E14" s="164" t="s">
        <v>225</v>
      </c>
      <c r="F14" s="164"/>
      <c r="G14" s="169">
        <f>'OPT-Decisions'!$C$32</f>
        <v>0.75</v>
      </c>
      <c r="H14" s="164"/>
      <c r="I14" s="164"/>
      <c r="J14" s="164"/>
      <c r="K14" s="164"/>
      <c r="L14" s="164"/>
      <c r="M14" s="164"/>
      <c r="N14" s="164"/>
    </row>
    <row r="15" spans="1:14" ht="12.75">
      <c r="A15" s="60" t="s">
        <v>107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58" t="s">
        <v>68</v>
      </c>
      <c r="B16" s="63" t="s">
        <v>14</v>
      </c>
      <c r="C16" s="63" t="s">
        <v>42</v>
      </c>
      <c r="D16" s="63" t="s">
        <v>43</v>
      </c>
      <c r="E16" s="63" t="s">
        <v>44</v>
      </c>
      <c r="F16" s="63" t="s">
        <v>45</v>
      </c>
      <c r="G16" s="63" t="s">
        <v>46</v>
      </c>
      <c r="H16" s="63" t="s">
        <v>69</v>
      </c>
      <c r="I16" s="63" t="s">
        <v>47</v>
      </c>
      <c r="J16" s="63" t="s">
        <v>70</v>
      </c>
      <c r="K16" s="63" t="s">
        <v>48</v>
      </c>
      <c r="L16" s="63" t="s">
        <v>49</v>
      </c>
      <c r="M16" s="63" t="s">
        <v>50</v>
      </c>
      <c r="N16" s="1"/>
    </row>
    <row r="17" spans="1:14" s="6" customFormat="1" ht="12.75">
      <c r="A17" s="2" t="s">
        <v>5</v>
      </c>
      <c r="B17" s="2">
        <f aca="true" t="shared" si="0" ref="B17:M17">B$12*$B$14</f>
        <v>0.0125</v>
      </c>
      <c r="C17" s="2">
        <f t="shared" si="0"/>
        <v>0.0125</v>
      </c>
      <c r="D17" s="2">
        <f t="shared" si="0"/>
        <v>0.0125</v>
      </c>
      <c r="E17" s="2">
        <f t="shared" si="0"/>
        <v>0.0125</v>
      </c>
      <c r="F17" s="2">
        <f t="shared" si="0"/>
        <v>0.0125</v>
      </c>
      <c r="G17" s="2">
        <f t="shared" si="0"/>
        <v>0.0125</v>
      </c>
      <c r="H17" s="2">
        <f t="shared" si="0"/>
        <v>0.16875</v>
      </c>
      <c r="I17" s="2">
        <f t="shared" si="0"/>
        <v>0.16875</v>
      </c>
      <c r="J17" s="2">
        <f t="shared" si="0"/>
        <v>0.17500000000000002</v>
      </c>
      <c r="K17" s="2">
        <f t="shared" si="0"/>
        <v>0.0125</v>
      </c>
      <c r="L17" s="2">
        <f t="shared" si="0"/>
        <v>0.0125</v>
      </c>
      <c r="M17" s="2">
        <f t="shared" si="0"/>
        <v>0.0125</v>
      </c>
      <c r="N17" s="2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61" t="s">
        <v>76</v>
      </c>
      <c r="B20" s="1"/>
      <c r="C20" s="1" t="s">
        <v>210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6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60" t="s">
        <v>106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60"/>
      <c r="B23" s="63" t="s">
        <v>14</v>
      </c>
      <c r="C23" s="63" t="s">
        <v>42</v>
      </c>
      <c r="D23" s="63" t="s">
        <v>43</v>
      </c>
      <c r="E23" s="63" t="s">
        <v>44</v>
      </c>
      <c r="F23" s="63" t="s">
        <v>45</v>
      </c>
      <c r="G23" s="63" t="s">
        <v>46</v>
      </c>
      <c r="H23" s="63" t="s">
        <v>69</v>
      </c>
      <c r="I23" s="63" t="s">
        <v>47</v>
      </c>
      <c r="J23" s="63" t="s">
        <v>70</v>
      </c>
      <c r="K23" s="63" t="s">
        <v>48</v>
      </c>
      <c r="L23" s="63" t="s">
        <v>49</v>
      </c>
      <c r="M23" s="63" t="s">
        <v>50</v>
      </c>
      <c r="N23" s="1"/>
    </row>
    <row r="24" spans="1:14" s="166" customFormat="1" ht="12.75">
      <c r="A24" s="164" t="s">
        <v>75</v>
      </c>
      <c r="B24" s="167">
        <f>'OPT-Decisions'!$C$19</f>
        <v>0</v>
      </c>
      <c r="C24" s="167">
        <f>'OPT-Decisions'!$C$20</f>
        <v>0</v>
      </c>
      <c r="D24" s="167">
        <f>'OPT-Decisions'!$C$21</f>
        <v>0</v>
      </c>
      <c r="E24" s="167">
        <f>'OPT-Decisions'!$C$22</f>
        <v>0.22</v>
      </c>
      <c r="F24" s="167">
        <f>'OPT-Decisions'!$C$23</f>
        <v>0.22</v>
      </c>
      <c r="G24" s="167">
        <f>'OPT-Decisions'!$C$24</f>
        <v>0.23</v>
      </c>
      <c r="H24" s="167">
        <f>'OPT-Decisions'!$C$25</f>
        <v>0.08</v>
      </c>
      <c r="I24" s="167">
        <f>'OPT-Decisions'!$C$26</f>
        <v>0.08</v>
      </c>
      <c r="J24" s="167">
        <f>'OPT-Decisions'!$C$27</f>
        <v>0.08</v>
      </c>
      <c r="K24" s="167">
        <f>'OPT-Decisions'!$C$28</f>
        <v>0.09</v>
      </c>
      <c r="L24" s="167">
        <f>'OPT-Decisions'!$C$29</f>
        <v>0</v>
      </c>
      <c r="M24" s="167">
        <f>'OPT-Decisions'!$C$30</f>
        <v>0</v>
      </c>
      <c r="N24" s="164">
        <f>SUM(B24:M24)</f>
        <v>0.9999999999999999</v>
      </c>
    </row>
    <row r="25" spans="1:14" ht="12.75">
      <c r="A25" s="60" t="s">
        <v>174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66" customFormat="1" ht="21">
      <c r="A26" s="168" t="s">
        <v>74</v>
      </c>
      <c r="B26" s="164">
        <f>(1-G26)+(G26*0.5)</f>
        <v>0.625</v>
      </c>
      <c r="C26" s="164"/>
      <c r="D26" s="164"/>
      <c r="E26" s="164" t="s">
        <v>225</v>
      </c>
      <c r="F26" s="164"/>
      <c r="G26" s="169">
        <f>'OPT-Decisions'!$C$31</f>
        <v>0.75</v>
      </c>
      <c r="H26" s="164"/>
      <c r="I26" s="164"/>
      <c r="J26" s="164"/>
      <c r="K26" s="164"/>
      <c r="L26" s="164"/>
      <c r="M26" s="164"/>
      <c r="N26" s="164"/>
    </row>
    <row r="27" spans="1:14" ht="12.75">
      <c r="A27" s="60" t="s">
        <v>107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58" t="s">
        <v>68</v>
      </c>
      <c r="B28" s="63" t="s">
        <v>14</v>
      </c>
      <c r="C28" s="63" t="s">
        <v>42</v>
      </c>
      <c r="D28" s="63" t="s">
        <v>43</v>
      </c>
      <c r="E28" s="63" t="s">
        <v>44</v>
      </c>
      <c r="F28" s="63" t="s">
        <v>45</v>
      </c>
      <c r="G28" s="63" t="s">
        <v>46</v>
      </c>
      <c r="H28" s="63" t="s">
        <v>69</v>
      </c>
      <c r="I28" s="63" t="s">
        <v>47</v>
      </c>
      <c r="J28" s="63" t="s">
        <v>70</v>
      </c>
      <c r="K28" s="63" t="s">
        <v>48</v>
      </c>
      <c r="L28" s="63" t="s">
        <v>49</v>
      </c>
      <c r="M28" s="63" t="s">
        <v>50</v>
      </c>
      <c r="N28" s="1"/>
    </row>
    <row r="29" spans="1:14" ht="12.75">
      <c r="A29" s="1" t="s">
        <v>5</v>
      </c>
      <c r="B29" s="1">
        <f aca="true" t="shared" si="1" ref="B29:M29">B$24*$B$26</f>
        <v>0</v>
      </c>
      <c r="C29" s="1">
        <f t="shared" si="1"/>
        <v>0</v>
      </c>
      <c r="D29" s="1">
        <f t="shared" si="1"/>
        <v>0</v>
      </c>
      <c r="E29" s="1">
        <f t="shared" si="1"/>
        <v>0.1375</v>
      </c>
      <c r="F29" s="1">
        <f t="shared" si="1"/>
        <v>0.1375</v>
      </c>
      <c r="G29" s="1">
        <f t="shared" si="1"/>
        <v>0.14375000000000002</v>
      </c>
      <c r="H29" s="1">
        <f t="shared" si="1"/>
        <v>0.05</v>
      </c>
      <c r="I29" s="1">
        <f t="shared" si="1"/>
        <v>0.05</v>
      </c>
      <c r="J29" s="1">
        <f t="shared" si="1"/>
        <v>0.05</v>
      </c>
      <c r="K29" s="1">
        <f t="shared" si="1"/>
        <v>0.056249999999999994</v>
      </c>
      <c r="L29" s="1">
        <f t="shared" si="1"/>
        <v>0</v>
      </c>
      <c r="M29" s="1">
        <f t="shared" si="1"/>
        <v>0</v>
      </c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61" t="s">
        <v>221</v>
      </c>
      <c r="B32" s="1"/>
      <c r="C32" s="1" t="s">
        <v>209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6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60" t="s">
        <v>106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60"/>
      <c r="B35" s="63" t="s">
        <v>14</v>
      </c>
      <c r="C35" s="63" t="s">
        <v>42</v>
      </c>
      <c r="D35" s="63" t="s">
        <v>43</v>
      </c>
      <c r="E35" s="63" t="s">
        <v>44</v>
      </c>
      <c r="F35" s="63" t="s">
        <v>45</v>
      </c>
      <c r="G35" s="63" t="s">
        <v>46</v>
      </c>
      <c r="H35" s="63" t="s">
        <v>69</v>
      </c>
      <c r="I35" s="63" t="s">
        <v>47</v>
      </c>
      <c r="J35" s="63" t="s">
        <v>70</v>
      </c>
      <c r="K35" s="63" t="s">
        <v>48</v>
      </c>
      <c r="L35" s="63" t="s">
        <v>49</v>
      </c>
      <c r="M35" s="63" t="s">
        <v>50</v>
      </c>
      <c r="N35" s="1"/>
    </row>
    <row r="36" spans="1:14" s="166" customFormat="1" ht="12.75">
      <c r="A36" s="164" t="s">
        <v>75</v>
      </c>
      <c r="B36" s="164">
        <v>0.08333</v>
      </c>
      <c r="C36" s="164">
        <v>0.08333</v>
      </c>
      <c r="D36" s="164">
        <v>0.08333</v>
      </c>
      <c r="E36" s="164">
        <v>0.08333</v>
      </c>
      <c r="F36" s="164">
        <v>0.08333</v>
      </c>
      <c r="G36" s="164">
        <v>0.08333</v>
      </c>
      <c r="H36" s="164">
        <v>0.08333</v>
      </c>
      <c r="I36" s="164">
        <v>0.08333</v>
      </c>
      <c r="J36" s="164">
        <v>0.08333</v>
      </c>
      <c r="K36" s="164">
        <v>0.08333</v>
      </c>
      <c r="L36" s="164">
        <v>0.08333</v>
      </c>
      <c r="M36" s="164">
        <v>0.08333</v>
      </c>
      <c r="N36" s="164">
        <f>SUM(B36:M36)</f>
        <v>0.9999600000000001</v>
      </c>
    </row>
    <row r="37" spans="1:14" ht="12.75">
      <c r="A37" s="60" t="s">
        <v>175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66" customFormat="1" ht="21">
      <c r="A38" s="168" t="s">
        <v>71</v>
      </c>
      <c r="B38" s="164">
        <f>(1-0)+(0*0.5)</f>
        <v>1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</row>
    <row r="39" spans="1:14" ht="12.75">
      <c r="A39" s="60" t="s">
        <v>107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58" t="s">
        <v>68</v>
      </c>
      <c r="B40" s="63" t="s">
        <v>14</v>
      </c>
      <c r="C40" s="63" t="s">
        <v>42</v>
      </c>
      <c r="D40" s="63" t="s">
        <v>43</v>
      </c>
      <c r="E40" s="63" t="s">
        <v>44</v>
      </c>
      <c r="F40" s="63" t="s">
        <v>45</v>
      </c>
      <c r="G40" s="63" t="s">
        <v>46</v>
      </c>
      <c r="H40" s="63" t="s">
        <v>69</v>
      </c>
      <c r="I40" s="63" t="s">
        <v>47</v>
      </c>
      <c r="J40" s="63" t="s">
        <v>70</v>
      </c>
      <c r="K40" s="63" t="s">
        <v>48</v>
      </c>
      <c r="L40" s="63" t="s">
        <v>49</v>
      </c>
      <c r="M40" s="63" t="s">
        <v>50</v>
      </c>
      <c r="N40" s="1"/>
    </row>
    <row r="41" spans="1:14" ht="12.75">
      <c r="A41" s="1" t="s">
        <v>5</v>
      </c>
      <c r="B41" s="1">
        <f aca="true" t="shared" si="2" ref="B41:M41">B$36*$B$38</f>
        <v>0.08333</v>
      </c>
      <c r="C41" s="1">
        <f t="shared" si="2"/>
        <v>0.08333</v>
      </c>
      <c r="D41" s="1">
        <f t="shared" si="2"/>
        <v>0.08333</v>
      </c>
      <c r="E41" s="1">
        <f t="shared" si="2"/>
        <v>0.08333</v>
      </c>
      <c r="F41" s="1">
        <f t="shared" si="2"/>
        <v>0.08333</v>
      </c>
      <c r="G41" s="1">
        <f t="shared" si="2"/>
        <v>0.08333</v>
      </c>
      <c r="H41" s="1">
        <f t="shared" si="2"/>
        <v>0.08333</v>
      </c>
      <c r="I41" s="1">
        <f t="shared" si="2"/>
        <v>0.08333</v>
      </c>
      <c r="J41" s="1">
        <f t="shared" si="2"/>
        <v>0.08333</v>
      </c>
      <c r="K41" s="1">
        <f t="shared" si="2"/>
        <v>0.08333</v>
      </c>
      <c r="L41" s="1">
        <f t="shared" si="2"/>
        <v>0.08333</v>
      </c>
      <c r="M41" s="1">
        <f t="shared" si="2"/>
        <v>0.08333</v>
      </c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printOptions/>
  <pageMargins left="0.25" right="0.25" top="0.5" bottom="0.5" header="0.5" footer="0.5"/>
  <pageSetup horizontalDpi="600" verticalDpi="600" orientation="landscape" scale="85" r:id="rId1"/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Y118"/>
  <sheetViews>
    <sheetView showGridLines="0" zoomScale="85" zoomScaleNormal="85" workbookViewId="0" topLeftCell="A1">
      <selection activeCell="E37" sqref="E37"/>
    </sheetView>
  </sheetViews>
  <sheetFormatPr defaultColWidth="9.140625" defaultRowHeight="12.75"/>
  <cols>
    <col min="1" max="1" width="26.7109375" style="0" customWidth="1"/>
    <col min="2" max="2" width="12.421875" style="0" bestFit="1" customWidth="1"/>
    <col min="3" max="3" width="10.8515625" style="0" customWidth="1"/>
  </cols>
  <sheetData>
    <row r="1" spans="1:9" ht="24" thickBot="1">
      <c r="A1" s="226" t="s">
        <v>527</v>
      </c>
      <c r="B1" s="222"/>
      <c r="C1" s="222"/>
      <c r="D1" s="222"/>
      <c r="E1" s="222"/>
      <c r="F1" s="222"/>
      <c r="G1" s="222"/>
      <c r="H1" s="222"/>
      <c r="I1" s="222"/>
    </row>
    <row r="4" spans="1:9" s="126" customFormat="1" ht="19.5" thickBot="1">
      <c r="A4" s="120" t="s">
        <v>528</v>
      </c>
      <c r="B4" s="97"/>
      <c r="C4" s="97"/>
      <c r="D4" s="97"/>
      <c r="E4" s="97"/>
      <c r="F4" s="97"/>
      <c r="G4" s="97"/>
      <c r="H4" s="97"/>
      <c r="I4" s="97"/>
    </row>
    <row r="6" ht="12.75">
      <c r="A6" s="88" t="s">
        <v>240</v>
      </c>
    </row>
    <row r="8" ht="12.75">
      <c r="A8" s="6" t="s">
        <v>226</v>
      </c>
    </row>
    <row r="9" spans="1:2" ht="12.75">
      <c r="A9" t="s">
        <v>227</v>
      </c>
      <c r="B9">
        <v>139</v>
      </c>
    </row>
    <row r="10" spans="1:2" ht="12.75">
      <c r="A10" t="s">
        <v>228</v>
      </c>
      <c r="B10">
        <v>11</v>
      </c>
    </row>
    <row r="11" spans="1:5" ht="12.75">
      <c r="A11" t="s">
        <v>229</v>
      </c>
      <c r="B11">
        <f>B9*B10*30</f>
        <v>45870</v>
      </c>
      <c r="C11" t="s">
        <v>230</v>
      </c>
      <c r="D11">
        <f>B11/2000</f>
        <v>22.935</v>
      </c>
      <c r="E11" t="s">
        <v>231</v>
      </c>
    </row>
    <row r="12" spans="1:2" ht="12.75">
      <c r="A12" t="s">
        <v>414</v>
      </c>
      <c r="B12" s="26">
        <f>'OPT-Decisions'!$C$33</f>
        <v>0</v>
      </c>
    </row>
    <row r="13" spans="1:3" ht="12.75">
      <c r="A13" t="s">
        <v>415</v>
      </c>
      <c r="B13">
        <f>B9*B10*B12*365</f>
        <v>0</v>
      </c>
      <c r="C13" t="s">
        <v>230</v>
      </c>
    </row>
    <row r="14" spans="1:5" ht="12.75">
      <c r="A14" t="s">
        <v>418</v>
      </c>
      <c r="B14">
        <f>(B9*B10*365)-B13</f>
        <v>558085</v>
      </c>
      <c r="C14" t="s">
        <v>230</v>
      </c>
      <c r="D14">
        <f>B14/2000</f>
        <v>279.0425</v>
      </c>
      <c r="E14" t="s">
        <v>231</v>
      </c>
    </row>
    <row r="15" spans="1:3" ht="12.75">
      <c r="A15" t="s">
        <v>432</v>
      </c>
      <c r="B15">
        <f>(B13+B14)/2000</f>
        <v>279.0425</v>
      </c>
      <c r="C15" t="s">
        <v>231</v>
      </c>
    </row>
    <row r="16" spans="1:14" ht="33.75">
      <c r="A16" s="65" t="s">
        <v>74</v>
      </c>
      <c r="B16" s="164">
        <f>(1-G16)+(G16*0.5)</f>
        <v>0.625</v>
      </c>
      <c r="C16" s="1"/>
      <c r="D16" s="1"/>
      <c r="E16" s="1" t="s">
        <v>225</v>
      </c>
      <c r="F16" s="1"/>
      <c r="G16" s="164">
        <f>'FC-Manure Application'!$G$14</f>
        <v>0.75</v>
      </c>
      <c r="H16" s="1" t="s">
        <v>247</v>
      </c>
      <c r="I16" s="1" t="s">
        <v>245</v>
      </c>
      <c r="J16" s="1"/>
      <c r="K16" s="1"/>
      <c r="L16" s="1"/>
      <c r="M16" s="1"/>
      <c r="N16" s="1"/>
    </row>
    <row r="17" spans="1:14" ht="12.75">
      <c r="A17" s="65"/>
      <c r="B17" s="6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63" t="s">
        <v>14</v>
      </c>
      <c r="C18" s="63" t="s">
        <v>42</v>
      </c>
      <c r="D18" s="63" t="s">
        <v>43</v>
      </c>
      <c r="E18" s="63" t="s">
        <v>44</v>
      </c>
      <c r="F18" s="63" t="s">
        <v>45</v>
      </c>
      <c r="G18" s="63" t="s">
        <v>46</v>
      </c>
      <c r="H18" s="63" t="s">
        <v>69</v>
      </c>
      <c r="I18" s="63" t="s">
        <v>47</v>
      </c>
      <c r="J18" s="63" t="s">
        <v>70</v>
      </c>
      <c r="K18" s="63" t="s">
        <v>48</v>
      </c>
      <c r="L18" s="63" t="s">
        <v>49</v>
      </c>
      <c r="M18" s="63" t="s">
        <v>50</v>
      </c>
      <c r="N18" s="1"/>
    </row>
    <row r="19" spans="1:14" s="166" customFormat="1" ht="12.75">
      <c r="A19" s="164" t="s">
        <v>75</v>
      </c>
      <c r="B19" s="164">
        <f>'FC-Manure Application'!B12</f>
        <v>0.02</v>
      </c>
      <c r="C19" s="164">
        <f>'FC-Manure Application'!C12</f>
        <v>0.02</v>
      </c>
      <c r="D19" s="164">
        <f>'FC-Manure Application'!D12</f>
        <v>0.02</v>
      </c>
      <c r="E19" s="164">
        <f>'FC-Manure Application'!E12</f>
        <v>0.02</v>
      </c>
      <c r="F19" s="164">
        <f>'FC-Manure Application'!F12</f>
        <v>0.02</v>
      </c>
      <c r="G19" s="164">
        <f>'FC-Manure Application'!G12</f>
        <v>0.02</v>
      </c>
      <c r="H19" s="164">
        <f>'FC-Manure Application'!H12</f>
        <v>0.27</v>
      </c>
      <c r="I19" s="164">
        <f>'FC-Manure Application'!I12</f>
        <v>0.27</v>
      </c>
      <c r="J19" s="164">
        <f>'FC-Manure Application'!J12</f>
        <v>0.28</v>
      </c>
      <c r="K19" s="164">
        <f>'FC-Manure Application'!K12</f>
        <v>0.02</v>
      </c>
      <c r="L19" s="164">
        <f>'FC-Manure Application'!L12</f>
        <v>0.02</v>
      </c>
      <c r="M19" s="164">
        <f>'FC-Manure Application'!M12</f>
        <v>0.02</v>
      </c>
      <c r="N19" s="164" t="s">
        <v>216</v>
      </c>
    </row>
    <row r="20" spans="1:25" ht="13.5" customHeight="1">
      <c r="A20" t="s">
        <v>522</v>
      </c>
      <c r="B20">
        <f>ROUND($B$14/12-B19*$B$14,0)</f>
        <v>35345</v>
      </c>
      <c r="C20">
        <f aca="true" t="shared" si="0" ref="C20:M20">ROUND($B$14/12-C19*$B$14,0)</f>
        <v>35345</v>
      </c>
      <c r="D20">
        <f t="shared" si="0"/>
        <v>35345</v>
      </c>
      <c r="E20">
        <f t="shared" si="0"/>
        <v>35345</v>
      </c>
      <c r="F20">
        <f t="shared" si="0"/>
        <v>35345</v>
      </c>
      <c r="G20">
        <f t="shared" si="0"/>
        <v>35345</v>
      </c>
      <c r="H20">
        <f t="shared" si="0"/>
        <v>-104176</v>
      </c>
      <c r="I20">
        <f t="shared" si="0"/>
        <v>-104176</v>
      </c>
      <c r="J20">
        <f t="shared" si="0"/>
        <v>-109757</v>
      </c>
      <c r="K20">
        <f t="shared" si="0"/>
        <v>35345</v>
      </c>
      <c r="L20">
        <f t="shared" si="0"/>
        <v>35345</v>
      </c>
      <c r="M20">
        <f t="shared" si="0"/>
        <v>35345</v>
      </c>
      <c r="N20">
        <f>B20</f>
        <v>35345</v>
      </c>
      <c r="O20" s="302">
        <f aca="true" t="shared" si="1" ref="O20:Y20">C20</f>
        <v>35345</v>
      </c>
      <c r="P20" s="302">
        <f t="shared" si="1"/>
        <v>35345</v>
      </c>
      <c r="Q20" s="302">
        <f t="shared" si="1"/>
        <v>35345</v>
      </c>
      <c r="R20" s="302">
        <f t="shared" si="1"/>
        <v>35345</v>
      </c>
      <c r="S20" s="302">
        <f t="shared" si="1"/>
        <v>35345</v>
      </c>
      <c r="T20" s="302">
        <f t="shared" si="1"/>
        <v>-104176</v>
      </c>
      <c r="U20" s="302">
        <f t="shared" si="1"/>
        <v>-104176</v>
      </c>
      <c r="V20" s="302">
        <f t="shared" si="1"/>
        <v>-109757</v>
      </c>
      <c r="W20" s="302">
        <f t="shared" si="1"/>
        <v>35345</v>
      </c>
      <c r="X20" s="302">
        <f t="shared" si="1"/>
        <v>35345</v>
      </c>
      <c r="Y20" s="302">
        <f t="shared" si="1"/>
        <v>35345</v>
      </c>
    </row>
    <row r="21" spans="2:13" ht="9.75" customHeight="1" hidden="1">
      <c r="B21">
        <f>IF(C20&gt;0,1,0)</f>
        <v>1</v>
      </c>
      <c r="C21">
        <f>IF(D20&gt;0,1,0)</f>
        <v>1</v>
      </c>
      <c r="D21">
        <f aca="true" t="shared" si="2" ref="D21:M21">IF(E20&gt;0,1,0)</f>
        <v>1</v>
      </c>
      <c r="E21">
        <f t="shared" si="2"/>
        <v>1</v>
      </c>
      <c r="F21">
        <f t="shared" si="2"/>
        <v>1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1</v>
      </c>
      <c r="K21">
        <f t="shared" si="2"/>
        <v>1</v>
      </c>
      <c r="L21">
        <f t="shared" si="2"/>
        <v>1</v>
      </c>
      <c r="M21">
        <f t="shared" si="2"/>
        <v>1</v>
      </c>
    </row>
    <row r="22" spans="2:13" ht="12.75" hidden="1">
      <c r="B22">
        <f>IF(D20&gt;0,1,0)</f>
        <v>1</v>
      </c>
      <c r="C22">
        <f>IF(E20&gt;0,1,0)</f>
        <v>1</v>
      </c>
      <c r="D22">
        <f aca="true" t="shared" si="3" ref="D22:M22">IF(F20&gt;0,1,0)</f>
        <v>1</v>
      </c>
      <c r="E22">
        <f t="shared" si="3"/>
        <v>1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1</v>
      </c>
      <c r="J22">
        <f t="shared" si="3"/>
        <v>1</v>
      </c>
      <c r="K22">
        <f t="shared" si="3"/>
        <v>1</v>
      </c>
      <c r="L22">
        <f t="shared" si="3"/>
        <v>1</v>
      </c>
      <c r="M22">
        <f t="shared" si="3"/>
        <v>1</v>
      </c>
    </row>
    <row r="23" spans="2:13" ht="12.75" hidden="1">
      <c r="B23">
        <f>IF(E20&gt;0,1,0)</f>
        <v>1</v>
      </c>
      <c r="C23">
        <f>IF(F20&gt;0,1,0)</f>
        <v>1</v>
      </c>
      <c r="D23">
        <f aca="true" t="shared" si="4" ref="D23:M23">IF(G20&gt;0,1,0)</f>
        <v>1</v>
      </c>
      <c r="E23">
        <f t="shared" si="4"/>
        <v>0</v>
      </c>
      <c r="F23">
        <f t="shared" si="4"/>
        <v>0</v>
      </c>
      <c r="G23">
        <f t="shared" si="4"/>
        <v>0</v>
      </c>
      <c r="H23">
        <f t="shared" si="4"/>
        <v>1</v>
      </c>
      <c r="I23">
        <f t="shared" si="4"/>
        <v>1</v>
      </c>
      <c r="J23">
        <f t="shared" si="4"/>
        <v>1</v>
      </c>
      <c r="K23">
        <f t="shared" si="4"/>
        <v>1</v>
      </c>
      <c r="L23">
        <f t="shared" si="4"/>
        <v>1</v>
      </c>
      <c r="M23">
        <f t="shared" si="4"/>
        <v>1</v>
      </c>
    </row>
    <row r="24" spans="2:13" ht="12.75" hidden="1">
      <c r="B24">
        <f>IF(F20&gt;0,1,0)</f>
        <v>1</v>
      </c>
      <c r="C24">
        <f>IF(G20&gt;0,1,0)</f>
        <v>1</v>
      </c>
      <c r="D24">
        <f aca="true" t="shared" si="5" ref="D24:M24">IF(H20&gt;0,1,0)</f>
        <v>0</v>
      </c>
      <c r="E24">
        <f t="shared" si="5"/>
        <v>0</v>
      </c>
      <c r="F24">
        <f t="shared" si="5"/>
        <v>0</v>
      </c>
      <c r="G24">
        <f t="shared" si="5"/>
        <v>1</v>
      </c>
      <c r="H24">
        <f t="shared" si="5"/>
        <v>1</v>
      </c>
      <c r="I24">
        <f t="shared" si="5"/>
        <v>1</v>
      </c>
      <c r="J24">
        <f t="shared" si="5"/>
        <v>1</v>
      </c>
      <c r="K24">
        <f t="shared" si="5"/>
        <v>1</v>
      </c>
      <c r="L24">
        <f t="shared" si="5"/>
        <v>1</v>
      </c>
      <c r="M24">
        <f t="shared" si="5"/>
        <v>1</v>
      </c>
    </row>
    <row r="25" spans="2:13" ht="12.75" hidden="1">
      <c r="B25">
        <f>IF(G20&gt;0,1,0)</f>
        <v>1</v>
      </c>
      <c r="C25">
        <f>IF(H20&gt;0,1,0)</f>
        <v>0</v>
      </c>
      <c r="D25">
        <f aca="true" t="shared" si="6" ref="D25:M25">IF(I20&gt;0,1,0)</f>
        <v>0</v>
      </c>
      <c r="E25">
        <f t="shared" si="6"/>
        <v>0</v>
      </c>
      <c r="F25">
        <f t="shared" si="6"/>
        <v>1</v>
      </c>
      <c r="G25">
        <f t="shared" si="6"/>
        <v>1</v>
      </c>
      <c r="H25">
        <f t="shared" si="6"/>
        <v>1</v>
      </c>
      <c r="I25">
        <f t="shared" si="6"/>
        <v>1</v>
      </c>
      <c r="J25">
        <f t="shared" si="6"/>
        <v>1</v>
      </c>
      <c r="K25">
        <f t="shared" si="6"/>
        <v>1</v>
      </c>
      <c r="L25">
        <f t="shared" si="6"/>
        <v>1</v>
      </c>
      <c r="M25">
        <f t="shared" si="6"/>
        <v>1</v>
      </c>
    </row>
    <row r="26" spans="2:13" ht="12.75" hidden="1">
      <c r="B26">
        <f>IF(H20&gt;0,1,0)</f>
        <v>0</v>
      </c>
      <c r="C26">
        <f>IF(I20&gt;0,1,0)</f>
        <v>0</v>
      </c>
      <c r="D26">
        <f aca="true" t="shared" si="7" ref="D26:M26">IF(J20&gt;0,1,0)</f>
        <v>0</v>
      </c>
      <c r="E26">
        <f t="shared" si="7"/>
        <v>1</v>
      </c>
      <c r="F26">
        <f t="shared" si="7"/>
        <v>1</v>
      </c>
      <c r="G26">
        <f t="shared" si="7"/>
        <v>1</v>
      </c>
      <c r="H26">
        <f t="shared" si="7"/>
        <v>1</v>
      </c>
      <c r="I26">
        <f t="shared" si="7"/>
        <v>1</v>
      </c>
      <c r="J26">
        <f t="shared" si="7"/>
        <v>1</v>
      </c>
      <c r="K26">
        <f t="shared" si="7"/>
        <v>1</v>
      </c>
      <c r="L26">
        <f t="shared" si="7"/>
        <v>1</v>
      </c>
      <c r="M26">
        <f t="shared" si="7"/>
        <v>1</v>
      </c>
    </row>
    <row r="27" spans="2:13" ht="12.75" hidden="1">
      <c r="B27">
        <f>IF(I20&gt;0,1,0)</f>
        <v>0</v>
      </c>
      <c r="C27">
        <f>IF(J20&gt;0,1,0)</f>
        <v>0</v>
      </c>
      <c r="D27">
        <f aca="true" t="shared" si="8" ref="D27:M27">IF(K20&gt;0,1,0)</f>
        <v>1</v>
      </c>
      <c r="E27">
        <f t="shared" si="8"/>
        <v>1</v>
      </c>
      <c r="F27">
        <f t="shared" si="8"/>
        <v>1</v>
      </c>
      <c r="G27">
        <f t="shared" si="8"/>
        <v>1</v>
      </c>
      <c r="H27">
        <f t="shared" si="8"/>
        <v>1</v>
      </c>
      <c r="I27">
        <f t="shared" si="8"/>
        <v>1</v>
      </c>
      <c r="J27">
        <f t="shared" si="8"/>
        <v>1</v>
      </c>
      <c r="K27">
        <f t="shared" si="8"/>
        <v>1</v>
      </c>
      <c r="L27">
        <f t="shared" si="8"/>
        <v>1</v>
      </c>
      <c r="M27">
        <f t="shared" si="8"/>
        <v>0</v>
      </c>
    </row>
    <row r="28" spans="2:13" ht="12.75" hidden="1">
      <c r="B28">
        <f>IF(J20&gt;0,1,0)</f>
        <v>0</v>
      </c>
      <c r="C28">
        <f>IF(K20&gt;0,1,0)</f>
        <v>1</v>
      </c>
      <c r="D28">
        <f aca="true" t="shared" si="9" ref="D28:M28">IF(L20&gt;0,1,0)</f>
        <v>1</v>
      </c>
      <c r="E28">
        <f t="shared" si="9"/>
        <v>1</v>
      </c>
      <c r="F28">
        <f t="shared" si="9"/>
        <v>1</v>
      </c>
      <c r="G28">
        <f t="shared" si="9"/>
        <v>1</v>
      </c>
      <c r="H28">
        <f t="shared" si="9"/>
        <v>1</v>
      </c>
      <c r="I28">
        <f t="shared" si="9"/>
        <v>1</v>
      </c>
      <c r="J28">
        <f t="shared" si="9"/>
        <v>1</v>
      </c>
      <c r="K28">
        <f t="shared" si="9"/>
        <v>1</v>
      </c>
      <c r="L28">
        <f t="shared" si="9"/>
        <v>0</v>
      </c>
      <c r="M28">
        <f t="shared" si="9"/>
        <v>0</v>
      </c>
    </row>
    <row r="29" spans="2:13" ht="12.75" hidden="1">
      <c r="B29">
        <f>IF(K20&gt;0,1,0)</f>
        <v>1</v>
      </c>
      <c r="C29">
        <f>IF(L20&gt;0,1,0)</f>
        <v>1</v>
      </c>
      <c r="D29">
        <f aca="true" t="shared" si="10" ref="D29:M29">IF(M20&gt;0,1,0)</f>
        <v>1</v>
      </c>
      <c r="E29">
        <f t="shared" si="10"/>
        <v>1</v>
      </c>
      <c r="F29">
        <f t="shared" si="10"/>
        <v>1</v>
      </c>
      <c r="G29">
        <f t="shared" si="10"/>
        <v>1</v>
      </c>
      <c r="H29">
        <f t="shared" si="10"/>
        <v>1</v>
      </c>
      <c r="I29">
        <f t="shared" si="10"/>
        <v>1</v>
      </c>
      <c r="J29">
        <f t="shared" si="10"/>
        <v>1</v>
      </c>
      <c r="K29">
        <f t="shared" si="10"/>
        <v>0</v>
      </c>
      <c r="L29">
        <f t="shared" si="10"/>
        <v>0</v>
      </c>
      <c r="M29">
        <f t="shared" si="10"/>
        <v>0</v>
      </c>
    </row>
    <row r="30" spans="2:13" ht="12.75" hidden="1">
      <c r="B30">
        <f>IF(L20&gt;0,1,0)</f>
        <v>1</v>
      </c>
      <c r="C30">
        <f>IF(M20&gt;0,1,0)</f>
        <v>1</v>
      </c>
      <c r="D30">
        <f aca="true" t="shared" si="11" ref="D30:M30">IF(N20&gt;0,1,0)</f>
        <v>1</v>
      </c>
      <c r="E30">
        <f t="shared" si="11"/>
        <v>1</v>
      </c>
      <c r="F30">
        <f t="shared" si="11"/>
        <v>1</v>
      </c>
      <c r="G30">
        <f t="shared" si="11"/>
        <v>1</v>
      </c>
      <c r="H30">
        <f t="shared" si="11"/>
        <v>1</v>
      </c>
      <c r="I30">
        <f t="shared" si="11"/>
        <v>1</v>
      </c>
      <c r="J30">
        <f t="shared" si="11"/>
        <v>0</v>
      </c>
      <c r="K30">
        <f t="shared" si="11"/>
        <v>0</v>
      </c>
      <c r="L30">
        <f t="shared" si="11"/>
        <v>0</v>
      </c>
      <c r="M30">
        <f t="shared" si="11"/>
        <v>1</v>
      </c>
    </row>
    <row r="31" spans="2:16" ht="12.75" hidden="1">
      <c r="B31">
        <f>IF(M20&gt;0,1,0)</f>
        <v>1</v>
      </c>
      <c r="C31">
        <f>IF(N20&gt;0,1,0)</f>
        <v>1</v>
      </c>
      <c r="D31">
        <f aca="true" t="shared" si="12" ref="D31:M31">IF(O20&gt;0,1,0)</f>
        <v>1</v>
      </c>
      <c r="E31">
        <f t="shared" si="12"/>
        <v>1</v>
      </c>
      <c r="F31">
        <f t="shared" si="12"/>
        <v>1</v>
      </c>
      <c r="G31">
        <f t="shared" si="12"/>
        <v>1</v>
      </c>
      <c r="H31">
        <f t="shared" si="12"/>
        <v>1</v>
      </c>
      <c r="I31">
        <f t="shared" si="12"/>
        <v>0</v>
      </c>
      <c r="J31">
        <f t="shared" si="12"/>
        <v>0</v>
      </c>
      <c r="K31">
        <f t="shared" si="12"/>
        <v>0</v>
      </c>
      <c r="L31">
        <f t="shared" si="12"/>
        <v>1</v>
      </c>
      <c r="M31">
        <f t="shared" si="12"/>
        <v>1</v>
      </c>
      <c r="N31" t="s">
        <v>233</v>
      </c>
      <c r="P31" t="s">
        <v>99</v>
      </c>
    </row>
    <row r="32" spans="2:16" ht="40.5" customHeight="1" hidden="1">
      <c r="B32">
        <f>IF(B20&gt;0,B20,0)</f>
        <v>35345</v>
      </c>
      <c r="C32">
        <f aca="true" t="shared" si="13" ref="C32:M32">IF(C20&gt;0,C20,0)</f>
        <v>35345</v>
      </c>
      <c r="D32">
        <f t="shared" si="13"/>
        <v>35345</v>
      </c>
      <c r="E32">
        <f t="shared" si="13"/>
        <v>35345</v>
      </c>
      <c r="F32">
        <f t="shared" si="13"/>
        <v>35345</v>
      </c>
      <c r="G32">
        <f t="shared" si="13"/>
        <v>35345</v>
      </c>
      <c r="H32">
        <f t="shared" si="13"/>
        <v>0</v>
      </c>
      <c r="I32">
        <f t="shared" si="13"/>
        <v>0</v>
      </c>
      <c r="J32">
        <f t="shared" si="13"/>
        <v>0</v>
      </c>
      <c r="K32">
        <f t="shared" si="13"/>
        <v>35345</v>
      </c>
      <c r="L32">
        <f t="shared" si="13"/>
        <v>35345</v>
      </c>
      <c r="M32">
        <f t="shared" si="13"/>
        <v>35345</v>
      </c>
      <c r="N32" t="s">
        <v>236</v>
      </c>
      <c r="P32" t="s">
        <v>232</v>
      </c>
    </row>
    <row r="33" spans="1:17" ht="14.25" customHeight="1">
      <c r="A33" t="s">
        <v>523</v>
      </c>
      <c r="B33">
        <f>B32+B21*C20+(B21*B22*D20)+(B21*B22*B23*E20)+(B21*B22*B23*B24*F20)+(B21*B22*B23*B24*B25*G20)+(B21*B22*B23*B24*B25*B26*H20)+(B21*B22*B23*B24*B25*B26*B27*I20)+(B21*B22*B23*B24*B25*B26*B27*B28*J20)+(B21*B22*B23*B24*B25*B26*B27*B28*B29*K20)+(B21*B22*B23*B24*B25*B26*B27*B28*B29*B30*L20)+(B21*B22*B23*B24*B25*B26*B27*B28*B29*B30*B31*M20)</f>
        <v>212070</v>
      </c>
      <c r="C33">
        <f aca="true" t="shared" si="14" ref="C33:M33">C32+C21*D20+(C21*C22*E20)+(C21*C22*C23*F20)+(C21*C22*C23*C24*G20)+(C21*C22*C23*C24*C25*H20)+(C21*C22*C23*C24*C25*C26*I20)+(C21*C22*C23*C24*C25*C26*C27*J20)+(C21*C22*C23*C24*C25*C26*C27*C28*K20)+(C21*C22*C23*C24*C25*C26*C27*C28*C29*L20)+(C21*C22*C23*C24*C25*C26*C27*C28*C29*C30*M20)+(C21*C22*C23*C24*C25*C26*C27*C28*C29*C30*C31*N20)</f>
        <v>176725</v>
      </c>
      <c r="D33">
        <f t="shared" si="14"/>
        <v>141380</v>
      </c>
      <c r="E33">
        <f t="shared" si="14"/>
        <v>106035</v>
      </c>
      <c r="F33">
        <f t="shared" si="14"/>
        <v>70690</v>
      </c>
      <c r="G33">
        <f t="shared" si="14"/>
        <v>35345</v>
      </c>
      <c r="H33">
        <f t="shared" si="14"/>
        <v>0</v>
      </c>
      <c r="I33">
        <f t="shared" si="14"/>
        <v>0</v>
      </c>
      <c r="J33">
        <f t="shared" si="14"/>
        <v>318105</v>
      </c>
      <c r="K33">
        <f t="shared" si="14"/>
        <v>318105</v>
      </c>
      <c r="L33">
        <f t="shared" si="14"/>
        <v>282760</v>
      </c>
      <c r="M33">
        <f t="shared" si="14"/>
        <v>247415</v>
      </c>
      <c r="N33">
        <f>MAX(B33:M33)</f>
        <v>318105</v>
      </c>
      <c r="O33" t="s">
        <v>230</v>
      </c>
      <c r="P33">
        <f>SUM(B32:M32)</f>
        <v>318105</v>
      </c>
      <c r="Q33" t="s">
        <v>230</v>
      </c>
    </row>
    <row r="34" spans="1:15" ht="12.75">
      <c r="A34" t="s">
        <v>216</v>
      </c>
      <c r="N34">
        <f>ROUND(N33/2000,0)</f>
        <v>159</v>
      </c>
      <c r="O34" t="s">
        <v>231</v>
      </c>
    </row>
    <row r="36" ht="12.75">
      <c r="A36" s="6" t="s">
        <v>234</v>
      </c>
    </row>
    <row r="37" spans="1:2" ht="12.75">
      <c r="A37" t="s">
        <v>235</v>
      </c>
      <c r="B37">
        <v>165</v>
      </c>
    </row>
    <row r="38" spans="1:2" ht="12.75">
      <c r="A38" t="s">
        <v>228</v>
      </c>
      <c r="B38">
        <v>121</v>
      </c>
    </row>
    <row r="39" spans="1:5" ht="12.75">
      <c r="A39" t="s">
        <v>229</v>
      </c>
      <c r="B39">
        <f>B37*B38*30</f>
        <v>598950</v>
      </c>
      <c r="C39" t="s">
        <v>230</v>
      </c>
      <c r="D39" t="s">
        <v>216</v>
      </c>
      <c r="E39" t="s">
        <v>216</v>
      </c>
    </row>
    <row r="40" spans="1:2" ht="12.75">
      <c r="A40" t="s">
        <v>414</v>
      </c>
      <c r="B40" s="26">
        <f>'OPT-Decisions'!$C$33</f>
        <v>0</v>
      </c>
    </row>
    <row r="41" spans="1:3" ht="12.75">
      <c r="A41" t="s">
        <v>415</v>
      </c>
      <c r="B41">
        <f>(B37*B38*B40*365)</f>
        <v>0</v>
      </c>
      <c r="C41" t="s">
        <v>230</v>
      </c>
    </row>
    <row r="42" spans="1:5" ht="12.75">
      <c r="A42" t="s">
        <v>418</v>
      </c>
      <c r="B42">
        <f>(B37*B38*365)-B41</f>
        <v>7287225</v>
      </c>
      <c r="C42" t="s">
        <v>230</v>
      </c>
      <c r="D42" t="s">
        <v>216</v>
      </c>
      <c r="E42" t="s">
        <v>216</v>
      </c>
    </row>
    <row r="43" spans="1:3" ht="12.75">
      <c r="A43" t="s">
        <v>433</v>
      </c>
      <c r="B43">
        <f>(B41+B42)/2000</f>
        <v>3643.6125</v>
      </c>
      <c r="C43" t="s">
        <v>231</v>
      </c>
    </row>
    <row r="44" spans="1:14" ht="33.75">
      <c r="A44" s="65" t="s">
        <v>74</v>
      </c>
      <c r="B44" s="164">
        <f>(1-G44)+(G44*0.5)</f>
        <v>0.625</v>
      </c>
      <c r="C44" s="1"/>
      <c r="D44" s="1"/>
      <c r="E44" s="1" t="s">
        <v>225</v>
      </c>
      <c r="F44" s="1"/>
      <c r="G44" s="1">
        <f>'FC-Manure Application'!$G$26</f>
        <v>0.75</v>
      </c>
      <c r="H44" s="1" t="s">
        <v>246</v>
      </c>
      <c r="I44" s="1" t="s">
        <v>245</v>
      </c>
      <c r="J44" s="1"/>
      <c r="K44" s="1"/>
      <c r="L44" s="1"/>
      <c r="M44" s="1"/>
      <c r="N44" s="1"/>
    </row>
    <row r="45" spans="1:14" ht="12.75">
      <c r="A45" s="65"/>
      <c r="B45" s="6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63" t="s">
        <v>14</v>
      </c>
      <c r="C46" s="63" t="s">
        <v>42</v>
      </c>
      <c r="D46" s="63" t="s">
        <v>43</v>
      </c>
      <c r="E46" s="63" t="s">
        <v>44</v>
      </c>
      <c r="F46" s="63" t="s">
        <v>45</v>
      </c>
      <c r="G46" s="63" t="s">
        <v>46</v>
      </c>
      <c r="H46" s="63" t="s">
        <v>69</v>
      </c>
      <c r="I46" s="63" t="s">
        <v>47</v>
      </c>
      <c r="J46" s="63" t="s">
        <v>70</v>
      </c>
      <c r="K46" s="63" t="s">
        <v>48</v>
      </c>
      <c r="L46" s="63" t="s">
        <v>49</v>
      </c>
      <c r="M46" s="63" t="s">
        <v>50</v>
      </c>
      <c r="N46" s="1"/>
    </row>
    <row r="47" spans="1:14" s="166" customFormat="1" ht="12.75">
      <c r="A47" s="164" t="s">
        <v>75</v>
      </c>
      <c r="B47" s="171">
        <f>'FC-Manure Application'!B24</f>
        <v>0</v>
      </c>
      <c r="C47" s="164">
        <f>'FC-Manure Application'!C24</f>
        <v>0</v>
      </c>
      <c r="D47" s="164">
        <f>'FC-Manure Application'!D24</f>
        <v>0</v>
      </c>
      <c r="E47" s="164">
        <f>'FC-Manure Application'!E24</f>
        <v>0.22</v>
      </c>
      <c r="F47" s="164">
        <f>'FC-Manure Application'!F24</f>
        <v>0.22</v>
      </c>
      <c r="G47" s="164">
        <f>'FC-Manure Application'!G24</f>
        <v>0.23</v>
      </c>
      <c r="H47" s="164">
        <f>'FC-Manure Application'!H24</f>
        <v>0.08</v>
      </c>
      <c r="I47" s="164">
        <f>'FC-Manure Application'!I24</f>
        <v>0.08</v>
      </c>
      <c r="J47" s="164">
        <f>'FC-Manure Application'!J24</f>
        <v>0.08</v>
      </c>
      <c r="K47" s="164">
        <f>'FC-Manure Application'!K24</f>
        <v>0.09</v>
      </c>
      <c r="L47" s="164">
        <f>'FC-Manure Application'!L24</f>
        <v>0</v>
      </c>
      <c r="M47" s="164">
        <f>'FC-Manure Application'!M24</f>
        <v>0</v>
      </c>
      <c r="N47" s="164" t="s">
        <v>216</v>
      </c>
    </row>
    <row r="48" spans="1:25" ht="12" customHeight="1">
      <c r="A48" t="s">
        <v>522</v>
      </c>
      <c r="B48">
        <f>ROUND($B$42/12-B47*$B$42,0)</f>
        <v>607269</v>
      </c>
      <c r="C48">
        <f aca="true" t="shared" si="15" ref="C48:M48">ROUND($B$42/12-C47*$B$42,0)</f>
        <v>607269</v>
      </c>
      <c r="D48">
        <f t="shared" si="15"/>
        <v>607269</v>
      </c>
      <c r="E48">
        <f t="shared" si="15"/>
        <v>-995921</v>
      </c>
      <c r="F48">
        <f t="shared" si="15"/>
        <v>-995921</v>
      </c>
      <c r="G48">
        <f t="shared" si="15"/>
        <v>-1068793</v>
      </c>
      <c r="H48">
        <f t="shared" si="15"/>
        <v>24291</v>
      </c>
      <c r="I48">
        <f t="shared" si="15"/>
        <v>24291</v>
      </c>
      <c r="J48">
        <f t="shared" si="15"/>
        <v>24291</v>
      </c>
      <c r="K48">
        <f t="shared" si="15"/>
        <v>-48582</v>
      </c>
      <c r="L48">
        <f t="shared" si="15"/>
        <v>607269</v>
      </c>
      <c r="M48">
        <f t="shared" si="15"/>
        <v>607269</v>
      </c>
      <c r="N48">
        <f aca="true" t="shared" si="16" ref="N48:Y48">B48</f>
        <v>607269</v>
      </c>
      <c r="O48">
        <f t="shared" si="16"/>
        <v>607269</v>
      </c>
      <c r="P48">
        <f t="shared" si="16"/>
        <v>607269</v>
      </c>
      <c r="Q48">
        <f t="shared" si="16"/>
        <v>-995921</v>
      </c>
      <c r="R48">
        <f t="shared" si="16"/>
        <v>-995921</v>
      </c>
      <c r="S48">
        <f t="shared" si="16"/>
        <v>-1068793</v>
      </c>
      <c r="T48">
        <f t="shared" si="16"/>
        <v>24291</v>
      </c>
      <c r="U48">
        <f t="shared" si="16"/>
        <v>24291</v>
      </c>
      <c r="V48">
        <f t="shared" si="16"/>
        <v>24291</v>
      </c>
      <c r="W48">
        <f t="shared" si="16"/>
        <v>-48582</v>
      </c>
      <c r="X48">
        <f t="shared" si="16"/>
        <v>607269</v>
      </c>
      <c r="Y48">
        <f t="shared" si="16"/>
        <v>607269</v>
      </c>
    </row>
    <row r="49" spans="2:13" ht="34.5" customHeight="1" hidden="1">
      <c r="B49">
        <f>IF(C48&gt;0,1,0)</f>
        <v>1</v>
      </c>
      <c r="C49">
        <f>IF(D48&gt;0,1,0)</f>
        <v>1</v>
      </c>
      <c r="D49">
        <f aca="true" t="shared" si="17" ref="D49:M49">IF(E48&gt;0,1,0)</f>
        <v>0</v>
      </c>
      <c r="E49">
        <f t="shared" si="17"/>
        <v>0</v>
      </c>
      <c r="F49">
        <f t="shared" si="17"/>
        <v>0</v>
      </c>
      <c r="G49">
        <f t="shared" si="17"/>
        <v>1</v>
      </c>
      <c r="H49">
        <f t="shared" si="17"/>
        <v>1</v>
      </c>
      <c r="I49">
        <f t="shared" si="17"/>
        <v>1</v>
      </c>
      <c r="J49">
        <f t="shared" si="17"/>
        <v>0</v>
      </c>
      <c r="K49">
        <f t="shared" si="17"/>
        <v>1</v>
      </c>
      <c r="L49">
        <f t="shared" si="17"/>
        <v>1</v>
      </c>
      <c r="M49">
        <f t="shared" si="17"/>
        <v>1</v>
      </c>
    </row>
    <row r="50" spans="2:13" ht="12.75" hidden="1">
      <c r="B50">
        <f aca="true" t="shared" si="18" ref="B50:M50">IF(D48&gt;0,1,0)</f>
        <v>1</v>
      </c>
      <c r="C50">
        <f t="shared" si="18"/>
        <v>0</v>
      </c>
      <c r="D50">
        <f t="shared" si="18"/>
        <v>0</v>
      </c>
      <c r="E50">
        <f t="shared" si="18"/>
        <v>0</v>
      </c>
      <c r="F50">
        <f t="shared" si="18"/>
        <v>1</v>
      </c>
      <c r="G50">
        <f t="shared" si="18"/>
        <v>1</v>
      </c>
      <c r="H50">
        <f t="shared" si="18"/>
        <v>1</v>
      </c>
      <c r="I50">
        <f t="shared" si="18"/>
        <v>0</v>
      </c>
      <c r="J50">
        <f t="shared" si="18"/>
        <v>1</v>
      </c>
      <c r="K50">
        <f t="shared" si="18"/>
        <v>1</v>
      </c>
      <c r="L50">
        <f t="shared" si="18"/>
        <v>1</v>
      </c>
      <c r="M50">
        <f t="shared" si="18"/>
        <v>1</v>
      </c>
    </row>
    <row r="51" spans="2:13" ht="12.75" hidden="1">
      <c r="B51">
        <f aca="true" t="shared" si="19" ref="B51:M51">IF(E48&gt;0,1,0)</f>
        <v>0</v>
      </c>
      <c r="C51">
        <f t="shared" si="19"/>
        <v>0</v>
      </c>
      <c r="D51">
        <f t="shared" si="19"/>
        <v>0</v>
      </c>
      <c r="E51">
        <f t="shared" si="19"/>
        <v>1</v>
      </c>
      <c r="F51">
        <f t="shared" si="19"/>
        <v>1</v>
      </c>
      <c r="G51">
        <f t="shared" si="19"/>
        <v>1</v>
      </c>
      <c r="H51">
        <f t="shared" si="19"/>
        <v>0</v>
      </c>
      <c r="I51">
        <f t="shared" si="19"/>
        <v>1</v>
      </c>
      <c r="J51">
        <f t="shared" si="19"/>
        <v>1</v>
      </c>
      <c r="K51">
        <f t="shared" si="19"/>
        <v>1</v>
      </c>
      <c r="L51">
        <f t="shared" si="19"/>
        <v>1</v>
      </c>
      <c r="M51">
        <f t="shared" si="19"/>
        <v>1</v>
      </c>
    </row>
    <row r="52" spans="2:13" ht="12.75" hidden="1">
      <c r="B52">
        <f aca="true" t="shared" si="20" ref="B52:M52">IF(F48&gt;0,1,0)</f>
        <v>0</v>
      </c>
      <c r="C52">
        <f t="shared" si="20"/>
        <v>0</v>
      </c>
      <c r="D52">
        <f t="shared" si="20"/>
        <v>1</v>
      </c>
      <c r="E52">
        <f t="shared" si="20"/>
        <v>1</v>
      </c>
      <c r="F52">
        <f t="shared" si="20"/>
        <v>1</v>
      </c>
      <c r="G52">
        <f t="shared" si="20"/>
        <v>0</v>
      </c>
      <c r="H52">
        <f t="shared" si="20"/>
        <v>1</v>
      </c>
      <c r="I52">
        <f t="shared" si="20"/>
        <v>1</v>
      </c>
      <c r="J52">
        <f t="shared" si="20"/>
        <v>1</v>
      </c>
      <c r="K52">
        <f t="shared" si="20"/>
        <v>1</v>
      </c>
      <c r="L52">
        <f t="shared" si="20"/>
        <v>1</v>
      </c>
      <c r="M52">
        <f t="shared" si="20"/>
        <v>0</v>
      </c>
    </row>
    <row r="53" spans="2:13" ht="12.75" hidden="1">
      <c r="B53">
        <f aca="true" t="shared" si="21" ref="B53:M53">IF(G48&gt;0,1,0)</f>
        <v>0</v>
      </c>
      <c r="C53">
        <f t="shared" si="21"/>
        <v>1</v>
      </c>
      <c r="D53">
        <f t="shared" si="21"/>
        <v>1</v>
      </c>
      <c r="E53">
        <f t="shared" si="21"/>
        <v>1</v>
      </c>
      <c r="F53">
        <f t="shared" si="21"/>
        <v>0</v>
      </c>
      <c r="G53">
        <f t="shared" si="21"/>
        <v>1</v>
      </c>
      <c r="H53">
        <f t="shared" si="21"/>
        <v>1</v>
      </c>
      <c r="I53">
        <f t="shared" si="21"/>
        <v>1</v>
      </c>
      <c r="J53">
        <f t="shared" si="21"/>
        <v>1</v>
      </c>
      <c r="K53">
        <f t="shared" si="21"/>
        <v>1</v>
      </c>
      <c r="L53">
        <f t="shared" si="21"/>
        <v>0</v>
      </c>
      <c r="M53">
        <f t="shared" si="21"/>
        <v>0</v>
      </c>
    </row>
    <row r="54" spans="2:13" ht="12.75" hidden="1">
      <c r="B54">
        <f aca="true" t="shared" si="22" ref="B54:M54">IF(H48&gt;0,1,0)</f>
        <v>1</v>
      </c>
      <c r="C54">
        <f t="shared" si="22"/>
        <v>1</v>
      </c>
      <c r="D54">
        <f t="shared" si="22"/>
        <v>1</v>
      </c>
      <c r="E54">
        <f t="shared" si="22"/>
        <v>0</v>
      </c>
      <c r="F54">
        <f t="shared" si="22"/>
        <v>1</v>
      </c>
      <c r="G54">
        <f t="shared" si="22"/>
        <v>1</v>
      </c>
      <c r="H54">
        <f t="shared" si="22"/>
        <v>1</v>
      </c>
      <c r="I54">
        <f t="shared" si="22"/>
        <v>1</v>
      </c>
      <c r="J54">
        <f t="shared" si="22"/>
        <v>1</v>
      </c>
      <c r="K54">
        <f t="shared" si="22"/>
        <v>0</v>
      </c>
      <c r="L54">
        <f t="shared" si="22"/>
        <v>0</v>
      </c>
      <c r="M54">
        <f t="shared" si="22"/>
        <v>0</v>
      </c>
    </row>
    <row r="55" spans="2:13" ht="12.75" hidden="1">
      <c r="B55">
        <f aca="true" t="shared" si="23" ref="B55:M55">IF(I48&gt;0,1,0)</f>
        <v>1</v>
      </c>
      <c r="C55">
        <f t="shared" si="23"/>
        <v>1</v>
      </c>
      <c r="D55">
        <f t="shared" si="23"/>
        <v>0</v>
      </c>
      <c r="E55">
        <f t="shared" si="23"/>
        <v>1</v>
      </c>
      <c r="F55">
        <f t="shared" si="23"/>
        <v>1</v>
      </c>
      <c r="G55">
        <f t="shared" si="23"/>
        <v>1</v>
      </c>
      <c r="H55">
        <f t="shared" si="23"/>
        <v>1</v>
      </c>
      <c r="I55">
        <f t="shared" si="23"/>
        <v>1</v>
      </c>
      <c r="J55">
        <f t="shared" si="23"/>
        <v>0</v>
      </c>
      <c r="K55">
        <f t="shared" si="23"/>
        <v>0</v>
      </c>
      <c r="L55">
        <f t="shared" si="23"/>
        <v>0</v>
      </c>
      <c r="M55">
        <f t="shared" si="23"/>
        <v>1</v>
      </c>
    </row>
    <row r="56" spans="2:13" ht="12.75" hidden="1">
      <c r="B56">
        <f aca="true" t="shared" si="24" ref="B56:M56">IF(J48&gt;0,1,0)</f>
        <v>1</v>
      </c>
      <c r="C56">
        <f t="shared" si="24"/>
        <v>0</v>
      </c>
      <c r="D56">
        <f t="shared" si="24"/>
        <v>1</v>
      </c>
      <c r="E56">
        <f t="shared" si="24"/>
        <v>1</v>
      </c>
      <c r="F56">
        <f t="shared" si="24"/>
        <v>1</v>
      </c>
      <c r="G56">
        <f t="shared" si="24"/>
        <v>1</v>
      </c>
      <c r="H56">
        <f t="shared" si="24"/>
        <v>1</v>
      </c>
      <c r="I56">
        <f t="shared" si="24"/>
        <v>0</v>
      </c>
      <c r="J56">
        <f t="shared" si="24"/>
        <v>0</v>
      </c>
      <c r="K56">
        <f t="shared" si="24"/>
        <v>0</v>
      </c>
      <c r="L56">
        <f t="shared" si="24"/>
        <v>1</v>
      </c>
      <c r="M56">
        <f t="shared" si="24"/>
        <v>1</v>
      </c>
    </row>
    <row r="57" spans="2:13" ht="12.75" hidden="1">
      <c r="B57">
        <f aca="true" t="shared" si="25" ref="B57:M57">IF(K48&gt;0,1,0)</f>
        <v>0</v>
      </c>
      <c r="C57">
        <f t="shared" si="25"/>
        <v>1</v>
      </c>
      <c r="D57">
        <f t="shared" si="25"/>
        <v>1</v>
      </c>
      <c r="E57">
        <f t="shared" si="25"/>
        <v>1</v>
      </c>
      <c r="F57">
        <f t="shared" si="25"/>
        <v>1</v>
      </c>
      <c r="G57">
        <f t="shared" si="25"/>
        <v>1</v>
      </c>
      <c r="H57">
        <f t="shared" si="25"/>
        <v>0</v>
      </c>
      <c r="I57">
        <f t="shared" si="25"/>
        <v>0</v>
      </c>
      <c r="J57">
        <f t="shared" si="25"/>
        <v>0</v>
      </c>
      <c r="K57">
        <f t="shared" si="25"/>
        <v>1</v>
      </c>
      <c r="L57">
        <f t="shared" si="25"/>
        <v>1</v>
      </c>
      <c r="M57">
        <f t="shared" si="25"/>
        <v>1</v>
      </c>
    </row>
    <row r="58" spans="2:13" ht="12.75" hidden="1">
      <c r="B58">
        <f aca="true" t="shared" si="26" ref="B58:M58">IF(L48&gt;0,1,0)</f>
        <v>1</v>
      </c>
      <c r="C58">
        <f t="shared" si="26"/>
        <v>1</v>
      </c>
      <c r="D58">
        <f t="shared" si="26"/>
        <v>1</v>
      </c>
      <c r="E58">
        <f t="shared" si="26"/>
        <v>1</v>
      </c>
      <c r="F58">
        <f t="shared" si="26"/>
        <v>1</v>
      </c>
      <c r="G58">
        <f t="shared" si="26"/>
        <v>0</v>
      </c>
      <c r="H58">
        <f t="shared" si="26"/>
        <v>0</v>
      </c>
      <c r="I58">
        <f t="shared" si="26"/>
        <v>0</v>
      </c>
      <c r="J58">
        <f t="shared" si="26"/>
        <v>1</v>
      </c>
      <c r="K58">
        <f t="shared" si="26"/>
        <v>1</v>
      </c>
      <c r="L58">
        <f t="shared" si="26"/>
        <v>1</v>
      </c>
      <c r="M58">
        <f t="shared" si="26"/>
        <v>0</v>
      </c>
    </row>
    <row r="59" spans="2:16" ht="12.75" hidden="1">
      <c r="B59">
        <f aca="true" t="shared" si="27" ref="B59:M59">IF(M48&gt;0,1,0)</f>
        <v>1</v>
      </c>
      <c r="C59">
        <f t="shared" si="27"/>
        <v>1</v>
      </c>
      <c r="D59">
        <f t="shared" si="27"/>
        <v>1</v>
      </c>
      <c r="E59">
        <f t="shared" si="27"/>
        <v>1</v>
      </c>
      <c r="F59">
        <f t="shared" si="27"/>
        <v>0</v>
      </c>
      <c r="G59">
        <f t="shared" si="27"/>
        <v>0</v>
      </c>
      <c r="H59">
        <f t="shared" si="27"/>
        <v>0</v>
      </c>
      <c r="I59">
        <f t="shared" si="27"/>
        <v>1</v>
      </c>
      <c r="J59">
        <f t="shared" si="27"/>
        <v>1</v>
      </c>
      <c r="K59">
        <f t="shared" si="27"/>
        <v>1</v>
      </c>
      <c r="L59">
        <f t="shared" si="27"/>
        <v>0</v>
      </c>
      <c r="M59">
        <f t="shared" si="27"/>
        <v>1</v>
      </c>
      <c r="N59" t="s">
        <v>233</v>
      </c>
      <c r="P59" t="s">
        <v>237</v>
      </c>
    </row>
    <row r="60" spans="2:16" ht="12.75" hidden="1">
      <c r="B60">
        <f>IF(B48&gt;0,B48,0)</f>
        <v>607269</v>
      </c>
      <c r="C60">
        <f aca="true" t="shared" si="28" ref="C60:M60">IF(C48&gt;0,C48,0)</f>
        <v>607269</v>
      </c>
      <c r="D60">
        <f t="shared" si="28"/>
        <v>607269</v>
      </c>
      <c r="E60">
        <f t="shared" si="28"/>
        <v>0</v>
      </c>
      <c r="F60">
        <f t="shared" si="28"/>
        <v>0</v>
      </c>
      <c r="G60">
        <f t="shared" si="28"/>
        <v>0</v>
      </c>
      <c r="H60">
        <f t="shared" si="28"/>
        <v>24291</v>
      </c>
      <c r="I60">
        <f t="shared" si="28"/>
        <v>24291</v>
      </c>
      <c r="J60">
        <f t="shared" si="28"/>
        <v>24291</v>
      </c>
      <c r="K60">
        <f t="shared" si="28"/>
        <v>0</v>
      </c>
      <c r="L60">
        <f t="shared" si="28"/>
        <v>607269</v>
      </c>
      <c r="M60">
        <f t="shared" si="28"/>
        <v>607269</v>
      </c>
      <c r="N60" t="s">
        <v>236</v>
      </c>
      <c r="P60" t="s">
        <v>232</v>
      </c>
    </row>
    <row r="61" spans="1:17" ht="12.75">
      <c r="A61" t="s">
        <v>523</v>
      </c>
      <c r="B61">
        <f aca="true" t="shared" si="29" ref="B61:M61">B60+B49*C48+(B49*B50*D48)+(B49*B50*B51*E48)+(B49*B50*B51*B52*F48)+(B49*B50*B51*B52*B53*G48)+(B49*B50*B51*B52*B53*B54*H48)+(B49*B50*B51*B52*B53*B54*B55*I48)+(B49*B50*B51*B52*B53*B54*B55*B56*J48)+(B49*B50*B51*B52*B53*B54*B55*B56*B57*K48)+(B49*B50*B51*B52*B53*B54*B55*B56*B57*B58*L48)+(B49*B50*B51*B52*B53*B54*B55*B56*B57*B58*B59*M48)</f>
        <v>1821807</v>
      </c>
      <c r="C61">
        <f t="shared" si="29"/>
        <v>1214538</v>
      </c>
      <c r="D61">
        <f t="shared" si="29"/>
        <v>607269</v>
      </c>
      <c r="E61">
        <f t="shared" si="29"/>
        <v>0</v>
      </c>
      <c r="F61">
        <f t="shared" si="29"/>
        <v>0</v>
      </c>
      <c r="G61">
        <f t="shared" si="29"/>
        <v>72873</v>
      </c>
      <c r="H61">
        <f t="shared" si="29"/>
        <v>72873</v>
      </c>
      <c r="I61">
        <f t="shared" si="29"/>
        <v>48582</v>
      </c>
      <c r="J61">
        <f t="shared" si="29"/>
        <v>24291</v>
      </c>
      <c r="K61">
        <f t="shared" si="29"/>
        <v>3036345</v>
      </c>
      <c r="L61">
        <f t="shared" si="29"/>
        <v>3036345</v>
      </c>
      <c r="M61">
        <f t="shared" si="29"/>
        <v>2429076</v>
      </c>
      <c r="N61">
        <f>MAX(B61:M61)</f>
        <v>3036345</v>
      </c>
      <c r="O61" t="s">
        <v>230</v>
      </c>
      <c r="P61">
        <f>SUM(B60:M60)</f>
        <v>3109218</v>
      </c>
      <c r="Q61" t="s">
        <v>230</v>
      </c>
    </row>
    <row r="62" spans="14:15" ht="12.75">
      <c r="N62">
        <f>ROUND(N61/2000,0)</f>
        <v>1518</v>
      </c>
      <c r="O62" t="s">
        <v>231</v>
      </c>
    </row>
    <row r="66" ht="12.75">
      <c r="A66" s="6" t="s">
        <v>158</v>
      </c>
    </row>
    <row r="67" spans="1:2" ht="12.75">
      <c r="A67" t="s">
        <v>422</v>
      </c>
      <c r="B67">
        <v>220</v>
      </c>
    </row>
    <row r="68" spans="1:3" ht="12.75">
      <c r="A68" t="s">
        <v>228</v>
      </c>
      <c r="B68">
        <v>46</v>
      </c>
      <c r="C68" t="s">
        <v>230</v>
      </c>
    </row>
    <row r="69" spans="1:3" ht="12.75">
      <c r="A69" t="s">
        <v>414</v>
      </c>
      <c r="B69" s="26">
        <f>'OPT-Decisions'!$C$36</f>
        <v>0</v>
      </c>
      <c r="C69" t="s">
        <v>424</v>
      </c>
    </row>
    <row r="70" spans="1:3" ht="12.75">
      <c r="A70" t="s">
        <v>415</v>
      </c>
      <c r="B70">
        <f>B67*B68*B69*365/2000</f>
        <v>0</v>
      </c>
      <c r="C70" t="s">
        <v>231</v>
      </c>
    </row>
    <row r="76" spans="1:8" s="232" customFormat="1" ht="19.5" thickBot="1">
      <c r="A76" s="120" t="s">
        <v>526</v>
      </c>
      <c r="B76" s="150"/>
      <c r="C76" s="150"/>
      <c r="D76" s="150"/>
      <c r="E76" s="150"/>
      <c r="F76" s="150"/>
      <c r="G76" s="150"/>
      <c r="H76" s="150"/>
    </row>
    <row r="78" spans="1:3" ht="12.75">
      <c r="A78" t="s">
        <v>241</v>
      </c>
      <c r="B78">
        <f>P33</f>
        <v>318105</v>
      </c>
      <c r="C78" t="s">
        <v>230</v>
      </c>
    </row>
    <row r="79" spans="1:3" ht="12.75">
      <c r="A79" t="s">
        <v>426</v>
      </c>
      <c r="B79">
        <f>P61</f>
        <v>3109218</v>
      </c>
      <c r="C79" t="s">
        <v>230</v>
      </c>
    </row>
    <row r="80" spans="1:3" ht="12.75">
      <c r="A80" t="s">
        <v>242</v>
      </c>
      <c r="B80">
        <f>B78+B79</f>
        <v>3427323</v>
      </c>
      <c r="C80" t="s">
        <v>230</v>
      </c>
    </row>
    <row r="81" spans="1:3" ht="12.75">
      <c r="A81" t="s">
        <v>416</v>
      </c>
      <c r="B81">
        <f>(B13+B41)/2000</f>
        <v>0</v>
      </c>
      <c r="C81" t="s">
        <v>231</v>
      </c>
    </row>
    <row r="82" spans="1:3" ht="12.75">
      <c r="A82" t="s">
        <v>243</v>
      </c>
      <c r="B82">
        <f>B14/2000+B42/2000+B81</f>
        <v>3922.655</v>
      </c>
      <c r="C82" t="s">
        <v>231</v>
      </c>
    </row>
    <row r="83" spans="1:3" ht="12.75">
      <c r="A83" t="s">
        <v>244</v>
      </c>
      <c r="B83">
        <f>1-B81/B82</f>
        <v>1</v>
      </c>
      <c r="C83" t="s">
        <v>417</v>
      </c>
    </row>
    <row r="84" spans="1:2" ht="12.75">
      <c r="A84" t="s">
        <v>216</v>
      </c>
      <c r="B84" t="s">
        <v>216</v>
      </c>
    </row>
    <row r="85" s="232" customFormat="1" ht="19.5" thickBot="1">
      <c r="A85" s="120" t="s">
        <v>248</v>
      </c>
    </row>
    <row r="87" spans="1:3" ht="12.75">
      <c r="A87" t="s">
        <v>249</v>
      </c>
      <c r="B87" s="26">
        <f>ROUND(G16*B14/2000,0)</f>
        <v>209</v>
      </c>
      <c r="C87" t="s">
        <v>231</v>
      </c>
    </row>
    <row r="88" spans="1:3" ht="12.75">
      <c r="A88" t="s">
        <v>250</v>
      </c>
      <c r="B88" s="26">
        <f>ROUND(G44*(B42/2000),0)</f>
        <v>2733</v>
      </c>
      <c r="C88" t="s">
        <v>231</v>
      </c>
    </row>
    <row r="90" spans="1:3" s="232" customFormat="1" ht="19.5" thickBot="1">
      <c r="A90" s="120" t="s">
        <v>529</v>
      </c>
      <c r="B90" s="150"/>
      <c r="C90" s="150"/>
    </row>
    <row r="91" ht="12.75">
      <c r="A91" t="s">
        <v>524</v>
      </c>
    </row>
    <row r="92" ht="12.75">
      <c r="B92" s="177" t="s">
        <v>428</v>
      </c>
    </row>
    <row r="93" spans="1:3" ht="12.75">
      <c r="A93" t="s">
        <v>419</v>
      </c>
      <c r="B93">
        <f>MAX(N34,B13/2000/1.5625)</f>
        <v>159</v>
      </c>
      <c r="C93" t="s">
        <v>231</v>
      </c>
    </row>
    <row r="94" spans="1:3" ht="12.75">
      <c r="A94" t="s">
        <v>420</v>
      </c>
      <c r="B94">
        <f>MAX(N62,B41/2000/1.5625)</f>
        <v>1518</v>
      </c>
      <c r="C94" t="s">
        <v>231</v>
      </c>
    </row>
    <row r="95" spans="1:2" ht="12.75">
      <c r="A95" t="s">
        <v>427</v>
      </c>
      <c r="B95">
        <f>B70/1.5625</f>
        <v>0</v>
      </c>
    </row>
    <row r="97" s="232" customFormat="1" ht="19.5" thickBot="1">
      <c r="A97" s="120" t="s">
        <v>530</v>
      </c>
    </row>
    <row r="98" spans="1:2" ht="12.75">
      <c r="A98" t="s">
        <v>531</v>
      </c>
      <c r="B98" t="s">
        <v>532</v>
      </c>
    </row>
    <row r="99" spans="1:8" ht="12.75">
      <c r="A99" s="90" t="s">
        <v>441</v>
      </c>
      <c r="B99">
        <v>4.3</v>
      </c>
      <c r="C99" t="s">
        <v>434</v>
      </c>
      <c r="E99" s="122" t="s">
        <v>436</v>
      </c>
      <c r="F99" s="122"/>
      <c r="G99">
        <v>5597</v>
      </c>
      <c r="H99" t="s">
        <v>440</v>
      </c>
    </row>
    <row r="100" spans="1:7" ht="12.75">
      <c r="A100" s="90" t="s">
        <v>442</v>
      </c>
      <c r="B100">
        <v>2.86</v>
      </c>
      <c r="C100" t="s">
        <v>434</v>
      </c>
      <c r="E100" s="122" t="s">
        <v>437</v>
      </c>
      <c r="F100" s="122"/>
      <c r="G100">
        <v>0.03</v>
      </c>
    </row>
    <row r="101" spans="1:9" ht="12.75">
      <c r="A101" s="90" t="s">
        <v>443</v>
      </c>
      <c r="B101">
        <v>100</v>
      </c>
      <c r="C101" t="s">
        <v>435</v>
      </c>
      <c r="E101" s="122" t="s">
        <v>439</v>
      </c>
      <c r="F101" s="122"/>
      <c r="G101">
        <f>G99*G100*B101</f>
        <v>16791</v>
      </c>
      <c r="H101" t="s">
        <v>230</v>
      </c>
      <c r="I101" t="s">
        <v>216</v>
      </c>
    </row>
    <row r="102" spans="1:8" ht="12.75">
      <c r="A102" s="90" t="s">
        <v>444</v>
      </c>
      <c r="B102">
        <v>35</v>
      </c>
      <c r="C102" t="s">
        <v>435</v>
      </c>
      <c r="E102" s="122" t="s">
        <v>438</v>
      </c>
      <c r="F102" s="122"/>
      <c r="G102">
        <f>G99*G100*B102</f>
        <v>5876.849999999999</v>
      </c>
      <c r="H102" t="s">
        <v>230</v>
      </c>
    </row>
    <row r="104" spans="1:7" s="190" customFormat="1" ht="51">
      <c r="A104" s="190" t="s">
        <v>119</v>
      </c>
      <c r="B104" s="190" t="s">
        <v>445</v>
      </c>
      <c r="C104" s="190" t="s">
        <v>446</v>
      </c>
      <c r="D104" s="190" t="s">
        <v>447</v>
      </c>
      <c r="E104" s="190" t="s">
        <v>448</v>
      </c>
      <c r="F104" s="190" t="s">
        <v>449</v>
      </c>
      <c r="G104" s="190" t="s">
        <v>450</v>
      </c>
    </row>
    <row r="105" spans="1:7" ht="12.75">
      <c r="A105" s="122" t="s">
        <v>14</v>
      </c>
      <c r="B105" s="4">
        <f>('OPT-Decisions'!B7*$B$15+'OPT-Decisions'!B19*$B$43)*$B$100</f>
        <v>15.961231000000002</v>
      </c>
      <c r="C105" s="4">
        <f>('OPT-Decisions'!C7*$B$14/2000+'OPT-Decisions'!C19*$B$42/2000)*$B$100</f>
        <v>15.961231000000002</v>
      </c>
      <c r="D105" s="4">
        <f>IF(C105&lt;B105,B105-C105,0)</f>
        <v>0</v>
      </c>
      <c r="E105" s="4">
        <f>('OPT-Decisions'!B7*$B$15+'OPT-Decisions'!B19*$B$43)*$B$99</f>
        <v>23.997655</v>
      </c>
      <c r="F105" s="4">
        <f>('OPT-Decisions'!C7*$B$14/2000+'OPT-Decisions'!C19*$B$42/2000)*$B$99</f>
        <v>23.997655</v>
      </c>
      <c r="G105" s="4">
        <f>IF(F105&lt;E105,E105-F105,0)</f>
        <v>0</v>
      </c>
    </row>
    <row r="106" spans="1:7" ht="12.75">
      <c r="A106" s="122" t="s">
        <v>42</v>
      </c>
      <c r="B106" s="4">
        <f>('OPT-Decisions'!B8*$B$15+'OPT-Decisions'!B20*$B$43)*$B$100</f>
        <v>15.961231000000002</v>
      </c>
      <c r="C106" s="4">
        <f>('OPT-Decisions'!C8*$B$14/2000+'OPT-Decisions'!C20*$B$42/2000)*$B$100</f>
        <v>15.961231000000002</v>
      </c>
      <c r="D106" s="4">
        <f aca="true" t="shared" si="30" ref="D106:D116">IF(C106&lt;B106,B106-C106,0)</f>
        <v>0</v>
      </c>
      <c r="E106" s="4">
        <f>('OPT-Decisions'!B8*$B$15+'OPT-Decisions'!B20*$B$43)*$B$99</f>
        <v>23.997655</v>
      </c>
      <c r="F106" s="4">
        <f>('OPT-Decisions'!C8*$B$14/2000+'OPT-Decisions'!C20*$B$42/2000)*$B$99</f>
        <v>23.997655</v>
      </c>
      <c r="G106" s="4">
        <f aca="true" t="shared" si="31" ref="G106:G116">IF(F106&lt;E106,E106-F106,0)</f>
        <v>0</v>
      </c>
    </row>
    <row r="107" spans="1:7" ht="12.75">
      <c r="A107" s="122" t="s">
        <v>43</v>
      </c>
      <c r="B107" s="4">
        <f>('OPT-Decisions'!B9*$B$15+'OPT-Decisions'!B21*$B$43)*$B$100</f>
        <v>15.961231000000002</v>
      </c>
      <c r="C107" s="4">
        <f>('OPT-Decisions'!C9*$B$14/2000+'OPT-Decisions'!C21*$B$42/2000)*$B$100</f>
        <v>15.961231000000002</v>
      </c>
      <c r="D107" s="4">
        <f t="shared" si="30"/>
        <v>0</v>
      </c>
      <c r="E107" s="4">
        <f>('OPT-Decisions'!B9*$B$15+'OPT-Decisions'!B21*$B$43)*$B$99</f>
        <v>23.997655</v>
      </c>
      <c r="F107" s="4">
        <f>('OPT-Decisions'!C9*$B$14/2000+'OPT-Decisions'!C21*$B$42/2000)*$B$99</f>
        <v>23.997655</v>
      </c>
      <c r="G107" s="4">
        <f t="shared" si="31"/>
        <v>0</v>
      </c>
    </row>
    <row r="108" spans="1:7" ht="12.75">
      <c r="A108" s="122" t="s">
        <v>44</v>
      </c>
      <c r="B108" s="4">
        <f>('OPT-Decisions'!B10*$B$15+'OPT-Decisions'!B22*$B$43)*$B$100</f>
        <v>2308.5222160000003</v>
      </c>
      <c r="C108" s="4">
        <f>('OPT-Decisions'!C10*$B$14/2000+'OPT-Decisions'!C22*$B$42/2000)*$B$100</f>
        <v>2308.522216</v>
      </c>
      <c r="D108" s="4">
        <f t="shared" si="30"/>
        <v>0</v>
      </c>
      <c r="E108" s="4">
        <f>('OPT-Decisions'!B10*$B$15+'OPT-Decisions'!B22*$B$43)*$B$99</f>
        <v>3470.8550800000003</v>
      </c>
      <c r="F108" s="4">
        <f>('OPT-Decisions'!C10*$B$14/2000+'OPT-Decisions'!C22*$B$42/2000)*$B$99</f>
        <v>3470.85508</v>
      </c>
      <c r="G108" s="4">
        <f t="shared" si="31"/>
        <v>0</v>
      </c>
    </row>
    <row r="109" spans="1:7" ht="12.75">
      <c r="A109" s="122" t="s">
        <v>45</v>
      </c>
      <c r="B109" s="4">
        <f>('OPT-Decisions'!B11*$B$15+'OPT-Decisions'!B23*$B$43)*$B$100</f>
        <v>2308.5222160000003</v>
      </c>
      <c r="C109" s="4">
        <f>('OPT-Decisions'!C11*$B$14/2000+'OPT-Decisions'!C23*$B$42/2000)*$B$100</f>
        <v>2308.522216</v>
      </c>
      <c r="D109" s="4">
        <f t="shared" si="30"/>
        <v>0</v>
      </c>
      <c r="E109" s="4">
        <f>('OPT-Decisions'!B11*$B$15+'OPT-Decisions'!B23*$B$43)*$B$99</f>
        <v>3470.8550800000003</v>
      </c>
      <c r="F109" s="4">
        <f>('OPT-Decisions'!C11*$B$14/2000+'OPT-Decisions'!C23*$B$42/2000)*$B$99</f>
        <v>3470.85508</v>
      </c>
      <c r="G109" s="4">
        <f t="shared" si="31"/>
        <v>0</v>
      </c>
    </row>
    <row r="110" spans="1:7" ht="12.75">
      <c r="A110" s="122" t="s">
        <v>46</v>
      </c>
      <c r="B110" s="4">
        <f>('OPT-Decisions'!B12*$B$15+'OPT-Decisions'!B24*$B$43)*$B$100</f>
        <v>2412.7295335000003</v>
      </c>
      <c r="C110" s="4">
        <f>('OPT-Decisions'!C12*$B$14/2000+'OPT-Decisions'!C24*$B$42/2000)*$B$100</f>
        <v>2412.7295335000003</v>
      </c>
      <c r="D110" s="4">
        <f t="shared" si="30"/>
        <v>0</v>
      </c>
      <c r="E110" s="4">
        <f>('OPT-Decisions'!B12*$B$15+'OPT-Decisions'!B24*$B$43)*$B$99</f>
        <v>3627.5304175</v>
      </c>
      <c r="F110" s="4">
        <f>('OPT-Decisions'!C12*$B$14/2000+'OPT-Decisions'!C24*$B$42/2000)*$B$99</f>
        <v>3627.5304175</v>
      </c>
      <c r="G110" s="4">
        <f t="shared" si="31"/>
        <v>0</v>
      </c>
    </row>
    <row r="111" spans="1:7" ht="12.75">
      <c r="A111" s="122" t="s">
        <v>69</v>
      </c>
      <c r="B111" s="4">
        <f>('OPT-Decisions'!B13*$B$15+'OPT-Decisions'!B25*$B$43)*$B$100</f>
        <v>1049.1351585</v>
      </c>
      <c r="C111" s="4">
        <f>('OPT-Decisions'!C13*$B$14/2000+'OPT-Decisions'!C25*$B$42/2000)*$B$100</f>
        <v>1049.1351585</v>
      </c>
      <c r="D111" s="4">
        <f t="shared" si="30"/>
        <v>0</v>
      </c>
      <c r="E111" s="4">
        <f>('OPT-Decisions'!B13*$B$15+'OPT-Decisions'!B25*$B$43)*$B$99</f>
        <v>1577.3710425000002</v>
      </c>
      <c r="F111" s="4">
        <f>('OPT-Decisions'!C13*$B$14/2000+'OPT-Decisions'!C25*$B$42/2000)*$B$99</f>
        <v>1577.3710425</v>
      </c>
      <c r="G111" s="4">
        <f t="shared" si="31"/>
        <v>0</v>
      </c>
    </row>
    <row r="112" spans="1:7" ht="12.75">
      <c r="A112" s="122" t="s">
        <v>47</v>
      </c>
      <c r="B112" s="4">
        <f>('OPT-Decisions'!B14*$B$15+'OPT-Decisions'!B26*$B$43)*$B$100</f>
        <v>1049.1351585</v>
      </c>
      <c r="C112" s="4">
        <f>('OPT-Decisions'!C14*$B$14/2000+'OPT-Decisions'!C26*$B$42/2000)*$B$100</f>
        <v>1049.1351585</v>
      </c>
      <c r="D112" s="4">
        <f t="shared" si="30"/>
        <v>0</v>
      </c>
      <c r="E112" s="4">
        <f>('OPT-Decisions'!B14*$B$15+'OPT-Decisions'!B26*$B$43)*$B$99</f>
        <v>1577.3710425000002</v>
      </c>
      <c r="F112" s="4">
        <f>('OPT-Decisions'!C14*$B$14/2000+'OPT-Decisions'!C26*$B$42/2000)*$B$99</f>
        <v>1577.3710425</v>
      </c>
      <c r="G112" s="4">
        <f t="shared" si="31"/>
        <v>0</v>
      </c>
    </row>
    <row r="113" spans="1:7" ht="12.75">
      <c r="A113" s="122" t="s">
        <v>70</v>
      </c>
      <c r="B113" s="4">
        <f>('OPT-Decisions'!B15*$B$15+'OPT-Decisions'!B27*$B$43)*$B$100</f>
        <v>1057.115774</v>
      </c>
      <c r="C113" s="4">
        <f>('OPT-Decisions'!C15*$B$14/2000+'OPT-Decisions'!C27*$B$42/2000)*$B$100</f>
        <v>1057.1157739999999</v>
      </c>
      <c r="D113" s="4">
        <f t="shared" si="30"/>
        <v>0</v>
      </c>
      <c r="E113" s="4">
        <f>('OPT-Decisions'!B15*$B$15+'OPT-Decisions'!B27*$B$43)*$B$99</f>
        <v>1589.3698700000002</v>
      </c>
      <c r="F113" s="4">
        <f>('OPT-Decisions'!C15*$B$14/2000+'OPT-Decisions'!C27*$B$42/2000)*$B$99</f>
        <v>1589.36987</v>
      </c>
      <c r="G113" s="4">
        <f t="shared" si="31"/>
        <v>0</v>
      </c>
    </row>
    <row r="114" spans="1:7" ht="12.75">
      <c r="A114" s="122" t="s">
        <v>48</v>
      </c>
      <c r="B114" s="4">
        <f>('OPT-Decisions'!B16*$B$15+'OPT-Decisions'!B28*$B$43)*$B$100</f>
        <v>953.8270885</v>
      </c>
      <c r="C114" s="4">
        <f>('OPT-Decisions'!C16*$B$14/2000+'OPT-Decisions'!C28*$B$42/2000)*$B$100</f>
        <v>953.8270885</v>
      </c>
      <c r="D114" s="4">
        <f t="shared" si="30"/>
        <v>0</v>
      </c>
      <c r="E114" s="4">
        <f>('OPT-Decisions'!B16*$B$15+'OPT-Decisions'!B28*$B$43)*$B$99</f>
        <v>1434.0756924999998</v>
      </c>
      <c r="F114" s="4">
        <f>('OPT-Decisions'!C16*$B$14/2000+'OPT-Decisions'!C28*$B$42/2000)*$B$99</f>
        <v>1434.0756924999998</v>
      </c>
      <c r="G114" s="4">
        <f t="shared" si="31"/>
        <v>0</v>
      </c>
    </row>
    <row r="115" spans="1:7" ht="12.75">
      <c r="A115" s="122" t="s">
        <v>49</v>
      </c>
      <c r="B115" s="4">
        <f>('OPT-Decisions'!B17*$B$15+'OPT-Decisions'!B29*$B$43)*$B$100</f>
        <v>15.961231000000002</v>
      </c>
      <c r="C115" s="4">
        <f>('OPT-Decisions'!C17*$B$14/2000+'OPT-Decisions'!C29*$B$42/2000)*$B$100</f>
        <v>15.961231000000002</v>
      </c>
      <c r="D115" s="4">
        <f t="shared" si="30"/>
        <v>0</v>
      </c>
      <c r="E115" s="4">
        <f>('OPT-Decisions'!B17*$B$15+'OPT-Decisions'!B29*$B$43)*$B$99</f>
        <v>23.997655</v>
      </c>
      <c r="F115" s="4">
        <f>('OPT-Decisions'!C17*$B$14/2000+'OPT-Decisions'!C29*$B$42/2000)*$B$99</f>
        <v>23.997655</v>
      </c>
      <c r="G115" s="4">
        <f t="shared" si="31"/>
        <v>0</v>
      </c>
    </row>
    <row r="116" spans="1:7" ht="12.75">
      <c r="A116" s="122" t="s">
        <v>50</v>
      </c>
      <c r="B116" s="4">
        <f>('OPT-Decisions'!B18*$B$15+'OPT-Decisions'!B30*$B$43)*$B$100</f>
        <v>15.961231000000002</v>
      </c>
      <c r="C116" s="4">
        <f>('OPT-Decisions'!C18*$B$14/2000+'OPT-Decisions'!C30*$B$42/2000)*$B$100</f>
        <v>15.961231000000002</v>
      </c>
      <c r="D116" s="4">
        <f t="shared" si="30"/>
        <v>0</v>
      </c>
      <c r="E116" s="4">
        <f>('OPT-Decisions'!B18*$B$15+'OPT-Decisions'!B30*$B$43)*$B$99</f>
        <v>23.997655</v>
      </c>
      <c r="F116" s="4">
        <f>('OPT-Decisions'!C18*$B$14/2000+'OPT-Decisions'!C30*$B$42/2000)*$B$99</f>
        <v>23.997655</v>
      </c>
      <c r="G116" s="4">
        <f t="shared" si="31"/>
        <v>0</v>
      </c>
    </row>
    <row r="117" spans="1:8" ht="12.75">
      <c r="A117" t="s">
        <v>525</v>
      </c>
      <c r="D117" s="4">
        <f>SUM(D107:D114)</f>
        <v>0</v>
      </c>
      <c r="E117" s="4" t="s">
        <v>230</v>
      </c>
      <c r="F117" s="4"/>
      <c r="G117" s="4">
        <f>SUM(G107:G114)</f>
        <v>0</v>
      </c>
      <c r="H117" t="s">
        <v>230</v>
      </c>
    </row>
    <row r="118" spans="4:8" ht="12.75">
      <c r="D118">
        <f>D117/2000</f>
        <v>0</v>
      </c>
      <c r="E118" t="s">
        <v>231</v>
      </c>
      <c r="G118">
        <f>G117/2000</f>
        <v>0</v>
      </c>
      <c r="H118" t="s">
        <v>231</v>
      </c>
    </row>
  </sheetData>
  <printOptions gridLines="1" headings="1"/>
  <pageMargins left="0.75" right="0.75" top="1" bottom="1" header="0.5" footer="0.5"/>
  <pageSetup horizontalDpi="600" verticalDpi="600" orientation="landscape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O79"/>
  <sheetViews>
    <sheetView showGridLines="0" workbookViewId="0" topLeftCell="A1">
      <selection activeCell="E88" sqref="E88"/>
    </sheetView>
  </sheetViews>
  <sheetFormatPr defaultColWidth="9.140625" defaultRowHeight="12.75"/>
  <cols>
    <col min="1" max="1" width="13.140625" style="1" customWidth="1"/>
    <col min="2" max="2" width="16.140625" style="1" customWidth="1"/>
    <col min="3" max="3" width="12.8515625" style="1" customWidth="1"/>
    <col min="4" max="4" width="9.140625" style="1" customWidth="1"/>
    <col min="5" max="5" width="14.00390625" style="1" customWidth="1"/>
    <col min="6" max="8" width="9.140625" style="1" customWidth="1"/>
    <col min="9" max="9" width="12.140625" style="1" customWidth="1"/>
    <col min="10" max="16384" width="9.140625" style="1" customWidth="1"/>
  </cols>
  <sheetData>
    <row r="1" spans="1:9" s="196" customFormat="1" ht="23.25" thickBot="1">
      <c r="A1" s="226" t="s">
        <v>538</v>
      </c>
      <c r="B1" s="226"/>
      <c r="C1" s="226"/>
      <c r="D1" s="226"/>
      <c r="E1" s="226"/>
      <c r="F1" s="226"/>
      <c r="G1" s="226"/>
      <c r="H1" s="226"/>
      <c r="I1" s="226"/>
    </row>
    <row r="3" ht="12.75">
      <c r="A3" s="23" t="s">
        <v>86</v>
      </c>
    </row>
    <row r="4" ht="12.75">
      <c r="A4" s="23"/>
    </row>
    <row r="5" ht="12.75">
      <c r="A5" s="26" t="s">
        <v>193</v>
      </c>
    </row>
    <row r="6" ht="12.75">
      <c r="A6" s="26" t="s">
        <v>194</v>
      </c>
    </row>
    <row r="7" ht="12.75">
      <c r="A7" s="26" t="s">
        <v>196</v>
      </c>
    </row>
    <row r="8" ht="12.75">
      <c r="A8" s="26"/>
    </row>
    <row r="9" spans="1:4" ht="12.75">
      <c r="A9" s="23"/>
      <c r="B9" s="19" t="s">
        <v>148</v>
      </c>
      <c r="C9" s="1" t="s">
        <v>149</v>
      </c>
      <c r="D9" s="1" t="s">
        <v>150</v>
      </c>
    </row>
    <row r="10" spans="1:4" ht="12.75">
      <c r="A10" s="23"/>
      <c r="D10" s="1" t="s">
        <v>151</v>
      </c>
    </row>
    <row r="11" spans="1:4" ht="12.75">
      <c r="A11" s="23"/>
      <c r="D11" s="1" t="s">
        <v>152</v>
      </c>
    </row>
    <row r="12" spans="1:4" ht="12.75">
      <c r="A12" s="23"/>
      <c r="D12" s="1" t="s">
        <v>153</v>
      </c>
    </row>
    <row r="13" ht="12.75">
      <c r="A13" s="23"/>
    </row>
    <row r="14" ht="12.75">
      <c r="A14" s="26" t="s">
        <v>195</v>
      </c>
    </row>
    <row r="15" ht="12.75">
      <c r="A15" s="26" t="s">
        <v>154</v>
      </c>
    </row>
    <row r="16" ht="12.75">
      <c r="A16" s="26"/>
    </row>
    <row r="17" ht="12.75">
      <c r="A17" s="26" t="s">
        <v>155</v>
      </c>
    </row>
    <row r="18" ht="12.75">
      <c r="A18" s="26"/>
    </row>
    <row r="20" spans="1:13" ht="9.75">
      <c r="A20" s="50" t="s">
        <v>3</v>
      </c>
      <c r="E20" s="50" t="s">
        <v>2</v>
      </c>
      <c r="I20" s="50" t="s">
        <v>8</v>
      </c>
      <c r="M20" s="50" t="s">
        <v>97</v>
      </c>
    </row>
    <row r="21" spans="1:13" ht="9.75">
      <c r="A21" s="57" t="s">
        <v>14</v>
      </c>
      <c r="E21" s="56" t="s">
        <v>14</v>
      </c>
      <c r="I21" s="56" t="s">
        <v>67</v>
      </c>
      <c r="M21" s="56" t="s">
        <v>67</v>
      </c>
    </row>
    <row r="22" spans="2:15" ht="9.75">
      <c r="B22" s="2" t="s">
        <v>78</v>
      </c>
      <c r="C22" s="2" t="s">
        <v>79</v>
      </c>
      <c r="F22" s="2" t="s">
        <v>78</v>
      </c>
      <c r="G22" s="2" t="s">
        <v>79</v>
      </c>
      <c r="J22" s="2" t="s">
        <v>78</v>
      </c>
      <c r="K22" s="2" t="s">
        <v>79</v>
      </c>
      <c r="N22" s="2" t="s">
        <v>78</v>
      </c>
      <c r="O22" s="2" t="s">
        <v>79</v>
      </c>
    </row>
    <row r="23" spans="2:15" ht="9.75">
      <c r="B23" s="2" t="s">
        <v>19</v>
      </c>
      <c r="C23" s="2" t="s">
        <v>80</v>
      </c>
      <c r="F23" s="2" t="s">
        <v>19</v>
      </c>
      <c r="G23" s="2" t="s">
        <v>80</v>
      </c>
      <c r="J23" s="2" t="s">
        <v>19</v>
      </c>
      <c r="K23" s="2" t="s">
        <v>80</v>
      </c>
      <c r="N23" s="2" t="s">
        <v>19</v>
      </c>
      <c r="O23" s="2" t="s">
        <v>80</v>
      </c>
    </row>
    <row r="24" spans="1:15" ht="9.75">
      <c r="A24" s="2" t="s">
        <v>5</v>
      </c>
      <c r="B24" s="8">
        <f>'FC-Cropland'!Z19</f>
        <v>44792081.28346407</v>
      </c>
      <c r="C24" s="8">
        <f>+B24*1.8</f>
        <v>80625746.31023532</v>
      </c>
      <c r="E24" s="2" t="s">
        <v>5</v>
      </c>
      <c r="F24" s="8">
        <f>'FC-Pastureland'!AE18</f>
        <v>11636950231.481482</v>
      </c>
      <c r="G24" s="8">
        <f>+F24*1.8</f>
        <v>20946510416.666668</v>
      </c>
      <c r="I24" s="2" t="s">
        <v>5</v>
      </c>
      <c r="J24" s="8">
        <f>'FC-Background'!F9</f>
        <v>8593750.000000002</v>
      </c>
      <c r="K24" s="8">
        <f>+J24*1.8</f>
        <v>15468750.000000004</v>
      </c>
      <c r="M24" s="2" t="s">
        <v>5</v>
      </c>
      <c r="N24" s="84">
        <f>+'FC-Background'!J22</f>
        <v>11327009.751473254</v>
      </c>
      <c r="O24" s="8">
        <f>+N24*1.8</f>
        <v>20388617.552651856</v>
      </c>
    </row>
    <row r="26" spans="1:5" ht="9.75">
      <c r="A26" s="56" t="s">
        <v>42</v>
      </c>
      <c r="E26" s="56" t="s">
        <v>42</v>
      </c>
    </row>
    <row r="27" spans="2:7" ht="9.75">
      <c r="B27" s="2" t="s">
        <v>78</v>
      </c>
      <c r="C27" s="2" t="s">
        <v>79</v>
      </c>
      <c r="F27" s="2" t="s">
        <v>78</v>
      </c>
      <c r="G27" s="2" t="s">
        <v>79</v>
      </c>
    </row>
    <row r="28" spans="2:7" ht="9.75">
      <c r="B28" s="2" t="s">
        <v>19</v>
      </c>
      <c r="C28" s="2" t="s">
        <v>80</v>
      </c>
      <c r="F28" s="2" t="s">
        <v>19</v>
      </c>
      <c r="G28" s="2" t="s">
        <v>80</v>
      </c>
    </row>
    <row r="29" spans="1:7" ht="9.75">
      <c r="A29" s="2" t="s">
        <v>5</v>
      </c>
      <c r="B29" s="8">
        <f>'FC-Cropland'!Z25</f>
        <v>49005295.3495495</v>
      </c>
      <c r="C29" s="8">
        <f>+B29*1.8</f>
        <v>88209531.6291891</v>
      </c>
      <c r="E29" s="2" t="s">
        <v>5</v>
      </c>
      <c r="F29" s="8">
        <f>'FC-Pastureland'!AE23</f>
        <v>11636950231.481482</v>
      </c>
      <c r="G29" s="8">
        <f>+F29*1.8</f>
        <v>20946510416.666668</v>
      </c>
    </row>
    <row r="31" spans="1:5" ht="9.75">
      <c r="A31" s="56" t="s">
        <v>43</v>
      </c>
      <c r="E31" s="56" t="s">
        <v>43</v>
      </c>
    </row>
    <row r="32" spans="2:7" ht="9.75">
      <c r="B32" s="2" t="s">
        <v>78</v>
      </c>
      <c r="C32" s="2" t="s">
        <v>79</v>
      </c>
      <c r="F32" s="2" t="s">
        <v>78</v>
      </c>
      <c r="G32" s="2" t="s">
        <v>79</v>
      </c>
    </row>
    <row r="33" spans="2:7" ht="9.75">
      <c r="B33" s="2" t="s">
        <v>19</v>
      </c>
      <c r="C33" s="2" t="s">
        <v>80</v>
      </c>
      <c r="F33" s="2" t="s">
        <v>19</v>
      </c>
      <c r="G33" s="2" t="s">
        <v>80</v>
      </c>
    </row>
    <row r="34" spans="1:7" ht="9.75">
      <c r="A34" s="2" t="s">
        <v>5</v>
      </c>
      <c r="B34" s="8">
        <f>'FC-Cropland'!Z31</f>
        <v>44792081.28346407</v>
      </c>
      <c r="C34" s="8">
        <f>+B34*1.8</f>
        <v>80625746.31023532</v>
      </c>
      <c r="E34" s="2" t="s">
        <v>5</v>
      </c>
      <c r="F34" s="8">
        <f>'FC-Pastureland'!AE29</f>
        <v>11636950231.481482</v>
      </c>
      <c r="G34" s="8">
        <f>+F34*1.8</f>
        <v>20946510416.666668</v>
      </c>
    </row>
    <row r="36" spans="1:5" ht="9.75">
      <c r="A36" s="56" t="s">
        <v>44</v>
      </c>
      <c r="E36" s="56" t="s">
        <v>44</v>
      </c>
    </row>
    <row r="37" spans="2:7" ht="9.75">
      <c r="B37" s="2" t="s">
        <v>78</v>
      </c>
      <c r="C37" s="2" t="s">
        <v>79</v>
      </c>
      <c r="F37" s="2" t="s">
        <v>78</v>
      </c>
      <c r="G37" s="2" t="s">
        <v>79</v>
      </c>
    </row>
    <row r="38" spans="2:7" ht="9.75">
      <c r="B38" s="2" t="s">
        <v>19</v>
      </c>
      <c r="C38" s="2" t="s">
        <v>80</v>
      </c>
      <c r="F38" s="2" t="s">
        <v>19</v>
      </c>
      <c r="G38" s="2" t="s">
        <v>80</v>
      </c>
    </row>
    <row r="39" spans="1:7" ht="9.75">
      <c r="A39" s="2" t="s">
        <v>5</v>
      </c>
      <c r="B39" s="8">
        <f>'FC-Cropland'!Z37</f>
        <v>9092092260.457981</v>
      </c>
      <c r="C39" s="8">
        <f>+B39*1.5</f>
        <v>13638138390.686972</v>
      </c>
      <c r="E39" s="2" t="s">
        <v>5</v>
      </c>
      <c r="F39" s="8">
        <f>'FC-Pastureland'!AE35</f>
        <v>11625318750</v>
      </c>
      <c r="G39" s="8">
        <f>+F39*1.5</f>
        <v>17437978125</v>
      </c>
    </row>
    <row r="41" spans="1:5" ht="9.75">
      <c r="A41" s="56" t="s">
        <v>45</v>
      </c>
      <c r="E41" s="56" t="s">
        <v>45</v>
      </c>
    </row>
    <row r="42" spans="2:7" ht="9.75">
      <c r="B42" s="2" t="s">
        <v>78</v>
      </c>
      <c r="C42" s="2" t="s">
        <v>79</v>
      </c>
      <c r="F42" s="2" t="s">
        <v>78</v>
      </c>
      <c r="G42" s="2" t="s">
        <v>79</v>
      </c>
    </row>
    <row r="43" spans="2:7" ht="9.75">
      <c r="B43" s="2" t="s">
        <v>19</v>
      </c>
      <c r="C43" s="2" t="s">
        <v>80</v>
      </c>
      <c r="F43" s="2" t="s">
        <v>19</v>
      </c>
      <c r="G43" s="2" t="s">
        <v>80</v>
      </c>
    </row>
    <row r="44" spans="1:7" ht="9.75">
      <c r="A44" s="2" t="s">
        <v>5</v>
      </c>
      <c r="B44" s="8">
        <f>'FC-Cropland'!Z43</f>
        <v>8798975373.023853</v>
      </c>
      <c r="C44" s="8">
        <f>+B44*1.5</f>
        <v>13198463059.53578</v>
      </c>
      <c r="E44" s="2" t="s">
        <v>5</v>
      </c>
      <c r="F44" s="8">
        <f>'FC-Pastureland'!AE41</f>
        <v>11625318750</v>
      </c>
      <c r="G44" s="8">
        <f>+F44*1.5</f>
        <v>17437978125</v>
      </c>
    </row>
    <row r="46" spans="1:5" ht="9.75">
      <c r="A46" s="56" t="s">
        <v>46</v>
      </c>
      <c r="E46" s="56" t="s">
        <v>46</v>
      </c>
    </row>
    <row r="47" spans="2:7" ht="9.75">
      <c r="B47" s="2" t="s">
        <v>78</v>
      </c>
      <c r="C47" s="2" t="s">
        <v>79</v>
      </c>
      <c r="F47" s="2" t="s">
        <v>78</v>
      </c>
      <c r="G47" s="2" t="s">
        <v>79</v>
      </c>
    </row>
    <row r="48" spans="2:7" ht="9.75">
      <c r="B48" s="2" t="s">
        <v>19</v>
      </c>
      <c r="C48" s="2" t="s">
        <v>80</v>
      </c>
      <c r="F48" s="2" t="s">
        <v>19</v>
      </c>
      <c r="G48" s="2" t="s">
        <v>80</v>
      </c>
    </row>
    <row r="49" spans="1:7" ht="9.75">
      <c r="A49" s="2" t="s">
        <v>5</v>
      </c>
      <c r="B49" s="8">
        <f>'FC-Cropland'!Z49</f>
        <v>9503273596.888212</v>
      </c>
      <c r="C49" s="8">
        <f>+B49*1.5</f>
        <v>14254910395.332317</v>
      </c>
      <c r="E49" s="2" t="s">
        <v>5</v>
      </c>
      <c r="F49" s="8">
        <f>'FC-Pastureland'!AE47</f>
        <v>11636950231.481482</v>
      </c>
      <c r="G49" s="8">
        <f>+F49*1.5</f>
        <v>17455425347.22222</v>
      </c>
    </row>
    <row r="51" spans="1:5" ht="9.75">
      <c r="A51" s="56" t="s">
        <v>69</v>
      </c>
      <c r="D51" s="58"/>
      <c r="E51" s="56" t="s">
        <v>69</v>
      </c>
    </row>
    <row r="52" spans="2:7" ht="9.75">
      <c r="B52" s="2" t="s">
        <v>78</v>
      </c>
      <c r="C52" s="2" t="s">
        <v>79</v>
      </c>
      <c r="F52" s="2" t="s">
        <v>78</v>
      </c>
      <c r="G52" s="2" t="s">
        <v>79</v>
      </c>
    </row>
    <row r="53" spans="2:7" ht="9.75">
      <c r="B53" s="2" t="s">
        <v>19</v>
      </c>
      <c r="C53" s="2" t="s">
        <v>80</v>
      </c>
      <c r="F53" s="2" t="s">
        <v>19</v>
      </c>
      <c r="G53" s="2" t="s">
        <v>80</v>
      </c>
    </row>
    <row r="54" spans="1:7" ht="9.75">
      <c r="A54" s="2" t="s">
        <v>5</v>
      </c>
      <c r="B54" s="8">
        <f>'FC-Cropland'!Z55</f>
        <v>3719673101.1414523</v>
      </c>
      <c r="C54" s="8">
        <f>+B54*1.5</f>
        <v>5579509651.712178</v>
      </c>
      <c r="E54" s="2" t="s">
        <v>5</v>
      </c>
      <c r="F54" s="8">
        <f>'FC-Pastureland'!AE53</f>
        <v>11636950231.481482</v>
      </c>
      <c r="G54" s="8">
        <f>+F54*1.5</f>
        <v>17455425347.22222</v>
      </c>
    </row>
    <row r="56" spans="1:5" ht="9.75">
      <c r="A56" s="56" t="s">
        <v>47</v>
      </c>
      <c r="E56" s="56" t="s">
        <v>47</v>
      </c>
    </row>
    <row r="57" spans="2:7" ht="9.75">
      <c r="B57" s="2" t="s">
        <v>78</v>
      </c>
      <c r="C57" s="2" t="s">
        <v>79</v>
      </c>
      <c r="F57" s="2" t="s">
        <v>78</v>
      </c>
      <c r="G57" s="2" t="s">
        <v>79</v>
      </c>
    </row>
    <row r="58" spans="2:7" ht="9.75">
      <c r="B58" s="2" t="s">
        <v>19</v>
      </c>
      <c r="C58" s="2" t="s">
        <v>80</v>
      </c>
      <c r="F58" s="2" t="s">
        <v>19</v>
      </c>
      <c r="G58" s="2" t="s">
        <v>80</v>
      </c>
    </row>
    <row r="59" spans="1:7" ht="9.75">
      <c r="A59" s="2" t="s">
        <v>5</v>
      </c>
      <c r="B59" s="8">
        <f>'FC-Cropland'!Z61</f>
        <v>3719673101.1414523</v>
      </c>
      <c r="C59" s="8">
        <f>+B59*1.5</f>
        <v>5579509651.712178</v>
      </c>
      <c r="E59" s="2" t="s">
        <v>5</v>
      </c>
      <c r="F59" s="8">
        <f>'FC-Pastureland'!AE59</f>
        <v>11636950231.481482</v>
      </c>
      <c r="G59" s="8">
        <f>+F59*1.5</f>
        <v>17455425347.22222</v>
      </c>
    </row>
    <row r="61" spans="1:5" ht="9.75">
      <c r="A61" s="56" t="s">
        <v>70</v>
      </c>
      <c r="E61" s="56" t="s">
        <v>70</v>
      </c>
    </row>
    <row r="62" spans="2:7" ht="9.75">
      <c r="B62" s="2" t="s">
        <v>78</v>
      </c>
      <c r="C62" s="2" t="s">
        <v>79</v>
      </c>
      <c r="F62" s="2" t="s">
        <v>78</v>
      </c>
      <c r="G62" s="2" t="s">
        <v>79</v>
      </c>
    </row>
    <row r="63" spans="2:7" ht="9.75">
      <c r="B63" s="2" t="s">
        <v>19</v>
      </c>
      <c r="C63" s="2" t="s">
        <v>80</v>
      </c>
      <c r="F63" s="2" t="s">
        <v>19</v>
      </c>
      <c r="G63" s="2" t="s">
        <v>80</v>
      </c>
    </row>
    <row r="64" spans="1:7" ht="9.75">
      <c r="A64" s="2" t="s">
        <v>5</v>
      </c>
      <c r="B64" s="8">
        <f>'FC-Cropland'!Z67</f>
        <v>3863796967.342623</v>
      </c>
      <c r="C64" s="8">
        <f>+B64*1.5</f>
        <v>5795695451.013935</v>
      </c>
      <c r="E64" s="2" t="s">
        <v>5</v>
      </c>
      <c r="F64" s="8">
        <f>'FC-Pastureland'!AE65</f>
        <v>11636950231.481482</v>
      </c>
      <c r="G64" s="8">
        <f>+F64*1.5</f>
        <v>17455425347.22222</v>
      </c>
    </row>
    <row r="66" spans="1:5" ht="9.75">
      <c r="A66" s="56" t="s">
        <v>48</v>
      </c>
      <c r="E66" s="56" t="s">
        <v>48</v>
      </c>
    </row>
    <row r="67" spans="2:7" ht="9.75">
      <c r="B67" s="2" t="s">
        <v>78</v>
      </c>
      <c r="C67" s="2" t="s">
        <v>79</v>
      </c>
      <c r="F67" s="2" t="s">
        <v>78</v>
      </c>
      <c r="G67" s="2" t="s">
        <v>79</v>
      </c>
    </row>
    <row r="68" spans="2:7" ht="9.75">
      <c r="B68" s="2" t="s">
        <v>19</v>
      </c>
      <c r="C68" s="2" t="s">
        <v>80</v>
      </c>
      <c r="F68" s="2" t="s">
        <v>19</v>
      </c>
      <c r="G68" s="2" t="s">
        <v>80</v>
      </c>
    </row>
    <row r="69" spans="1:7" ht="9.75">
      <c r="A69" s="2" t="s">
        <v>5</v>
      </c>
      <c r="B69" s="8">
        <f>'FC-Cropland'!Z73</f>
        <v>3626048882.4499865</v>
      </c>
      <c r="C69" s="8">
        <f>+B69*1.8</f>
        <v>6526887988.409976</v>
      </c>
      <c r="E69" s="2" t="s">
        <v>5</v>
      </c>
      <c r="F69" s="8">
        <f>'FC-Pastureland'!AE71</f>
        <v>11636950231.481482</v>
      </c>
      <c r="G69" s="8">
        <f>+F69*1.8</f>
        <v>20946510416.666668</v>
      </c>
    </row>
    <row r="71" spans="1:5" ht="9.75">
      <c r="A71" s="56" t="s">
        <v>49</v>
      </c>
      <c r="E71" s="56" t="s">
        <v>49</v>
      </c>
    </row>
    <row r="72" spans="2:7" ht="9.75">
      <c r="B72" s="2" t="s">
        <v>78</v>
      </c>
      <c r="C72" s="2" t="s">
        <v>79</v>
      </c>
      <c r="F72" s="2" t="s">
        <v>78</v>
      </c>
      <c r="G72" s="2" t="s">
        <v>79</v>
      </c>
    </row>
    <row r="73" spans="2:7" ht="9.75">
      <c r="B73" s="2" t="s">
        <v>19</v>
      </c>
      <c r="C73" s="2" t="s">
        <v>80</v>
      </c>
      <c r="F73" s="2" t="s">
        <v>19</v>
      </c>
      <c r="G73" s="2" t="s">
        <v>80</v>
      </c>
    </row>
    <row r="74" spans="1:7" ht="9.75">
      <c r="A74" s="2" t="s">
        <v>5</v>
      </c>
      <c r="B74" s="8">
        <f>'FC-Cropland'!Z79</f>
        <v>46102858.99291287</v>
      </c>
      <c r="C74" s="8">
        <f>+B74*1.8</f>
        <v>82985146.18724318</v>
      </c>
      <c r="E74" s="2" t="s">
        <v>5</v>
      </c>
      <c r="F74" s="8">
        <f>'FC-Pastureland'!AE77</f>
        <v>11636950231.481482</v>
      </c>
      <c r="G74" s="8">
        <f>+F74*1.8</f>
        <v>20946510416.666668</v>
      </c>
    </row>
    <row r="76" spans="1:5" ht="9.75">
      <c r="A76" s="56" t="s">
        <v>50</v>
      </c>
      <c r="E76" s="56" t="s">
        <v>50</v>
      </c>
    </row>
    <row r="77" spans="2:7" ht="9.75">
      <c r="B77" s="2" t="s">
        <v>78</v>
      </c>
      <c r="C77" s="2" t="s">
        <v>79</v>
      </c>
      <c r="F77" s="2" t="s">
        <v>78</v>
      </c>
      <c r="G77" s="2" t="s">
        <v>79</v>
      </c>
    </row>
    <row r="78" spans="2:7" ht="9.75">
      <c r="B78" s="2" t="s">
        <v>19</v>
      </c>
      <c r="C78" s="2" t="s">
        <v>80</v>
      </c>
      <c r="F78" s="2" t="s">
        <v>19</v>
      </c>
      <c r="G78" s="2" t="s">
        <v>80</v>
      </c>
    </row>
    <row r="79" spans="1:7" ht="9.75">
      <c r="A79" s="2" t="s">
        <v>5</v>
      </c>
      <c r="B79" s="8">
        <f>'FC-Cropland'!Z85</f>
        <v>44792081.28346407</v>
      </c>
      <c r="C79" s="8">
        <f>+B79*1.8</f>
        <v>80625746.31023532</v>
      </c>
      <c r="E79" s="2" t="s">
        <v>5</v>
      </c>
      <c r="F79" s="8">
        <f>'FC-Pastureland'!AE83</f>
        <v>11636950231.481482</v>
      </c>
      <c r="G79" s="8">
        <f>+F79*1.8</f>
        <v>20946510416.666668</v>
      </c>
    </row>
  </sheetData>
  <printOptions/>
  <pageMargins left="0.75" right="0.75" top="1" bottom="1" header="0.5" footer="0.5"/>
  <pageSetup horizontalDpi="600" verticalDpi="600" orientation="landscape" scale="63" r:id="rId1"/>
  <rowBreaks count="2" manualBreakCount="2">
    <brk id="35" max="15" man="1"/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H208"/>
  <sheetViews>
    <sheetView showGridLines="0" zoomScale="80" zoomScaleNormal="80" workbookViewId="0" topLeftCell="A1">
      <selection activeCell="D23" sqref="D23"/>
    </sheetView>
  </sheetViews>
  <sheetFormatPr defaultColWidth="9.140625" defaultRowHeight="12.75"/>
  <cols>
    <col min="1" max="1" width="14.00390625" style="0" customWidth="1"/>
    <col min="2" max="2" width="17.140625" style="0" customWidth="1"/>
    <col min="3" max="3" width="20.8515625" style="0" customWidth="1"/>
    <col min="4" max="4" width="24.7109375" style="0" customWidth="1"/>
    <col min="5" max="5" width="19.00390625" style="0" customWidth="1"/>
    <col min="6" max="6" width="15.57421875" style="0" customWidth="1"/>
    <col min="7" max="7" width="16.28125" style="0" customWidth="1"/>
    <col min="8" max="8" width="17.57421875" style="0" customWidth="1"/>
    <col min="9" max="9" width="11.57421875" style="0" customWidth="1"/>
    <col min="10" max="10" width="15.28125" style="0" customWidth="1"/>
    <col min="11" max="11" width="10.57421875" style="0" customWidth="1"/>
    <col min="12" max="12" width="11.421875" style="0" customWidth="1"/>
    <col min="15" max="15" width="9.7109375" style="0" customWidth="1"/>
    <col min="16" max="16" width="9.8515625" style="0" customWidth="1"/>
    <col min="18" max="18" width="10.7109375" style="0" customWidth="1"/>
    <col min="20" max="20" width="10.28125" style="0" customWidth="1"/>
    <col min="24" max="24" width="10.140625" style="0" customWidth="1"/>
    <col min="28" max="28" width="10.8515625" style="0" customWidth="1"/>
    <col min="32" max="32" width="10.00390625" style="0" customWidth="1"/>
  </cols>
  <sheetData>
    <row r="1" spans="1:6" s="124" customFormat="1" ht="23.25" thickBot="1">
      <c r="A1" s="226" t="s">
        <v>505</v>
      </c>
      <c r="B1" s="229"/>
      <c r="C1" s="229"/>
      <c r="D1" s="229"/>
      <c r="E1" s="222"/>
      <c r="F1" s="222"/>
    </row>
    <row r="2" spans="1:2" ht="12.75">
      <c r="A2" s="133"/>
      <c r="B2" s="134"/>
    </row>
    <row r="4" spans="1:6" s="126" customFormat="1" ht="18" thickBot="1">
      <c r="A4" s="96" t="s">
        <v>508</v>
      </c>
      <c r="B4" s="135"/>
      <c r="C4" s="135"/>
      <c r="D4" s="97"/>
      <c r="E4" s="97"/>
      <c r="F4" s="97"/>
    </row>
    <row r="5" spans="1:6" s="6" customFormat="1" ht="12.75">
      <c r="A5" s="85"/>
      <c r="F5" s="136"/>
    </row>
    <row r="6" spans="1:6" s="128" customFormat="1" ht="39.75" thickBot="1">
      <c r="A6" s="137" t="s">
        <v>303</v>
      </c>
      <c r="B6" s="137" t="s">
        <v>403</v>
      </c>
      <c r="C6" s="137" t="s">
        <v>404</v>
      </c>
      <c r="D6" s="137" t="s">
        <v>405</v>
      </c>
      <c r="E6" s="137" t="s">
        <v>506</v>
      </c>
      <c r="F6" s="138" t="s">
        <v>507</v>
      </c>
    </row>
    <row r="7" spans="1:6" ht="13.5" thickTop="1">
      <c r="A7" t="s">
        <v>14</v>
      </c>
      <c r="B7" s="208">
        <f>D43</f>
        <v>0.32369604602418833</v>
      </c>
      <c r="C7" s="208">
        <f>H61</f>
        <v>44.57928853602222</v>
      </c>
      <c r="D7" s="208">
        <f>H79</f>
        <v>55.297410003204035</v>
      </c>
      <c r="E7" s="209">
        <v>14.139403225806461</v>
      </c>
      <c r="F7" s="210">
        <f>SUM(B7:E7)</f>
        <v>114.33979781105691</v>
      </c>
    </row>
    <row r="8" spans="1:6" ht="12.75">
      <c r="A8" t="s">
        <v>42</v>
      </c>
      <c r="B8" s="208">
        <f aca="true" t="shared" si="0" ref="B8:B18">D44</f>
        <v>0.3657440564869424</v>
      </c>
      <c r="C8" s="208">
        <f aca="true" t="shared" si="1" ref="C8:C18">H62</f>
        <v>36.56415481994896</v>
      </c>
      <c r="D8" s="208">
        <f aca="true" t="shared" si="2" ref="D8:D18">H80</f>
        <v>57.055290177889404</v>
      </c>
      <c r="E8" s="209">
        <v>13.694283185840707</v>
      </c>
      <c r="F8" s="210">
        <f aca="true" t="shared" si="3" ref="F8:F18">SUM(B8:E8)</f>
        <v>107.679472240166</v>
      </c>
    </row>
    <row r="9" spans="1:6" ht="12.75">
      <c r="A9" t="s">
        <v>43</v>
      </c>
      <c r="B9" s="208">
        <f t="shared" si="0"/>
        <v>24.355863522787622</v>
      </c>
      <c r="C9" s="208">
        <f t="shared" si="1"/>
        <v>35.84605612071539</v>
      </c>
      <c r="D9" s="208">
        <f t="shared" si="2"/>
        <v>55.56126124809836</v>
      </c>
      <c r="E9" s="209">
        <v>13.974289314516131</v>
      </c>
      <c r="F9" s="210">
        <f t="shared" si="3"/>
        <v>129.7374702061175</v>
      </c>
    </row>
    <row r="10" spans="1:6" ht="12.75">
      <c r="A10" t="s">
        <v>44</v>
      </c>
      <c r="B10" s="208">
        <f t="shared" si="0"/>
        <v>98.50274131652449</v>
      </c>
      <c r="C10" s="208">
        <f t="shared" si="1"/>
        <v>1933.7764834703557</v>
      </c>
      <c r="D10" s="208">
        <f t="shared" si="2"/>
        <v>53.63168272729656</v>
      </c>
      <c r="E10" s="209">
        <v>21.799172916666773</v>
      </c>
      <c r="F10" s="210">
        <f t="shared" si="3"/>
        <v>2107.710080430844</v>
      </c>
    </row>
    <row r="11" spans="1:6" ht="12.75">
      <c r="A11" t="s">
        <v>45</v>
      </c>
      <c r="B11" s="208">
        <f t="shared" si="0"/>
        <v>53.46543894096714</v>
      </c>
      <c r="C11" s="208">
        <f t="shared" si="1"/>
        <v>5499.13945316029</v>
      </c>
      <c r="D11" s="208">
        <f t="shared" si="2"/>
        <v>241.17754328123303</v>
      </c>
      <c r="E11" s="209">
        <v>19.90295725806449</v>
      </c>
      <c r="F11" s="210">
        <f t="shared" si="3"/>
        <v>5813.685392640555</v>
      </c>
    </row>
    <row r="12" spans="1:6" ht="12.75">
      <c r="A12" t="s">
        <v>46</v>
      </c>
      <c r="B12" s="208">
        <f t="shared" si="0"/>
        <v>37.588357214695925</v>
      </c>
      <c r="C12" s="208">
        <f t="shared" si="1"/>
        <v>17.71606238025988</v>
      </c>
      <c r="D12" s="208">
        <f t="shared" si="2"/>
        <v>607.8571904035856</v>
      </c>
      <c r="E12" s="209">
        <v>23.969679166666666</v>
      </c>
      <c r="F12" s="210">
        <f t="shared" si="3"/>
        <v>687.131289165208</v>
      </c>
    </row>
    <row r="13" spans="1:6" ht="12.75">
      <c r="A13" t="s">
        <v>69</v>
      </c>
      <c r="B13" s="208">
        <f t="shared" si="0"/>
        <v>8.376001669545765</v>
      </c>
      <c r="C13" s="208">
        <f t="shared" si="1"/>
        <v>9.428276643599721</v>
      </c>
      <c r="D13" s="208">
        <f t="shared" si="2"/>
        <v>4315.878751447337</v>
      </c>
      <c r="E13" s="209">
        <v>66.98281199187032</v>
      </c>
      <c r="F13" s="210">
        <f t="shared" si="3"/>
        <v>4400.665841752353</v>
      </c>
    </row>
    <row r="14" spans="1:6" ht="12.75">
      <c r="A14" t="s">
        <v>47</v>
      </c>
      <c r="B14" s="208">
        <f t="shared" si="0"/>
        <v>0.8798532321151746</v>
      </c>
      <c r="C14" s="208">
        <f t="shared" si="1"/>
        <v>0.9961694518019715</v>
      </c>
      <c r="D14" s="208">
        <f t="shared" si="2"/>
        <v>106.03632557185945</v>
      </c>
      <c r="E14" s="209">
        <v>23.659695809248554</v>
      </c>
      <c r="F14" s="210">
        <f t="shared" si="3"/>
        <v>131.57204406502515</v>
      </c>
    </row>
    <row r="15" spans="1:6" ht="12.75">
      <c r="A15" t="s">
        <v>70</v>
      </c>
      <c r="B15" s="208">
        <f t="shared" si="0"/>
        <v>0.9640998426379346</v>
      </c>
      <c r="C15" s="208">
        <f t="shared" si="1"/>
        <v>1.0098955750688003</v>
      </c>
      <c r="D15" s="208">
        <f t="shared" si="2"/>
        <v>470.80094139668023</v>
      </c>
      <c r="E15" s="209">
        <v>27.193701923076926</v>
      </c>
      <c r="F15" s="210">
        <f t="shared" si="3"/>
        <v>499.9686387374639</v>
      </c>
    </row>
    <row r="16" spans="1:6" ht="12.75">
      <c r="A16" t="s">
        <v>48</v>
      </c>
      <c r="B16" s="208">
        <f t="shared" si="0"/>
        <v>0.22903090421998074</v>
      </c>
      <c r="C16" s="208">
        <f t="shared" si="1"/>
        <v>1.1973488308452132</v>
      </c>
      <c r="D16" s="208">
        <f t="shared" si="2"/>
        <v>111.24713959837084</v>
      </c>
      <c r="E16" s="209">
        <v>12.369283410138241</v>
      </c>
      <c r="F16" s="210">
        <f t="shared" si="3"/>
        <v>125.04280274357427</v>
      </c>
    </row>
    <row r="17" spans="1:6" ht="12.75">
      <c r="A17" t="s">
        <v>49</v>
      </c>
      <c r="B17" s="208">
        <f t="shared" si="0"/>
        <v>0.13646084334695854</v>
      </c>
      <c r="C17" s="208">
        <f t="shared" si="1"/>
        <v>15.441451030089155</v>
      </c>
      <c r="D17" s="208">
        <f t="shared" si="2"/>
        <v>87.92538385607287</v>
      </c>
      <c r="E17" s="209">
        <v>16.08270178571429</v>
      </c>
      <c r="F17" s="210">
        <f t="shared" si="3"/>
        <v>119.58599751522327</v>
      </c>
    </row>
    <row r="18" spans="1:6" ht="13.5" thickBot="1">
      <c r="A18" s="132" t="s">
        <v>50</v>
      </c>
      <c r="B18" s="211">
        <f t="shared" si="0"/>
        <v>3.1340519270268707</v>
      </c>
      <c r="C18" s="211">
        <f t="shared" si="1"/>
        <v>29.548204115975945</v>
      </c>
      <c r="D18" s="211">
        <f t="shared" si="2"/>
        <v>67.52518676206236</v>
      </c>
      <c r="E18" s="212">
        <v>14.678559907834105</v>
      </c>
      <c r="F18" s="213">
        <f t="shared" si="3"/>
        <v>114.88600271289927</v>
      </c>
    </row>
    <row r="21" spans="1:4" s="191" customFormat="1" ht="18" thickBot="1">
      <c r="A21" s="120" t="s">
        <v>509</v>
      </c>
      <c r="B21" s="120"/>
      <c r="C21" s="120"/>
      <c r="D21" s="120"/>
    </row>
    <row r="22" spans="1:4" s="190" customFormat="1" ht="27" thickBot="1">
      <c r="A22" s="137" t="s">
        <v>303</v>
      </c>
      <c r="B22" s="192"/>
      <c r="C22" s="137" t="s">
        <v>327</v>
      </c>
      <c r="D22" s="137" t="s">
        <v>458</v>
      </c>
    </row>
    <row r="23" spans="1:5" ht="13.5" thickTop="1">
      <c r="A23" t="s">
        <v>14</v>
      </c>
      <c r="C23" s="83">
        <v>75608260.5312</v>
      </c>
      <c r="D23" s="83">
        <f>$E7*C23</f>
        <v>1069055682.8524647</v>
      </c>
      <c r="E23" t="s">
        <v>453</v>
      </c>
    </row>
    <row r="24" spans="1:4" ht="12.75">
      <c r="A24" t="s">
        <v>42</v>
      </c>
      <c r="C24" s="83">
        <v>81461913.75360002</v>
      </c>
      <c r="D24" s="83">
        <f aca="true" t="shared" si="4" ref="D24:D34">$E8*C24</f>
        <v>1115562515.8023305</v>
      </c>
    </row>
    <row r="25" spans="1:4" ht="12.75">
      <c r="A25" t="s">
        <v>43</v>
      </c>
      <c r="C25" s="83">
        <v>65339294.2848</v>
      </c>
      <c r="D25" s="83">
        <f t="shared" si="4"/>
        <v>913070201.9421055</v>
      </c>
    </row>
    <row r="26" spans="1:4" ht="12.75">
      <c r="A26" t="s">
        <v>44</v>
      </c>
      <c r="C26" s="83">
        <v>87254413.05600001</v>
      </c>
      <c r="D26" s="83">
        <f t="shared" si="4"/>
        <v>1902074037.950011</v>
      </c>
    </row>
    <row r="27" spans="1:4" ht="12.75">
      <c r="A27" t="s">
        <v>45</v>
      </c>
      <c r="C27" s="83">
        <v>154655817.5232</v>
      </c>
      <c r="D27" s="83">
        <f t="shared" si="4"/>
        <v>3078108125.875271</v>
      </c>
    </row>
    <row r="28" spans="1:4" ht="12.75">
      <c r="A28" t="s">
        <v>46</v>
      </c>
      <c r="C28" s="83">
        <v>74864628.86400001</v>
      </c>
      <c r="D28" s="83">
        <f t="shared" si="4"/>
        <v>1794481134.801653</v>
      </c>
    </row>
    <row r="29" spans="1:4" ht="12.75">
      <c r="A29" t="s">
        <v>69</v>
      </c>
      <c r="C29" s="83">
        <v>45478947.225600004</v>
      </c>
      <c r="D29" s="83">
        <f t="shared" si="4"/>
        <v>3046307771.6005573</v>
      </c>
    </row>
    <row r="30" spans="1:4" ht="12.75">
      <c r="A30" t="s">
        <v>47</v>
      </c>
      <c r="C30" s="83">
        <v>15576881.886719998</v>
      </c>
      <c r="D30" s="83">
        <f t="shared" si="4"/>
        <v>368544287.0963888</v>
      </c>
    </row>
    <row r="31" spans="1:4" ht="12.75">
      <c r="A31" t="s">
        <v>70</v>
      </c>
      <c r="C31" s="83">
        <v>9788051.81952</v>
      </c>
      <c r="D31" s="83">
        <f t="shared" si="4"/>
        <v>266173363.58765763</v>
      </c>
    </row>
    <row r="32" spans="1:4" ht="12.75">
      <c r="A32" t="s">
        <v>48</v>
      </c>
      <c r="C32" s="83">
        <v>24143323.00032</v>
      </c>
      <c r="D32" s="83">
        <f t="shared" si="4"/>
        <v>298635604.6534672</v>
      </c>
    </row>
    <row r="33" spans="1:4" ht="12.75">
      <c r="A33" t="s">
        <v>49</v>
      </c>
      <c r="C33" s="83">
        <v>33042686.054400004</v>
      </c>
      <c r="D33" s="83">
        <f t="shared" si="4"/>
        <v>531415666.01189554</v>
      </c>
    </row>
    <row r="34" spans="1:4" ht="12.75">
      <c r="A34" t="s">
        <v>50</v>
      </c>
      <c r="C34" s="83">
        <v>52594817.3568</v>
      </c>
      <c r="D34" s="83">
        <f t="shared" si="4"/>
        <v>772016177.4133817</v>
      </c>
    </row>
    <row r="35" spans="1:4" ht="13.5" thickBot="1">
      <c r="A35" s="131" t="s">
        <v>407</v>
      </c>
      <c r="B35" s="132"/>
      <c r="C35" s="202"/>
      <c r="D35" s="202">
        <f>AVERAGE(D23:D34)</f>
        <v>1262953714.1322653</v>
      </c>
    </row>
    <row r="39" spans="1:11" s="139" customFormat="1" ht="18" thickBot="1">
      <c r="A39" s="120" t="s">
        <v>510</v>
      </c>
      <c r="B39" s="97"/>
      <c r="C39" s="97"/>
      <c r="D39" s="97"/>
      <c r="E39" s="97"/>
      <c r="F39" s="97"/>
      <c r="G39"/>
      <c r="I39"/>
      <c r="J39"/>
      <c r="K39"/>
    </row>
    <row r="40" spans="2:11" s="85" customFormat="1" ht="20.25" customHeight="1">
      <c r="B40" s="140" t="s">
        <v>321</v>
      </c>
      <c r="E40" s="140"/>
      <c r="F40" s="214"/>
      <c r="G40"/>
      <c r="I40"/>
      <c r="J40"/>
      <c r="K40"/>
    </row>
    <row r="41" spans="1:6" ht="12.75" hidden="1">
      <c r="A41" s="85"/>
      <c r="B41" s="141" t="s">
        <v>322</v>
      </c>
      <c r="E41" s="142"/>
      <c r="F41" s="215"/>
    </row>
    <row r="42" spans="1:10" s="143" customFormat="1" ht="47.25" customHeight="1" thickBot="1">
      <c r="A42" s="137" t="s">
        <v>303</v>
      </c>
      <c r="B42" s="138" t="s">
        <v>413</v>
      </c>
      <c r="C42" s="137" t="s">
        <v>513</v>
      </c>
      <c r="D42" s="137" t="s">
        <v>326</v>
      </c>
      <c r="E42" s="138" t="s">
        <v>327</v>
      </c>
      <c r="F42" s="137" t="s">
        <v>328</v>
      </c>
      <c r="G42"/>
      <c r="H42"/>
      <c r="I42"/>
      <c r="J42"/>
    </row>
    <row r="43" spans="1:6" ht="13.5" thickTop="1">
      <c r="A43" t="s">
        <v>14</v>
      </c>
      <c r="B43" s="203">
        <f>'FC-SUMMARY'!$B$24</f>
        <v>44792081.28346407</v>
      </c>
      <c r="C43" s="204">
        <v>7.226635529072579E-09</v>
      </c>
      <c r="D43" s="157">
        <f>B43*C43</f>
        <v>0.32369604602418833</v>
      </c>
      <c r="E43" s="203">
        <v>75608260.5312</v>
      </c>
      <c r="F43" s="216">
        <f>D43*E43</f>
        <v>24474094.98071614</v>
      </c>
    </row>
    <row r="44" spans="1:6" ht="12.75">
      <c r="A44" t="s">
        <v>42</v>
      </c>
      <c r="B44" s="203">
        <f>'FC-SUMMARY'!$B$29</f>
        <v>49005295.3495495</v>
      </c>
      <c r="C44" s="204">
        <v>7.463357865270056E-09</v>
      </c>
      <c r="D44" s="157">
        <f aca="true" t="shared" si="5" ref="D44:D54">B44*C44</f>
        <v>0.3657440564869424</v>
      </c>
      <c r="E44" s="203">
        <v>81461913.75360002</v>
      </c>
      <c r="F44" s="216">
        <f aca="true" t="shared" si="6" ref="F44:F54">D44*E44</f>
        <v>29794210.785431117</v>
      </c>
    </row>
    <row r="45" spans="1:6" ht="12.75">
      <c r="A45" t="s">
        <v>43</v>
      </c>
      <c r="B45" s="203">
        <f>'FC-SUMMARY'!$B$34</f>
        <v>44792081.28346407</v>
      </c>
      <c r="C45" s="204">
        <v>5.437537802419353E-07</v>
      </c>
      <c r="D45" s="157">
        <f t="shared" si="5"/>
        <v>24.355863522787622</v>
      </c>
      <c r="E45" s="203">
        <v>65339294.2848</v>
      </c>
      <c r="F45" s="216">
        <f t="shared" si="6"/>
        <v>1591394934.275846</v>
      </c>
    </row>
    <row r="46" spans="1:6" ht="12.75">
      <c r="A46" t="s">
        <v>44</v>
      </c>
      <c r="B46" s="203">
        <f>'FC-SUMMARY'!$B$39</f>
        <v>9092092260.457981</v>
      </c>
      <c r="C46" s="204">
        <v>1.0833891528456925E-08</v>
      </c>
      <c r="D46" s="157">
        <f t="shared" si="5"/>
        <v>98.50274131652449</v>
      </c>
      <c r="E46" s="203">
        <v>87254413.05600001</v>
      </c>
      <c r="F46" s="216">
        <f t="shared" si="6"/>
        <v>8594798877.980347</v>
      </c>
    </row>
    <row r="47" spans="1:6" ht="12.75">
      <c r="A47" t="s">
        <v>45</v>
      </c>
      <c r="B47" s="203">
        <f>'FC-SUMMARY'!$B$44</f>
        <v>8798975373.023853</v>
      </c>
      <c r="C47" s="204">
        <v>6.076325557732891E-09</v>
      </c>
      <c r="D47" s="157">
        <f t="shared" si="5"/>
        <v>53.46543894096714</v>
      </c>
      <c r="E47" s="203">
        <v>154655817.5232</v>
      </c>
      <c r="F47" s="216">
        <f t="shared" si="6"/>
        <v>8268741168.652006</v>
      </c>
    </row>
    <row r="48" spans="1:6" ht="12.75">
      <c r="A48" t="s">
        <v>46</v>
      </c>
      <c r="B48" s="203">
        <f>'FC-SUMMARY'!$B$49</f>
        <v>9503273596.888212</v>
      </c>
      <c r="C48" s="204">
        <v>3.955306224899597E-09</v>
      </c>
      <c r="D48" s="157">
        <f t="shared" si="5"/>
        <v>37.588357214695925</v>
      </c>
      <c r="E48" s="203">
        <v>74864628.86400001</v>
      </c>
      <c r="F48" s="216">
        <f t="shared" si="6"/>
        <v>2814038412.4856677</v>
      </c>
    </row>
    <row r="49" spans="1:6" ht="12.75">
      <c r="A49" t="s">
        <v>69</v>
      </c>
      <c r="B49" s="203">
        <f>'FC-SUMMARY'!$B$54</f>
        <v>3719673101.1414523</v>
      </c>
      <c r="C49" s="204">
        <v>2.2518112322761457E-09</v>
      </c>
      <c r="D49" s="157">
        <f t="shared" si="5"/>
        <v>8.376001669545765</v>
      </c>
      <c r="E49" s="203">
        <v>45478947.225600004</v>
      </c>
      <c r="F49" s="216">
        <f t="shared" si="6"/>
        <v>380931737.89080936</v>
      </c>
    </row>
    <row r="50" spans="1:6" ht="12.75">
      <c r="A50" t="s">
        <v>47</v>
      </c>
      <c r="B50" s="203">
        <f>'FC-SUMMARY'!$B$59</f>
        <v>3719673101.1414523</v>
      </c>
      <c r="C50" s="204">
        <v>2.3654047229181914E-10</v>
      </c>
      <c r="D50" s="157">
        <f t="shared" si="5"/>
        <v>0.8798532321151746</v>
      </c>
      <c r="E50" s="203">
        <v>15576881.886719998</v>
      </c>
      <c r="F50" s="216">
        <f t="shared" si="6"/>
        <v>13705369.87430691</v>
      </c>
    </row>
    <row r="51" spans="1:6" ht="12.75">
      <c r="A51" t="s">
        <v>70</v>
      </c>
      <c r="B51" s="203">
        <f>'FC-SUMMARY'!$B$64</f>
        <v>3863796967.342623</v>
      </c>
      <c r="C51" s="204">
        <v>2.495213518688087E-10</v>
      </c>
      <c r="D51" s="157">
        <f t="shared" si="5"/>
        <v>0.9640998426379346</v>
      </c>
      <c r="E51" s="203">
        <v>9788051.81952</v>
      </c>
      <c r="F51" s="216">
        <f t="shared" si="6"/>
        <v>9436659.218931181</v>
      </c>
    </row>
    <row r="52" spans="1:6" ht="12.75">
      <c r="A52" t="s">
        <v>48</v>
      </c>
      <c r="B52" s="203">
        <f>'FC-SUMMARY'!$B$69</f>
        <v>3626048882.4499865</v>
      </c>
      <c r="C52" s="204">
        <v>6.316266317547078E-11</v>
      </c>
      <c r="D52" s="157">
        <f t="shared" si="5"/>
        <v>0.22903090421998074</v>
      </c>
      <c r="E52" s="203">
        <v>24143323.00032</v>
      </c>
      <c r="F52" s="216">
        <f t="shared" si="6"/>
        <v>5529567.097638347</v>
      </c>
    </row>
    <row r="53" spans="1:6" ht="12.75">
      <c r="A53" t="s">
        <v>49</v>
      </c>
      <c r="B53" s="203">
        <f>'FC-SUMMARY'!$B$74</f>
        <v>46102858.99291287</v>
      </c>
      <c r="C53" s="204">
        <v>2.9599214957132245E-09</v>
      </c>
      <c r="D53" s="157">
        <f t="shared" si="5"/>
        <v>0.13646084334695854</v>
      </c>
      <c r="E53" s="203">
        <v>33042686.054400004</v>
      </c>
      <c r="F53" s="216">
        <f t="shared" si="6"/>
        <v>4509032.805432211</v>
      </c>
    </row>
    <row r="54" spans="1:6" ht="12.75">
      <c r="A54" t="s">
        <v>50</v>
      </c>
      <c r="B54" s="203">
        <f>'FC-SUMMARY'!$B$79</f>
        <v>44792081.28346407</v>
      </c>
      <c r="C54" s="204">
        <v>6.996888372284392E-08</v>
      </c>
      <c r="D54" s="157">
        <f t="shared" si="5"/>
        <v>3.1340519270268707</v>
      </c>
      <c r="E54" s="203">
        <v>52594817.3568</v>
      </c>
      <c r="F54" s="216">
        <f t="shared" si="6"/>
        <v>164834888.68870535</v>
      </c>
    </row>
    <row r="55" spans="1:8" s="106" customFormat="1" ht="13.5" thickBot="1">
      <c r="A55" s="131" t="s">
        <v>407</v>
      </c>
      <c r="B55" s="144"/>
      <c r="C55" s="154"/>
      <c r="D55" s="132"/>
      <c r="E55" s="205"/>
      <c r="F55" s="206">
        <f>AVERAGE(F43:F54)</f>
        <v>1825182412.8946526</v>
      </c>
      <c r="G55"/>
      <c r="H55" s="116"/>
    </row>
    <row r="56" ht="12.75">
      <c r="F56" s="156" t="s">
        <v>216</v>
      </c>
    </row>
    <row r="57" ht="12.75">
      <c r="A57" t="s">
        <v>216</v>
      </c>
    </row>
    <row r="58" spans="1:10" ht="18" thickBot="1">
      <c r="A58" s="120" t="s">
        <v>511</v>
      </c>
      <c r="B58" s="97"/>
      <c r="C58" s="97"/>
      <c r="D58" s="97"/>
      <c r="E58" s="97"/>
      <c r="F58" s="97"/>
      <c r="G58" s="97"/>
      <c r="H58" s="97"/>
      <c r="I58" s="97"/>
      <c r="J58" s="97"/>
    </row>
    <row r="59" spans="1:10" ht="12.75">
      <c r="A59" s="85"/>
      <c r="B59" s="140" t="s">
        <v>329</v>
      </c>
      <c r="C59" s="85"/>
      <c r="D59" s="85"/>
      <c r="E59" s="140" t="s">
        <v>330</v>
      </c>
      <c r="F59" s="85"/>
      <c r="G59" s="85"/>
      <c r="H59" s="140"/>
      <c r="I59" s="85"/>
      <c r="J59" s="85"/>
    </row>
    <row r="60" spans="1:10" ht="53.25" thickBot="1">
      <c r="A60" s="137" t="s">
        <v>303</v>
      </c>
      <c r="B60" s="138" t="s">
        <v>413</v>
      </c>
      <c r="C60" s="137" t="s">
        <v>324</v>
      </c>
      <c r="D60" s="137" t="s">
        <v>325</v>
      </c>
      <c r="E60" s="138" t="s">
        <v>323</v>
      </c>
      <c r="F60" s="137" t="s">
        <v>324</v>
      </c>
      <c r="G60" s="137" t="s">
        <v>325</v>
      </c>
      <c r="H60" s="138" t="s">
        <v>326</v>
      </c>
      <c r="I60" s="137" t="s">
        <v>327</v>
      </c>
      <c r="J60" s="137" t="s">
        <v>328</v>
      </c>
    </row>
    <row r="61" spans="1:10" ht="13.5" thickTop="1">
      <c r="A61" t="s">
        <v>14</v>
      </c>
      <c r="B61" s="203">
        <f>'FC-SUMMARY'!$F$24</f>
        <v>11636950231.481482</v>
      </c>
      <c r="C61" s="207">
        <f>C43*0.5301</f>
        <v>3.8308394939613746E-09</v>
      </c>
      <c r="D61" s="157">
        <f>B61*C61</f>
        <v>44.57928853602222</v>
      </c>
      <c r="E61" s="142">
        <v>0</v>
      </c>
      <c r="F61" s="207">
        <v>0</v>
      </c>
      <c r="G61" s="157">
        <f>E61*F61</f>
        <v>0</v>
      </c>
      <c r="H61" s="159">
        <f>D61+G61</f>
        <v>44.57928853602222</v>
      </c>
      <c r="I61" s="83">
        <v>75608260.5312</v>
      </c>
      <c r="J61" s="83">
        <f>H61*I61</f>
        <v>3370562461.9271054</v>
      </c>
    </row>
    <row r="62" spans="1:10" ht="12.75">
      <c r="A62" t="s">
        <v>42</v>
      </c>
      <c r="B62" s="203">
        <f>'FC-SUMMARY'!$F$29</f>
        <v>11636950231.481482</v>
      </c>
      <c r="C62" s="207">
        <f>C44*0.421</f>
        <v>3.1420736612786937E-09</v>
      </c>
      <c r="D62" s="157">
        <f aca="true" t="shared" si="7" ref="D62:D72">B62*C62</f>
        <v>36.56415481994896</v>
      </c>
      <c r="E62" s="142">
        <v>0</v>
      </c>
      <c r="F62" s="207">
        <v>0</v>
      </c>
      <c r="G62" s="157">
        <f aca="true" t="shared" si="8" ref="G62:G72">E62*F62</f>
        <v>0</v>
      </c>
      <c r="H62" s="159">
        <f aca="true" t="shared" si="9" ref="H62:H72">D62+G62</f>
        <v>36.56415481994896</v>
      </c>
      <c r="I62" s="83">
        <v>81461913.75360002</v>
      </c>
      <c r="J62" s="83">
        <f aca="true" t="shared" si="10" ref="J62:J72">H62*I62</f>
        <v>2978586026.415961</v>
      </c>
    </row>
    <row r="63" spans="1:10" ht="12.75">
      <c r="A63" t="s">
        <v>43</v>
      </c>
      <c r="B63" s="203">
        <f>'FC-SUMMARY'!$F$34</f>
        <v>11636950231.481482</v>
      </c>
      <c r="C63" s="207">
        <f>C45*0.005665</f>
        <v>3.0803651650705635E-09</v>
      </c>
      <c r="D63" s="157">
        <f t="shared" si="7"/>
        <v>35.84605612071539</v>
      </c>
      <c r="E63" s="142">
        <v>0</v>
      </c>
      <c r="F63" s="207">
        <v>0</v>
      </c>
      <c r="G63" s="157">
        <f t="shared" si="8"/>
        <v>0</v>
      </c>
      <c r="H63" s="159">
        <f t="shared" si="9"/>
        <v>35.84605612071539</v>
      </c>
      <c r="I63" s="83">
        <v>65339294.2848</v>
      </c>
      <c r="J63" s="83">
        <f t="shared" si="10"/>
        <v>2342156009.820879</v>
      </c>
    </row>
    <row r="64" spans="1:10" ht="12.75">
      <c r="A64" t="s">
        <v>44</v>
      </c>
      <c r="B64" s="203">
        <f>'FC-SUMMARY'!$F$39</f>
        <v>11625318750</v>
      </c>
      <c r="C64" s="207">
        <f>C46*0.5003</f>
        <v>5.420195931686999E-09</v>
      </c>
      <c r="D64" s="157">
        <f t="shared" si="7"/>
        <v>63.01150539331459</v>
      </c>
      <c r="E64" s="203">
        <f>'FC-Cattle Instream'!$D$36</f>
        <v>1046833333.3333333</v>
      </c>
      <c r="F64" s="207">
        <f>C82*0.9932</f>
        <v>1.7870705092281878E-06</v>
      </c>
      <c r="G64" s="157">
        <f t="shared" si="8"/>
        <v>1870.7649780770412</v>
      </c>
      <c r="H64" s="159">
        <f t="shared" si="9"/>
        <v>1933.7764834703557</v>
      </c>
      <c r="I64" s="83">
        <v>87254413.05600001</v>
      </c>
      <c r="J64" s="83">
        <f t="shared" si="10"/>
        <v>168730532046.7016</v>
      </c>
    </row>
    <row r="65" spans="1:10" ht="12.75">
      <c r="A65" t="s">
        <v>45</v>
      </c>
      <c r="B65" s="203">
        <f>'FC-SUMMARY'!$F$44</f>
        <v>11625318750</v>
      </c>
      <c r="C65" s="207">
        <f>C47*0.363</f>
        <v>2.2057061774570393E-09</v>
      </c>
      <c r="D65" s="157">
        <f t="shared" si="7"/>
        <v>25.642037381782146</v>
      </c>
      <c r="E65" s="203">
        <f>'FC-Cattle Instream'!$D$36</f>
        <v>1046833333.3333333</v>
      </c>
      <c r="F65" s="207">
        <f>C83*0.6462</f>
        <v>5.228623546357435E-06</v>
      </c>
      <c r="G65" s="157">
        <f t="shared" si="8"/>
        <v>5473.497415778508</v>
      </c>
      <c r="H65" s="159">
        <f t="shared" si="9"/>
        <v>5499.13945316029</v>
      </c>
      <c r="I65" s="83">
        <v>154655817.5232</v>
      </c>
      <c r="J65" s="83">
        <f t="shared" si="10"/>
        <v>850473907802.5876</v>
      </c>
    </row>
    <row r="66" spans="1:10" ht="12.75">
      <c r="A66" t="s">
        <v>46</v>
      </c>
      <c r="B66" s="203">
        <f>'FC-SUMMARY'!$F$49</f>
        <v>11636950231.481482</v>
      </c>
      <c r="C66" s="207">
        <f>C48*0.3849</f>
        <v>1.522397365963855E-09</v>
      </c>
      <c r="D66" s="157">
        <f t="shared" si="7"/>
        <v>17.71606238025988</v>
      </c>
      <c r="E66" s="142">
        <v>0</v>
      </c>
      <c r="F66" s="207">
        <v>0</v>
      </c>
      <c r="G66" s="157">
        <f t="shared" si="8"/>
        <v>0</v>
      </c>
      <c r="H66" s="159">
        <f t="shared" si="9"/>
        <v>17.71606238025988</v>
      </c>
      <c r="I66" s="83">
        <v>74864628.86400001</v>
      </c>
      <c r="J66" s="83">
        <f t="shared" si="10"/>
        <v>1326306435.0296285</v>
      </c>
    </row>
    <row r="67" spans="1:10" ht="12.75">
      <c r="A67" t="s">
        <v>69</v>
      </c>
      <c r="B67" s="203">
        <f>'FC-SUMMARY'!$F$54</f>
        <v>11636950231.481482</v>
      </c>
      <c r="C67" s="207">
        <f>C49*0.3598</f>
        <v>8.102016813729573E-10</v>
      </c>
      <c r="D67" s="157">
        <f t="shared" si="7"/>
        <v>9.428276643599721</v>
      </c>
      <c r="E67" s="142">
        <v>0</v>
      </c>
      <c r="F67" s="207">
        <v>0</v>
      </c>
      <c r="G67" s="157">
        <f t="shared" si="8"/>
        <v>0</v>
      </c>
      <c r="H67" s="159">
        <f t="shared" si="9"/>
        <v>9.428276643599721</v>
      </c>
      <c r="I67" s="83">
        <v>45478947.225600004</v>
      </c>
      <c r="J67" s="83">
        <f t="shared" si="10"/>
        <v>428788095.9026289</v>
      </c>
    </row>
    <row r="68" spans="1:10" ht="12.75">
      <c r="A68" t="s">
        <v>47</v>
      </c>
      <c r="B68" s="203">
        <f>'FC-SUMMARY'!$F$59</f>
        <v>11636950231.481482</v>
      </c>
      <c r="C68" s="207">
        <f>C50*0.3619</f>
        <v>8.560399692240934E-11</v>
      </c>
      <c r="D68" s="157">
        <f t="shared" si="7"/>
        <v>0.9961694518019715</v>
      </c>
      <c r="E68" s="142">
        <v>0</v>
      </c>
      <c r="F68" s="207">
        <v>0</v>
      </c>
      <c r="G68" s="157">
        <f t="shared" si="8"/>
        <v>0</v>
      </c>
      <c r="H68" s="159">
        <f t="shared" si="9"/>
        <v>0.9961694518019715</v>
      </c>
      <c r="I68" s="83">
        <v>15576881.886719998</v>
      </c>
      <c r="J68" s="83">
        <f t="shared" si="10"/>
        <v>15517213.88987792</v>
      </c>
    </row>
    <row r="69" spans="1:10" ht="12.75">
      <c r="A69" t="s">
        <v>70</v>
      </c>
      <c r="B69" s="203">
        <f>'FC-SUMMARY'!$F$64</f>
        <v>11636950231.481482</v>
      </c>
      <c r="C69" s="207">
        <f>C51*0.3478</f>
        <v>8.678352617997165E-11</v>
      </c>
      <c r="D69" s="157">
        <f t="shared" si="7"/>
        <v>1.0098955750688003</v>
      </c>
      <c r="E69" s="142">
        <v>0</v>
      </c>
      <c r="F69" s="207">
        <v>0</v>
      </c>
      <c r="G69" s="157">
        <f t="shared" si="8"/>
        <v>0</v>
      </c>
      <c r="H69" s="159">
        <f t="shared" si="9"/>
        <v>1.0098955750688003</v>
      </c>
      <c r="I69" s="83">
        <v>9788051.81952</v>
      </c>
      <c r="J69" s="83">
        <f t="shared" si="10"/>
        <v>9884910.221077368</v>
      </c>
    </row>
    <row r="70" spans="1:10" ht="12.75">
      <c r="A70" t="s">
        <v>48</v>
      </c>
      <c r="B70" s="203">
        <f>'FC-SUMMARY'!$F$69</f>
        <v>11636950231.481482</v>
      </c>
      <c r="C70" s="207">
        <f>C52*1.629</f>
        <v>1.028919783128419E-10</v>
      </c>
      <c r="D70" s="157">
        <f t="shared" si="7"/>
        <v>1.1973488308452132</v>
      </c>
      <c r="E70" s="142">
        <v>0</v>
      </c>
      <c r="F70" s="207">
        <v>0</v>
      </c>
      <c r="G70" s="157">
        <f t="shared" si="8"/>
        <v>0</v>
      </c>
      <c r="H70" s="159">
        <f t="shared" si="9"/>
        <v>1.1973488308452132</v>
      </c>
      <c r="I70" s="83">
        <v>24143323.00032</v>
      </c>
      <c r="J70" s="83">
        <f t="shared" si="10"/>
        <v>28907979.567151494</v>
      </c>
    </row>
    <row r="71" spans="1:10" ht="12.75">
      <c r="A71" t="s">
        <v>49</v>
      </c>
      <c r="B71" s="203">
        <f>'FC-SUMMARY'!$F$74</f>
        <v>11636950231.481482</v>
      </c>
      <c r="C71" s="207">
        <f>C53*0.4483</f>
        <v>1.3269328065282384E-09</v>
      </c>
      <c r="D71" s="157">
        <f t="shared" si="7"/>
        <v>15.441451030089155</v>
      </c>
      <c r="E71" s="142">
        <v>0</v>
      </c>
      <c r="F71" s="207">
        <v>0</v>
      </c>
      <c r="G71" s="157">
        <f t="shared" si="8"/>
        <v>0</v>
      </c>
      <c r="H71" s="159">
        <f t="shared" si="9"/>
        <v>15.441451030089155</v>
      </c>
      <c r="I71" s="83">
        <v>33042686.054400004</v>
      </c>
      <c r="J71" s="83">
        <f t="shared" si="10"/>
        <v>510227018.6116275</v>
      </c>
    </row>
    <row r="72" spans="1:10" ht="12.75">
      <c r="A72" t="s">
        <v>50</v>
      </c>
      <c r="B72" s="203">
        <f>'FC-SUMMARY'!$F$79</f>
        <v>11636950231.481482</v>
      </c>
      <c r="C72" s="207">
        <f>C54*0.03629</f>
        <v>2.539170790302006E-09</v>
      </c>
      <c r="D72" s="157">
        <f t="shared" si="7"/>
        <v>29.548204115975945</v>
      </c>
      <c r="E72" s="142">
        <v>0</v>
      </c>
      <c r="F72" s="207">
        <v>0</v>
      </c>
      <c r="G72" s="157">
        <f t="shared" si="8"/>
        <v>0</v>
      </c>
      <c r="H72" s="159">
        <f t="shared" si="9"/>
        <v>29.548204115975945</v>
      </c>
      <c r="I72" s="83">
        <v>52594817.3568</v>
      </c>
      <c r="J72" s="83">
        <f t="shared" si="10"/>
        <v>1554082398.7012007</v>
      </c>
    </row>
    <row r="73" spans="1:10" ht="13.5" thickBot="1">
      <c r="A73" s="131" t="s">
        <v>407</v>
      </c>
      <c r="B73" s="144"/>
      <c r="C73" s="112"/>
      <c r="D73" s="132"/>
      <c r="E73" s="144"/>
      <c r="F73" s="112"/>
      <c r="G73" s="132"/>
      <c r="H73" s="144"/>
      <c r="I73" s="206"/>
      <c r="J73" s="202">
        <f>AVERAGE(J61:J72)</f>
        <v>85980788199.94801</v>
      </c>
    </row>
    <row r="76" spans="1:10" ht="18" thickBot="1">
      <c r="A76" s="120" t="s">
        <v>512</v>
      </c>
      <c r="B76" s="97"/>
      <c r="C76" s="97"/>
      <c r="D76" s="97"/>
      <c r="E76" s="97"/>
      <c r="F76" s="97"/>
      <c r="G76" s="97"/>
      <c r="H76" s="145"/>
      <c r="I76" s="145"/>
      <c r="J76" s="145"/>
    </row>
    <row r="77" spans="1:10" ht="12.75">
      <c r="A77" s="85"/>
      <c r="B77" s="140" t="s">
        <v>331</v>
      </c>
      <c r="C77" s="85"/>
      <c r="D77" s="85"/>
      <c r="E77" s="140" t="s">
        <v>332</v>
      </c>
      <c r="F77" s="85"/>
      <c r="G77" s="85"/>
      <c r="H77" s="140"/>
      <c r="I77" s="85"/>
      <c r="J77" s="85"/>
    </row>
    <row r="78" spans="1:10" ht="53.25" thickBot="1">
      <c r="A78" s="137" t="s">
        <v>303</v>
      </c>
      <c r="B78" s="138" t="s">
        <v>323</v>
      </c>
      <c r="C78" s="137" t="s">
        <v>513</v>
      </c>
      <c r="D78" s="137" t="s">
        <v>325</v>
      </c>
      <c r="E78" s="138" t="s">
        <v>323</v>
      </c>
      <c r="F78" s="137" t="s">
        <v>513</v>
      </c>
      <c r="G78" s="137" t="s">
        <v>325</v>
      </c>
      <c r="H78" s="138" t="s">
        <v>326</v>
      </c>
      <c r="I78" s="137" t="s">
        <v>327</v>
      </c>
      <c r="J78" s="137" t="s">
        <v>328</v>
      </c>
    </row>
    <row r="79" spans="1:10" ht="13.5" thickTop="1">
      <c r="A79" t="s">
        <v>14</v>
      </c>
      <c r="B79" s="203">
        <f>'LOAD-Wastewater'!$F$44</f>
        <v>29806875</v>
      </c>
      <c r="C79" s="204">
        <v>7.150613587886853E-07</v>
      </c>
      <c r="D79" s="157">
        <f>B79*C79</f>
        <v>21.313744538744494</v>
      </c>
      <c r="E79" s="155">
        <f>'LOAD-Wastewater'!B18</f>
        <v>47300000</v>
      </c>
      <c r="F79" s="204">
        <v>7.184707286355083E-07</v>
      </c>
      <c r="G79" s="157">
        <f>E79*F79</f>
        <v>33.98366546445954</v>
      </c>
      <c r="H79" s="159">
        <f>D79+G79</f>
        <v>55.297410003204035</v>
      </c>
      <c r="I79" s="83">
        <v>75608260.5312</v>
      </c>
      <c r="J79" s="83">
        <f>H79*I79</f>
        <v>4180940982.222836</v>
      </c>
    </row>
    <row r="80" spans="1:10" ht="12.75">
      <c r="A80" t="s">
        <v>42</v>
      </c>
      <c r="B80" s="203">
        <f>'LOAD-Wastewater'!$F$44</f>
        <v>29806875</v>
      </c>
      <c r="C80" s="204">
        <v>7.376607382550337E-07</v>
      </c>
      <c r="D80" s="157">
        <f aca="true" t="shared" si="11" ref="D80:D90">B80*C80</f>
        <v>21.987361417575507</v>
      </c>
      <c r="E80" s="155">
        <f>'LOAD-Wastewater'!B19</f>
        <v>47300000</v>
      </c>
      <c r="F80" s="204">
        <v>7.413938427127673E-07</v>
      </c>
      <c r="G80" s="157">
        <f aca="true" t="shared" si="12" ref="G80:G90">E80*F80</f>
        <v>35.0679287603139</v>
      </c>
      <c r="H80" s="159">
        <f aca="true" t="shared" si="13" ref="H80:H90">D80+G80</f>
        <v>57.055290177889404</v>
      </c>
      <c r="I80" s="83">
        <v>81461913.75360002</v>
      </c>
      <c r="J80" s="83">
        <f aca="true" t="shared" si="14" ref="J80:J90">H80*I80</f>
        <v>4647833127.657848</v>
      </c>
    </row>
    <row r="81" spans="1:10" ht="12.75">
      <c r="A81" t="s">
        <v>43</v>
      </c>
      <c r="B81" s="203">
        <f>'LOAD-Wastewater'!$F$44</f>
        <v>29806875</v>
      </c>
      <c r="C81" s="204">
        <v>7.205767617449663E-07</v>
      </c>
      <c r="D81" s="157">
        <f t="shared" si="11"/>
        <v>21.478141465236995</v>
      </c>
      <c r="E81" s="155">
        <f>'LOAD-Wastewater'!B20</f>
        <v>47300000</v>
      </c>
      <c r="F81" s="204">
        <v>7.205733569315299E-07</v>
      </c>
      <c r="G81" s="157">
        <f t="shared" si="12"/>
        <v>34.08311978286137</v>
      </c>
      <c r="H81" s="159">
        <f t="shared" si="13"/>
        <v>55.56126124809836</v>
      </c>
      <c r="I81" s="83">
        <v>65339294.2848</v>
      </c>
      <c r="J81" s="83">
        <f t="shared" si="14"/>
        <v>3630333599.524153</v>
      </c>
    </row>
    <row r="82" spans="1:10" ht="12.75">
      <c r="A82" t="s">
        <v>44</v>
      </c>
      <c r="B82" s="203">
        <f>'LOAD-Wastewater'!$F$44</f>
        <v>29806875</v>
      </c>
      <c r="C82" s="204">
        <v>1.799305788590604E-06</v>
      </c>
      <c r="D82" s="157">
        <f t="shared" si="11"/>
        <v>53.63168272729656</v>
      </c>
      <c r="E82" s="203">
        <v>0</v>
      </c>
      <c r="F82" s="207">
        <v>0</v>
      </c>
      <c r="G82" s="157">
        <f t="shared" si="12"/>
        <v>0</v>
      </c>
      <c r="H82" s="159">
        <f t="shared" si="13"/>
        <v>53.63168272729656</v>
      </c>
      <c r="I82" s="83">
        <v>87254413.05600001</v>
      </c>
      <c r="J82" s="83">
        <f t="shared" si="14"/>
        <v>4679600997.575875</v>
      </c>
    </row>
    <row r="83" spans="1:10" ht="12.75">
      <c r="A83" t="s">
        <v>45</v>
      </c>
      <c r="B83" s="203">
        <f>'LOAD-Wastewater'!$F$44</f>
        <v>29806875</v>
      </c>
      <c r="C83" s="204">
        <v>8.091339440355053E-06</v>
      </c>
      <c r="D83" s="157">
        <f t="shared" si="11"/>
        <v>241.17754328123303</v>
      </c>
      <c r="E83" s="203">
        <v>0</v>
      </c>
      <c r="F83" s="207">
        <v>0</v>
      </c>
      <c r="G83" s="157">
        <f t="shared" si="12"/>
        <v>0</v>
      </c>
      <c r="H83" s="159">
        <f t="shared" si="13"/>
        <v>241.17754328123303</v>
      </c>
      <c r="I83" s="83">
        <v>154655817.5232</v>
      </c>
      <c r="J83" s="83">
        <f t="shared" si="14"/>
        <v>37299510124.39605</v>
      </c>
    </row>
    <row r="84" spans="1:10" ht="12.75">
      <c r="A84" t="s">
        <v>46</v>
      </c>
      <c r="B84" s="203">
        <f>'LOAD-Wastewater'!$F$44</f>
        <v>29806875</v>
      </c>
      <c r="C84" s="204">
        <v>2.039318749126118E-05</v>
      </c>
      <c r="D84" s="157">
        <f t="shared" si="11"/>
        <v>607.8571904035856</v>
      </c>
      <c r="E84" s="203">
        <v>0</v>
      </c>
      <c r="F84" s="207">
        <v>0</v>
      </c>
      <c r="G84" s="157">
        <f t="shared" si="12"/>
        <v>0</v>
      </c>
      <c r="H84" s="159">
        <f t="shared" si="13"/>
        <v>607.8571904035856</v>
      </c>
      <c r="I84" s="83">
        <v>74864628.86400001</v>
      </c>
      <c r="J84" s="83">
        <f t="shared" si="14"/>
        <v>45507002961.87822</v>
      </c>
    </row>
    <row r="85" spans="1:10" ht="12.75">
      <c r="A85" t="s">
        <v>69</v>
      </c>
      <c r="B85" s="203">
        <f>'LOAD-Wastewater'!$F$44</f>
        <v>29806875</v>
      </c>
      <c r="C85" s="204">
        <v>0.00014479474119468536</v>
      </c>
      <c r="D85" s="157">
        <f t="shared" si="11"/>
        <v>4315.878751447337</v>
      </c>
      <c r="E85" s="203">
        <v>0</v>
      </c>
      <c r="F85" s="207">
        <v>0</v>
      </c>
      <c r="G85" s="157">
        <f t="shared" si="12"/>
        <v>0</v>
      </c>
      <c r="H85" s="159">
        <f t="shared" si="13"/>
        <v>4315.878751447337</v>
      </c>
      <c r="I85" s="83">
        <v>45478947.225600004</v>
      </c>
      <c r="J85" s="83">
        <f t="shared" si="14"/>
        <v>196281621969.16187</v>
      </c>
    </row>
    <row r="86" spans="1:10" ht="12.75">
      <c r="A86" t="s">
        <v>47</v>
      </c>
      <c r="B86" s="203">
        <f>'LOAD-Wastewater'!$F$44</f>
        <v>29806875</v>
      </c>
      <c r="C86" s="204">
        <v>3.557445239457657E-06</v>
      </c>
      <c r="D86" s="157">
        <f t="shared" si="11"/>
        <v>106.03632557185945</v>
      </c>
      <c r="E86" s="203">
        <v>0</v>
      </c>
      <c r="F86" s="207">
        <v>0</v>
      </c>
      <c r="G86" s="157">
        <f t="shared" si="12"/>
        <v>0</v>
      </c>
      <c r="H86" s="159">
        <f t="shared" si="13"/>
        <v>106.03632557185945</v>
      </c>
      <c r="I86" s="83">
        <v>15576881.886719998</v>
      </c>
      <c r="J86" s="83">
        <f t="shared" si="14"/>
        <v>1651715319.134642</v>
      </c>
    </row>
    <row r="87" spans="1:10" ht="12.75">
      <c r="A87" t="s">
        <v>70</v>
      </c>
      <c r="B87" s="203">
        <f>'LOAD-Wastewater'!$F$44</f>
        <v>29806875</v>
      </c>
      <c r="C87" s="204">
        <v>1.5795045317453783E-05</v>
      </c>
      <c r="D87" s="157">
        <f t="shared" si="11"/>
        <v>470.80094139668023</v>
      </c>
      <c r="E87" s="203">
        <v>0</v>
      </c>
      <c r="F87" s="207">
        <v>0</v>
      </c>
      <c r="G87" s="157">
        <f t="shared" si="12"/>
        <v>0</v>
      </c>
      <c r="H87" s="159">
        <f t="shared" si="13"/>
        <v>470.80094139668023</v>
      </c>
      <c r="I87" s="83">
        <v>9788051.81952</v>
      </c>
      <c r="J87" s="83">
        <f t="shared" si="14"/>
        <v>4608224011.069505</v>
      </c>
    </row>
    <row r="88" spans="1:10" ht="12.75">
      <c r="A88" t="s">
        <v>48</v>
      </c>
      <c r="B88" s="203">
        <f>'LOAD-Wastewater'!$F$44</f>
        <v>29806875</v>
      </c>
      <c r="C88" s="204">
        <v>1.4761799090712272E-06</v>
      </c>
      <c r="D88" s="157">
        <f t="shared" si="11"/>
        <v>44.000310027197436</v>
      </c>
      <c r="E88" s="155">
        <f>'LOAD-Wastewater'!B27</f>
        <v>47300000</v>
      </c>
      <c r="F88" s="207">
        <f>0.9631*C88</f>
        <v>1.421708870426499E-06</v>
      </c>
      <c r="G88" s="157">
        <f t="shared" si="12"/>
        <v>67.24682957117341</v>
      </c>
      <c r="H88" s="159">
        <f t="shared" si="13"/>
        <v>111.24713959837084</v>
      </c>
      <c r="I88" s="83">
        <v>24143323.00032</v>
      </c>
      <c r="J88" s="83">
        <f t="shared" si="14"/>
        <v>2685875624.1851563</v>
      </c>
    </row>
    <row r="89" spans="1:10" ht="12.75">
      <c r="A89" t="s">
        <v>49</v>
      </c>
      <c r="B89" s="203">
        <f>'LOAD-Wastewater'!$F$44</f>
        <v>29806875</v>
      </c>
      <c r="C89" s="204">
        <v>1.1403240651965486E-06</v>
      </c>
      <c r="D89" s="157">
        <f t="shared" si="11"/>
        <v>33.989496870805375</v>
      </c>
      <c r="E89" s="155">
        <f>'LOAD-Wastewater'!B28</f>
        <v>47300000</v>
      </c>
      <c r="F89" s="204">
        <v>1.1402935937688688E-06</v>
      </c>
      <c r="G89" s="157">
        <f t="shared" si="12"/>
        <v>53.935886985267494</v>
      </c>
      <c r="H89" s="159">
        <f t="shared" si="13"/>
        <v>87.92538385607287</v>
      </c>
      <c r="I89" s="83">
        <v>33042686.054400004</v>
      </c>
      <c r="J89" s="83">
        <f t="shared" si="14"/>
        <v>2905290854.9688263</v>
      </c>
    </row>
    <row r="90" spans="1:10" ht="12.75">
      <c r="A90" t="s">
        <v>50</v>
      </c>
      <c r="B90" s="203">
        <f>'LOAD-Wastewater'!$F$44</f>
        <v>29806875</v>
      </c>
      <c r="C90" s="204">
        <v>8.733016794059158E-07</v>
      </c>
      <c r="D90" s="157">
        <f t="shared" si="11"/>
        <v>26.030393995342205</v>
      </c>
      <c r="E90" s="155">
        <f>'LOAD-Wastewater'!B29</f>
        <v>47300000</v>
      </c>
      <c r="F90" s="204">
        <v>8.772683460194536E-07</v>
      </c>
      <c r="G90" s="157">
        <f t="shared" si="12"/>
        <v>41.49479276672015</v>
      </c>
      <c r="H90" s="159">
        <f t="shared" si="13"/>
        <v>67.52518676206236</v>
      </c>
      <c r="I90" s="83">
        <v>52594817.3568</v>
      </c>
      <c r="J90" s="83">
        <f t="shared" si="14"/>
        <v>3551474864.734479</v>
      </c>
    </row>
    <row r="91" spans="1:10" ht="13.5" thickBot="1">
      <c r="A91" s="131" t="s">
        <v>407</v>
      </c>
      <c r="B91" s="144"/>
      <c r="C91" s="112"/>
      <c r="D91" s="132"/>
      <c r="E91" s="144"/>
      <c r="F91" s="112"/>
      <c r="G91" s="132"/>
      <c r="H91" s="144"/>
      <c r="I91" s="206"/>
      <c r="J91" s="202">
        <f>AVERAGE(J79:J90)</f>
        <v>25969118703.04246</v>
      </c>
    </row>
    <row r="95" spans="1:34" s="149" customFormat="1" ht="18" thickBot="1">
      <c r="A95" s="146" t="s">
        <v>333</v>
      </c>
      <c r="B95" s="147"/>
      <c r="C95" s="147"/>
      <c r="D95" s="147"/>
      <c r="E95" s="147"/>
      <c r="F95" s="147"/>
      <c r="G95" s="148" t="s">
        <v>334</v>
      </c>
      <c r="L95" s="150" t="s">
        <v>335</v>
      </c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</row>
    <row r="97" spans="12:32" ht="12.75">
      <c r="L97" t="s">
        <v>336</v>
      </c>
      <c r="P97" t="s">
        <v>337</v>
      </c>
      <c r="T97" t="s">
        <v>338</v>
      </c>
      <c r="X97" t="s">
        <v>339</v>
      </c>
      <c r="AB97" t="s">
        <v>340</v>
      </c>
      <c r="AF97" t="s">
        <v>341</v>
      </c>
    </row>
    <row r="98" spans="12:34" s="86" customFormat="1" ht="13.5" thickBot="1">
      <c r="L98" s="152" t="s">
        <v>342</v>
      </c>
      <c r="M98" s="152" t="s">
        <v>343</v>
      </c>
      <c r="N98" s="152" t="s">
        <v>344</v>
      </c>
      <c r="O98" s="152"/>
      <c r="P98" s="152" t="s">
        <v>342</v>
      </c>
      <c r="Q98" s="152" t="s">
        <v>343</v>
      </c>
      <c r="R98" s="152" t="s">
        <v>344</v>
      </c>
      <c r="S98" s="152"/>
      <c r="T98" s="152" t="s">
        <v>342</v>
      </c>
      <c r="U98" s="152" t="s">
        <v>343</v>
      </c>
      <c r="V98" s="152" t="s">
        <v>344</v>
      </c>
      <c r="W98" s="152"/>
      <c r="X98" s="152" t="s">
        <v>342</v>
      </c>
      <c r="Y98" s="152" t="s">
        <v>343</v>
      </c>
      <c r="Z98" s="152" t="s">
        <v>344</v>
      </c>
      <c r="AA98" s="152"/>
      <c r="AB98" s="152" t="s">
        <v>342</v>
      </c>
      <c r="AC98" s="152" t="s">
        <v>343</v>
      </c>
      <c r="AD98" s="152" t="s">
        <v>344</v>
      </c>
      <c r="AE98" s="152"/>
      <c r="AF98" s="152" t="s">
        <v>342</v>
      </c>
      <c r="AG98" s="152" t="s">
        <v>343</v>
      </c>
      <c r="AH98" s="152" t="s">
        <v>344</v>
      </c>
    </row>
    <row r="99" spans="12:34" ht="13.5" thickTop="1">
      <c r="L99">
        <v>0</v>
      </c>
      <c r="N99">
        <v>0.5201612903225806</v>
      </c>
      <c r="P99">
        <v>0</v>
      </c>
      <c r="R99">
        <v>0.6150442477876106</v>
      </c>
      <c r="T99">
        <v>0</v>
      </c>
      <c r="V99">
        <v>0.4112903225806452</v>
      </c>
      <c r="X99">
        <v>0</v>
      </c>
      <c r="Z99">
        <v>0.32916666666666666</v>
      </c>
      <c r="AB99">
        <v>0</v>
      </c>
      <c r="AD99">
        <v>0.5564516129032258</v>
      </c>
      <c r="AF99">
        <v>0</v>
      </c>
      <c r="AH99">
        <v>0.7041666666666667</v>
      </c>
    </row>
    <row r="100" spans="12:34" ht="12.75">
      <c r="L100">
        <v>1.6750418760310955E-12</v>
      </c>
      <c r="M100">
        <v>1.614530988274707E-08</v>
      </c>
      <c r="N100">
        <v>0.36693548387096775</v>
      </c>
      <c r="P100">
        <v>1.2244897959191388E-11</v>
      </c>
      <c r="Q100">
        <v>1.8035714285714412E-08</v>
      </c>
      <c r="R100">
        <v>0.2743362831858408</v>
      </c>
      <c r="T100">
        <v>2.232142857137655E-11</v>
      </c>
      <c r="U100">
        <v>2.625E-07</v>
      </c>
      <c r="V100">
        <v>0.3387096774193548</v>
      </c>
      <c r="X100">
        <v>1.5060240963841724E-12</v>
      </c>
      <c r="Y100">
        <v>1.1112575301204822E-08</v>
      </c>
      <c r="Z100">
        <v>0.3875</v>
      </c>
      <c r="AB100">
        <v>1.557632398750264E-13</v>
      </c>
      <c r="AC100">
        <v>1.6559579439252336E-08</v>
      </c>
      <c r="AD100">
        <v>0.3629032258064516</v>
      </c>
      <c r="AF100">
        <v>1.5060240963820324E-13</v>
      </c>
      <c r="AG100">
        <v>1.091114457831325E-08</v>
      </c>
      <c r="AH100">
        <v>0.21666666666666656</v>
      </c>
    </row>
    <row r="101" spans="12:34" ht="12.75">
      <c r="L101">
        <v>1.614530988274707E-08</v>
      </c>
      <c r="M101">
        <v>3.229061976549414E-08</v>
      </c>
      <c r="N101">
        <v>0.06854838709677424</v>
      </c>
      <c r="P101">
        <v>1.8035714285714412E-08</v>
      </c>
      <c r="Q101">
        <v>3.6071428571428824E-08</v>
      </c>
      <c r="R101">
        <v>0.04424778761061943</v>
      </c>
      <c r="T101">
        <v>2.625E-07</v>
      </c>
      <c r="U101">
        <v>5.25E-07</v>
      </c>
      <c r="V101">
        <v>0.04435483870967738</v>
      </c>
      <c r="X101">
        <v>1.1112575301204822E-08</v>
      </c>
      <c r="Y101">
        <v>2.2225150602409644E-08</v>
      </c>
      <c r="Z101">
        <v>0.1125</v>
      </c>
      <c r="AB101">
        <v>1.6559579439252336E-08</v>
      </c>
      <c r="AC101">
        <v>3.311915887850467E-08</v>
      </c>
      <c r="AD101">
        <v>0.04435483870967749</v>
      </c>
      <c r="AF101">
        <v>1.091114457831325E-08</v>
      </c>
      <c r="AG101">
        <v>2.18222891566265E-08</v>
      </c>
      <c r="AH101">
        <v>0.01666666666666672</v>
      </c>
    </row>
    <row r="102" spans="12:34" ht="12.75">
      <c r="L102">
        <v>3.229061976549414E-08</v>
      </c>
      <c r="M102">
        <v>4.8435929648241215E-08</v>
      </c>
      <c r="N102">
        <v>0.024193548387096753</v>
      </c>
      <c r="P102">
        <v>3.6071428571428824E-08</v>
      </c>
      <c r="Q102">
        <v>5.4107142857143233E-08</v>
      </c>
      <c r="R102">
        <v>0.03982300884955747</v>
      </c>
      <c r="T102">
        <v>5.25E-07</v>
      </c>
      <c r="U102">
        <v>7.874999999999999E-07</v>
      </c>
      <c r="V102">
        <v>0.024193548387096864</v>
      </c>
      <c r="X102">
        <v>2.2225150602409644E-08</v>
      </c>
      <c r="Y102">
        <v>3.333772590361447E-08</v>
      </c>
      <c r="Z102">
        <v>0.08333333333333326</v>
      </c>
      <c r="AB102">
        <v>3.311915887850467E-08</v>
      </c>
      <c r="AC102">
        <v>4.9678738317757005E-08</v>
      </c>
      <c r="AD102">
        <v>0.024193548387096753</v>
      </c>
      <c r="AF102">
        <v>2.18222891566265E-08</v>
      </c>
      <c r="AG102">
        <v>3.273343373493975E-08</v>
      </c>
      <c r="AH102">
        <v>0.025</v>
      </c>
    </row>
    <row r="103" spans="12:34" ht="12.75">
      <c r="L103">
        <v>4.8435929648241215E-08</v>
      </c>
      <c r="M103">
        <v>6.458123953098829E-08</v>
      </c>
      <c r="N103">
        <v>0.0040322580645161255</v>
      </c>
      <c r="P103">
        <v>5.4107142857143233E-08</v>
      </c>
      <c r="Q103">
        <v>7.214285714285765E-08</v>
      </c>
      <c r="R103">
        <v>0.017699115044247815</v>
      </c>
      <c r="T103">
        <v>7.874999999999999E-07</v>
      </c>
      <c r="U103">
        <v>1.05E-06</v>
      </c>
      <c r="V103">
        <v>0.024193548387096753</v>
      </c>
      <c r="X103">
        <v>3.333772590361447E-08</v>
      </c>
      <c r="Y103">
        <v>4.445030120481929E-08</v>
      </c>
      <c r="Z103">
        <v>0.04166666666666674</v>
      </c>
      <c r="AB103">
        <v>4.9678738317757005E-08</v>
      </c>
      <c r="AC103">
        <v>6.623831775700935E-08</v>
      </c>
      <c r="AD103">
        <v>0.0040322580645161255</v>
      </c>
      <c r="AF103">
        <v>3.273343373493975E-08</v>
      </c>
      <c r="AG103">
        <v>4.3644578313253E-08</v>
      </c>
      <c r="AH103">
        <v>0.016666666666666607</v>
      </c>
    </row>
    <row r="104" spans="12:34" ht="12.75">
      <c r="L104">
        <v>6.458123953098829E-08</v>
      </c>
      <c r="M104">
        <v>8.072654941373536E-08</v>
      </c>
      <c r="N104">
        <v>0.008064516129032251</v>
      </c>
      <c r="P104">
        <v>7.214285714285765E-08</v>
      </c>
      <c r="Q104">
        <v>9.017857142857206E-08</v>
      </c>
      <c r="R104">
        <v>0.004424778761061954</v>
      </c>
      <c r="T104">
        <v>1.05E-06</v>
      </c>
      <c r="U104">
        <v>2.8925E-06</v>
      </c>
      <c r="V104">
        <v>0.1088709677419355</v>
      </c>
      <c r="X104">
        <v>4.445030120481929E-08</v>
      </c>
      <c r="Y104">
        <v>5.5562876506024106E-08</v>
      </c>
      <c r="Z104">
        <v>0.004166666666666652</v>
      </c>
      <c r="AB104">
        <v>6.623831775700935E-08</v>
      </c>
      <c r="AC104">
        <v>8.279789719626168E-08</v>
      </c>
      <c r="AD104">
        <v>0.0040322580645161255</v>
      </c>
      <c r="AF104">
        <v>4.3644578313253E-08</v>
      </c>
      <c r="AG104">
        <v>5.4555722891566253E-08</v>
      </c>
      <c r="AH104">
        <v>0.012500000000000067</v>
      </c>
    </row>
    <row r="105" spans="12:34" ht="12.75">
      <c r="L105">
        <v>8.072654941373536E-08</v>
      </c>
      <c r="M105">
        <v>9.687185929648243E-08</v>
      </c>
      <c r="N105">
        <v>0.0040322580645161255</v>
      </c>
      <c r="P105">
        <v>9.017857142857206E-08</v>
      </c>
      <c r="Q105">
        <v>1.442857142857153E-07</v>
      </c>
      <c r="R105">
        <v>0.004424778761061954</v>
      </c>
      <c r="T105">
        <v>2.8925E-06</v>
      </c>
      <c r="U105">
        <v>4.735E-06</v>
      </c>
      <c r="V105">
        <v>0.028225806451612878</v>
      </c>
      <c r="X105">
        <v>5.5562876506024106E-08</v>
      </c>
      <c r="Y105">
        <v>6.667545180722892E-08</v>
      </c>
      <c r="Z105">
        <v>0.016666666666666607</v>
      </c>
      <c r="AB105">
        <v>8.279789719626168E-08</v>
      </c>
      <c r="AC105">
        <v>1.324766355140187E-07</v>
      </c>
      <c r="AD105">
        <v>0.0040322580645161255</v>
      </c>
      <c r="AF105">
        <v>5.4555722891566253E-08</v>
      </c>
      <c r="AG105">
        <v>6.54668674698795E-08</v>
      </c>
      <c r="AH105">
        <v>0.004166666666666652</v>
      </c>
    </row>
    <row r="106" spans="12:34" ht="12.75">
      <c r="L106">
        <v>9.687185929648243E-08</v>
      </c>
      <c r="M106">
        <v>1.2916247906197657E-07</v>
      </c>
      <c r="N106">
        <v>0.0040322580645161255</v>
      </c>
      <c r="T106">
        <v>4.735E-06</v>
      </c>
      <c r="U106">
        <v>6.5775E-06</v>
      </c>
      <c r="V106">
        <v>0.016129032258064502</v>
      </c>
      <c r="X106">
        <v>6.667545180722892E-08</v>
      </c>
      <c r="Y106">
        <v>7.778802710843374E-08</v>
      </c>
      <c r="Z106">
        <v>0.012500000000000067</v>
      </c>
      <c r="AF106">
        <v>6.54668674698795E-08</v>
      </c>
      <c r="AG106">
        <v>8.7289156626506E-08</v>
      </c>
      <c r="AH106">
        <v>0.004166666666666652</v>
      </c>
    </row>
    <row r="107" spans="20:26" ht="12.75">
      <c r="T107">
        <v>6.5775E-06</v>
      </c>
      <c r="U107">
        <v>8.42E-06</v>
      </c>
      <c r="V107">
        <v>0.0040322580645161255</v>
      </c>
      <c r="X107">
        <v>7.778802710843374E-08</v>
      </c>
      <c r="Y107">
        <v>8.890060240963856E-08</v>
      </c>
      <c r="Z107">
        <v>0.008333333333333304</v>
      </c>
    </row>
    <row r="108" ht="12.75">
      <c r="N108" t="s">
        <v>216</v>
      </c>
    </row>
    <row r="109" spans="12:32" ht="12.75">
      <c r="L109" t="s">
        <v>345</v>
      </c>
      <c r="P109" t="s">
        <v>346</v>
      </c>
      <c r="T109" t="s">
        <v>347</v>
      </c>
      <c r="X109" t="s">
        <v>348</v>
      </c>
      <c r="AB109" t="s">
        <v>349</v>
      </c>
      <c r="AF109" t="s">
        <v>350</v>
      </c>
    </row>
    <row r="110" spans="12:34" s="86" customFormat="1" ht="13.5" thickBot="1">
      <c r="L110" s="152" t="s">
        <v>342</v>
      </c>
      <c r="M110" s="152" t="s">
        <v>343</v>
      </c>
      <c r="N110" s="152" t="s">
        <v>344</v>
      </c>
      <c r="O110" s="152"/>
      <c r="P110" s="152" t="s">
        <v>342</v>
      </c>
      <c r="Q110" s="152" t="s">
        <v>343</v>
      </c>
      <c r="R110" s="152" t="s">
        <v>344</v>
      </c>
      <c r="S110" s="152"/>
      <c r="T110" s="152" t="s">
        <v>342</v>
      </c>
      <c r="U110" s="152" t="s">
        <v>343</v>
      </c>
      <c r="V110" s="152" t="s">
        <v>344</v>
      </c>
      <c r="W110" s="152"/>
      <c r="X110" s="152" t="s">
        <v>342</v>
      </c>
      <c r="Y110" s="152" t="s">
        <v>343</v>
      </c>
      <c r="Z110" s="152" t="s">
        <v>344</v>
      </c>
      <c r="AA110" s="152"/>
      <c r="AB110" s="152" t="s">
        <v>342</v>
      </c>
      <c r="AC110" s="152" t="s">
        <v>343</v>
      </c>
      <c r="AD110" s="152" t="s">
        <v>344</v>
      </c>
      <c r="AE110" s="152"/>
      <c r="AF110" s="152" t="s">
        <v>342</v>
      </c>
      <c r="AG110" s="152" t="s">
        <v>343</v>
      </c>
      <c r="AH110" s="152" t="s">
        <v>344</v>
      </c>
    </row>
    <row r="111" spans="12:34" ht="13.5" thickTop="1">
      <c r="L111">
        <v>0</v>
      </c>
      <c r="N111">
        <v>0.7601626016260162</v>
      </c>
      <c r="P111">
        <v>0</v>
      </c>
      <c r="R111">
        <v>0.8959537572254336</v>
      </c>
      <c r="T111">
        <v>0</v>
      </c>
      <c r="V111">
        <v>0.8902439024390244</v>
      </c>
      <c r="X111">
        <v>0</v>
      </c>
      <c r="Z111">
        <v>0.9032258064516129</v>
      </c>
      <c r="AB111">
        <v>0</v>
      </c>
      <c r="AD111">
        <v>0.7666666666666667</v>
      </c>
      <c r="AF111">
        <v>0</v>
      </c>
      <c r="AH111">
        <v>0.5944700460829493</v>
      </c>
    </row>
    <row r="112" spans="12:34" ht="12.75">
      <c r="L112">
        <v>3.4129692832684965E-13</v>
      </c>
      <c r="M112">
        <v>8.792662116040957E-09</v>
      </c>
      <c r="N112">
        <v>0.1869918699186992</v>
      </c>
      <c r="P112">
        <v>3.4129692832442456E-13</v>
      </c>
      <c r="Q112">
        <v>2.639931740614334E-09</v>
      </c>
      <c r="R112">
        <v>0.08670520231213863</v>
      </c>
      <c r="T112">
        <v>3.4129692832442456E-13</v>
      </c>
      <c r="U112">
        <v>2.639931740614334E-09</v>
      </c>
      <c r="V112">
        <v>0.09146341463414631</v>
      </c>
      <c r="X112">
        <v>1.229508196721358E-12</v>
      </c>
      <c r="Y112">
        <v>3.1711065573770555E-10</v>
      </c>
      <c r="Z112">
        <v>0.055299539170506895</v>
      </c>
      <c r="AB112">
        <v>2.1691973969426552E-11</v>
      </c>
      <c r="AC112">
        <v>9.707158351409935E-09</v>
      </c>
      <c r="AD112">
        <v>0.1428571428571428</v>
      </c>
      <c r="AF112">
        <v>2.2321428571217948E-11</v>
      </c>
      <c r="AG112">
        <v>2.2327008928571424E-07</v>
      </c>
      <c r="AH112">
        <v>0.3640552995391705</v>
      </c>
    </row>
    <row r="113" spans="12:34" ht="12.75">
      <c r="L113">
        <v>8.792662116040957E-09</v>
      </c>
      <c r="M113">
        <v>1.7585324232081915E-08</v>
      </c>
      <c r="N113">
        <v>0.020325203252032575</v>
      </c>
      <c r="P113">
        <v>2.639931740614334E-09</v>
      </c>
      <c r="Q113">
        <v>5.279863481228668E-09</v>
      </c>
      <c r="R113">
        <v>0.011560693641618491</v>
      </c>
      <c r="T113">
        <v>2.639931740614334E-09</v>
      </c>
      <c r="U113">
        <v>5.279863481228668E-09</v>
      </c>
      <c r="V113">
        <v>0.012195121951219523</v>
      </c>
      <c r="X113">
        <v>3.1711065573770555E-10</v>
      </c>
      <c r="Y113">
        <v>1.5855532786885278E-09</v>
      </c>
      <c r="Z113">
        <v>0.018433179723502335</v>
      </c>
      <c r="AB113">
        <v>9.707158351409935E-09</v>
      </c>
      <c r="AC113">
        <v>1.941431670281987E-08</v>
      </c>
      <c r="AD113">
        <v>0.042857142857142816</v>
      </c>
      <c r="AF113">
        <v>2.2327008928571424E-07</v>
      </c>
      <c r="AG113">
        <v>4.465401785714285E-07</v>
      </c>
      <c r="AH113">
        <v>0.01382488479262678</v>
      </c>
    </row>
    <row r="114" spans="12:34" ht="12.75">
      <c r="L114">
        <v>1.7585324232081915E-08</v>
      </c>
      <c r="M114">
        <v>2.6377986348122874E-08</v>
      </c>
      <c r="N114">
        <v>0.016260162601625994</v>
      </c>
      <c r="P114">
        <v>5.279863481228668E-09</v>
      </c>
      <c r="Q114">
        <v>2.1119453924914676E-08</v>
      </c>
      <c r="R114">
        <v>0.005780346820809301</v>
      </c>
      <c r="T114">
        <v>5.279863481228668E-09</v>
      </c>
      <c r="U114">
        <v>2.1119453924914676E-08</v>
      </c>
      <c r="V114">
        <v>0.0060975609756097615</v>
      </c>
      <c r="X114">
        <v>1.5855532786885278E-09</v>
      </c>
      <c r="Y114">
        <v>1.902663934426233E-09</v>
      </c>
      <c r="Z114">
        <v>0.009216589861751112</v>
      </c>
      <c r="AB114">
        <v>1.941431670281987E-08</v>
      </c>
      <c r="AC114">
        <v>2.9121475054229805E-08</v>
      </c>
      <c r="AD114">
        <v>0.02857142857142858</v>
      </c>
      <c r="AF114">
        <v>4.465401785714285E-07</v>
      </c>
      <c r="AG114">
        <v>6.698102678571427E-07</v>
      </c>
      <c r="AH114">
        <v>0.013824884792626668</v>
      </c>
    </row>
    <row r="115" spans="12:34" ht="12.75">
      <c r="L115">
        <v>2.6377986348122874E-08</v>
      </c>
      <c r="M115">
        <v>3.517064846416383E-08</v>
      </c>
      <c r="N115">
        <v>0.004065040650406471</v>
      </c>
      <c r="X115">
        <v>1.902663934426233E-09</v>
      </c>
      <c r="Y115">
        <v>2.2197745901639386E-09</v>
      </c>
      <c r="Z115">
        <v>0.004608294930875667</v>
      </c>
      <c r="AB115">
        <v>2.9121475054229805E-08</v>
      </c>
      <c r="AC115">
        <v>3.882863340563974E-08</v>
      </c>
      <c r="AD115">
        <v>0.004761904761904856</v>
      </c>
      <c r="AF115">
        <v>6.698102678571427E-07</v>
      </c>
      <c r="AG115">
        <v>8.93080357142857E-07</v>
      </c>
      <c r="AH115">
        <v>0.004608294930875667</v>
      </c>
    </row>
    <row r="116" spans="12:34" ht="12.75">
      <c r="L116">
        <v>3.517064846416383E-08</v>
      </c>
      <c r="M116">
        <v>5.275597269624574E-08</v>
      </c>
      <c r="N116">
        <v>0.004065040650406471</v>
      </c>
      <c r="X116">
        <v>2.2197745901639386E-09</v>
      </c>
      <c r="Y116">
        <v>2.536885245901644E-09</v>
      </c>
      <c r="Z116">
        <v>0.004608294930875556</v>
      </c>
      <c r="AB116">
        <v>3.882863340563974E-08</v>
      </c>
      <c r="AC116">
        <v>5.824295010845961E-08</v>
      </c>
      <c r="AD116">
        <v>0.00952380952380949</v>
      </c>
      <c r="AF116">
        <v>8.93080357142857E-07</v>
      </c>
      <c r="AG116">
        <v>1.5628906249999997E-06</v>
      </c>
      <c r="AH116">
        <v>0.004608294930875556</v>
      </c>
    </row>
    <row r="117" spans="12:34" ht="12.75">
      <c r="L117">
        <v>5.275597269624574E-08</v>
      </c>
      <c r="M117">
        <v>6.15486348122867E-08</v>
      </c>
      <c r="N117">
        <v>0.004065040650406582</v>
      </c>
      <c r="AB117">
        <v>5.824295010845961E-08</v>
      </c>
      <c r="AC117">
        <v>7.765726681127948E-08</v>
      </c>
      <c r="AD117">
        <v>0.004761904761904745</v>
      </c>
      <c r="AF117">
        <v>1.5628906249999997E-06</v>
      </c>
      <c r="AG117">
        <v>1.786160714285714E-06</v>
      </c>
      <c r="AH117">
        <v>0.004608294930875556</v>
      </c>
    </row>
    <row r="118" spans="12:14" ht="12.75">
      <c r="L118">
        <v>6.15486348122867E-08</v>
      </c>
      <c r="M118">
        <v>7.034129692832766E-08</v>
      </c>
      <c r="N118">
        <v>0.004065040650406471</v>
      </c>
    </row>
    <row r="119" ht="12.75">
      <c r="N119" t="s">
        <v>216</v>
      </c>
    </row>
    <row r="121" spans="12:34" ht="13.5" thickBot="1">
      <c r="L121" s="153" t="s">
        <v>351</v>
      </c>
      <c r="M121" s="153"/>
      <c r="N121" s="153"/>
      <c r="O121" s="153"/>
      <c r="P121" s="153" t="s">
        <v>352</v>
      </c>
      <c r="Q121" s="153"/>
      <c r="R121" s="153"/>
      <c r="S121" s="153"/>
      <c r="T121" s="153" t="s">
        <v>353</v>
      </c>
      <c r="U121" s="153"/>
      <c r="V121" s="153"/>
      <c r="W121" s="153"/>
      <c r="X121" s="153" t="s">
        <v>354</v>
      </c>
      <c r="Y121" s="153"/>
      <c r="Z121" s="153"/>
      <c r="AA121" s="153"/>
      <c r="AB121" s="153" t="s">
        <v>355</v>
      </c>
      <c r="AC121" s="153"/>
      <c r="AD121" s="153"/>
      <c r="AE121" s="153"/>
      <c r="AF121" s="153" t="s">
        <v>356</v>
      </c>
      <c r="AG121" s="153"/>
      <c r="AH121" s="153"/>
    </row>
    <row r="122" spans="12:32" ht="13.5" thickTop="1">
      <c r="L122" t="s">
        <v>357</v>
      </c>
      <c r="P122" t="s">
        <v>357</v>
      </c>
      <c r="T122" t="s">
        <v>357</v>
      </c>
      <c r="X122" t="s">
        <v>357</v>
      </c>
      <c r="AB122" t="s">
        <v>357</v>
      </c>
      <c r="AF122" t="s">
        <v>357</v>
      </c>
    </row>
    <row r="123" spans="12:33" ht="12.75">
      <c r="L123" t="s">
        <v>358</v>
      </c>
      <c r="M123">
        <v>0.5301</v>
      </c>
      <c r="P123" t="s">
        <v>358</v>
      </c>
      <c r="Q123">
        <v>0.421</v>
      </c>
      <c r="T123" t="s">
        <v>358</v>
      </c>
      <c r="U123">
        <v>0.005665</v>
      </c>
      <c r="X123" t="s">
        <v>358</v>
      </c>
      <c r="Y123">
        <v>0.5003</v>
      </c>
      <c r="AB123" t="s">
        <v>358</v>
      </c>
      <c r="AC123">
        <v>0.363</v>
      </c>
      <c r="AF123" t="s">
        <v>358</v>
      </c>
      <c r="AG123">
        <v>0.3849</v>
      </c>
    </row>
    <row r="125" spans="12:34" ht="13.5" thickBot="1">
      <c r="L125" s="153" t="s">
        <v>359</v>
      </c>
      <c r="M125" s="153"/>
      <c r="N125" s="153"/>
      <c r="O125" s="153"/>
      <c r="P125" s="153" t="s">
        <v>360</v>
      </c>
      <c r="Q125" s="153"/>
      <c r="R125" s="153"/>
      <c r="S125" s="153"/>
      <c r="T125" s="153" t="s">
        <v>361</v>
      </c>
      <c r="U125" s="153"/>
      <c r="V125" s="153"/>
      <c r="W125" s="153"/>
      <c r="X125" s="153" t="s">
        <v>362</v>
      </c>
      <c r="Y125" s="153"/>
      <c r="Z125" s="153"/>
      <c r="AA125" s="153"/>
      <c r="AB125" s="153" t="s">
        <v>363</v>
      </c>
      <c r="AC125" s="153"/>
      <c r="AD125" s="153"/>
      <c r="AE125" s="153"/>
      <c r="AF125" s="153" t="s">
        <v>364</v>
      </c>
      <c r="AG125" s="153"/>
      <c r="AH125" s="153"/>
    </row>
    <row r="126" spans="12:32" ht="13.5" thickTop="1">
      <c r="L126" t="s">
        <v>357</v>
      </c>
      <c r="P126" t="s">
        <v>357</v>
      </c>
      <c r="T126" t="s">
        <v>357</v>
      </c>
      <c r="X126" t="s">
        <v>357</v>
      </c>
      <c r="AB126" t="s">
        <v>357</v>
      </c>
      <c r="AF126" t="s">
        <v>357</v>
      </c>
    </row>
    <row r="127" spans="12:33" ht="12.75">
      <c r="L127" t="s">
        <v>358</v>
      </c>
      <c r="M127">
        <v>0.3598</v>
      </c>
      <c r="P127" t="s">
        <v>358</v>
      </c>
      <c r="Q127">
        <v>0.3619</v>
      </c>
      <c r="T127" t="s">
        <v>358</v>
      </c>
      <c r="U127">
        <v>0.3478</v>
      </c>
      <c r="X127" t="s">
        <v>358</v>
      </c>
      <c r="Y127">
        <v>1.629</v>
      </c>
      <c r="AB127" t="s">
        <v>358</v>
      </c>
      <c r="AC127">
        <v>0.4483</v>
      </c>
      <c r="AF127" t="s">
        <v>358</v>
      </c>
      <c r="AG127">
        <v>0.03629</v>
      </c>
    </row>
    <row r="132" spans="12:20" ht="12.75">
      <c r="L132" t="s">
        <v>365</v>
      </c>
      <c r="P132" t="s">
        <v>366</v>
      </c>
      <c r="T132" t="s">
        <v>367</v>
      </c>
    </row>
    <row r="133" spans="12:34" s="86" customFormat="1" ht="13.5" thickBot="1">
      <c r="L133" s="152" t="s">
        <v>342</v>
      </c>
      <c r="M133" s="152" t="s">
        <v>343</v>
      </c>
      <c r="N133" s="152" t="s">
        <v>344</v>
      </c>
      <c r="O133" s="152"/>
      <c r="P133" s="152" t="s">
        <v>342</v>
      </c>
      <c r="Q133" s="152" t="s">
        <v>343</v>
      </c>
      <c r="R133" s="152" t="s">
        <v>344</v>
      </c>
      <c r="S133" s="152"/>
      <c r="T133" s="152" t="s">
        <v>342</v>
      </c>
      <c r="U133" s="152" t="s">
        <v>343</v>
      </c>
      <c r="V133" s="152" t="s">
        <v>344</v>
      </c>
      <c r="W133" s="152"/>
      <c r="X133" s="152" t="s">
        <v>342</v>
      </c>
      <c r="Y133" s="152" t="s">
        <v>343</v>
      </c>
      <c r="Z133" s="152" t="s">
        <v>344</v>
      </c>
      <c r="AA133" s="152"/>
      <c r="AB133" s="152" t="s">
        <v>342</v>
      </c>
      <c r="AC133" s="152" t="s">
        <v>343</v>
      </c>
      <c r="AD133" s="152" t="s">
        <v>344</v>
      </c>
      <c r="AE133" s="152"/>
      <c r="AF133" s="152" t="s">
        <v>342</v>
      </c>
      <c r="AG133" s="152" t="s">
        <v>343</v>
      </c>
      <c r="AH133" s="152" t="s">
        <v>344</v>
      </c>
    </row>
    <row r="134" spans="12:22" ht="13.5" thickTop="1">
      <c r="L134">
        <v>0</v>
      </c>
      <c r="N134">
        <v>0</v>
      </c>
      <c r="P134">
        <v>0</v>
      </c>
      <c r="R134">
        <v>0</v>
      </c>
      <c r="T134">
        <v>0</v>
      </c>
      <c r="V134">
        <v>0</v>
      </c>
    </row>
    <row r="135" spans="12:22" ht="12.75">
      <c r="L135">
        <v>2.7658495350803037E-08</v>
      </c>
      <c r="M135">
        <v>2.0814137785291628E-07</v>
      </c>
      <c r="N135">
        <v>0.18548387096774194</v>
      </c>
      <c r="P135">
        <v>1.77514792899409E-08</v>
      </c>
      <c r="Q135">
        <v>2.110550507185123E-07</v>
      </c>
      <c r="R135">
        <v>0.19911504424778761</v>
      </c>
      <c r="T135">
        <v>3.7912087912087884E-08</v>
      </c>
      <c r="U135">
        <v>2.1280114116652576E-07</v>
      </c>
      <c r="V135">
        <v>0.125</v>
      </c>
    </row>
    <row r="136" spans="12:22" ht="12.75">
      <c r="L136">
        <v>2.0814137785291628E-07</v>
      </c>
      <c r="M136">
        <v>4.1628275570583256E-07</v>
      </c>
      <c r="N136">
        <v>0.17338709677419356</v>
      </c>
      <c r="P136">
        <v>2.110550507185123E-07</v>
      </c>
      <c r="Q136">
        <v>4.221101014370246E-07</v>
      </c>
      <c r="R136">
        <v>0.09734513274336284</v>
      </c>
      <c r="T136">
        <v>2.1280114116652576E-07</v>
      </c>
      <c r="U136">
        <v>4.256022823330515E-07</v>
      </c>
      <c r="V136">
        <v>0.2338709677419355</v>
      </c>
    </row>
    <row r="137" spans="12:22" ht="12.75">
      <c r="L137">
        <v>4.1628275570583256E-07</v>
      </c>
      <c r="M137">
        <v>6.244241335587489E-07</v>
      </c>
      <c r="N137">
        <v>0.13306451612903225</v>
      </c>
      <c r="P137">
        <v>4.221101014370246E-07</v>
      </c>
      <c r="Q137">
        <v>6.331651521555369E-07</v>
      </c>
      <c r="R137">
        <v>0.12831858407079644</v>
      </c>
      <c r="T137">
        <v>4.256022823330515E-07</v>
      </c>
      <c r="U137">
        <v>6.384034234995773E-07</v>
      </c>
      <c r="V137">
        <v>0.10887096774193544</v>
      </c>
    </row>
    <row r="138" spans="12:22" ht="12.75">
      <c r="L138">
        <v>6.244241335587489E-07</v>
      </c>
      <c r="M138">
        <v>8.325655114116651E-07</v>
      </c>
      <c r="N138">
        <v>0.09677419354838712</v>
      </c>
      <c r="P138">
        <v>6.331651521555369E-07</v>
      </c>
      <c r="Q138">
        <v>8.442202028740492E-07</v>
      </c>
      <c r="R138">
        <v>0.15929203539823011</v>
      </c>
      <c r="T138">
        <v>6.384034234995773E-07</v>
      </c>
      <c r="U138">
        <v>8.51204564666103E-07</v>
      </c>
      <c r="V138">
        <v>0.17338709677419356</v>
      </c>
    </row>
    <row r="139" spans="12:22" ht="12.75">
      <c r="L139">
        <v>8.325655114116651E-07</v>
      </c>
      <c r="M139">
        <v>1.0407068892645815E-06</v>
      </c>
      <c r="N139">
        <v>0.13306451612903225</v>
      </c>
      <c r="P139">
        <v>8.442202028740492E-07</v>
      </c>
      <c r="Q139">
        <v>1.0552752535925616E-06</v>
      </c>
      <c r="R139">
        <v>0.14601769911504425</v>
      </c>
      <c r="T139">
        <v>8.51204564666103E-07</v>
      </c>
      <c r="U139">
        <v>1.0640057058326289E-06</v>
      </c>
      <c r="V139">
        <v>0.13709677419354838</v>
      </c>
    </row>
    <row r="140" spans="12:22" ht="12.75">
      <c r="L140">
        <v>1.0407068892645815E-06</v>
      </c>
      <c r="M140">
        <v>1.2488482671174977E-06</v>
      </c>
      <c r="N140">
        <v>0.1088709677419355</v>
      </c>
      <c r="P140">
        <v>1.0552752535925616E-06</v>
      </c>
      <c r="Q140">
        <v>1.266330304311074E-06</v>
      </c>
      <c r="R140">
        <v>0.10176991150442471</v>
      </c>
      <c r="T140">
        <v>1.0640057058326289E-06</v>
      </c>
      <c r="U140">
        <v>1.2768068469991546E-06</v>
      </c>
      <c r="V140">
        <v>0.05645161290322587</v>
      </c>
    </row>
    <row r="141" spans="12:22" ht="12.75">
      <c r="L141">
        <v>1.2488482671174977E-06</v>
      </c>
      <c r="M141">
        <v>1.456989644970414E-06</v>
      </c>
      <c r="N141">
        <v>0.05241935483870963</v>
      </c>
      <c r="P141">
        <v>1.266330304311074E-06</v>
      </c>
      <c r="Q141">
        <v>1.4773853550295864E-06</v>
      </c>
      <c r="R141">
        <v>0.09734513274336287</v>
      </c>
      <c r="T141">
        <v>1.2768068469991546E-06</v>
      </c>
      <c r="U141">
        <v>1.4896079881656803E-06</v>
      </c>
      <c r="V141">
        <v>0.08467741935483863</v>
      </c>
    </row>
    <row r="142" spans="12:22" ht="12.75">
      <c r="L142">
        <v>1.456989644970414E-06</v>
      </c>
      <c r="M142">
        <v>1.6651310228233302E-06</v>
      </c>
      <c r="N142">
        <v>0.11693548387096775</v>
      </c>
      <c r="P142">
        <v>1.4773853550295864E-06</v>
      </c>
      <c r="Q142">
        <v>1.6884404057480988E-06</v>
      </c>
      <c r="R142">
        <v>0.07079646017699115</v>
      </c>
      <c r="T142">
        <v>1.4896079881656803E-06</v>
      </c>
      <c r="U142">
        <v>1.702409129332206E-06</v>
      </c>
      <c r="V142">
        <v>0.08064516129032262</v>
      </c>
    </row>
    <row r="144" spans="12:32" ht="12.75">
      <c r="L144" t="s">
        <v>368</v>
      </c>
      <c r="P144" t="s">
        <v>369</v>
      </c>
      <c r="T144" t="s">
        <v>370</v>
      </c>
      <c r="X144" t="s">
        <v>371</v>
      </c>
      <c r="AB144" t="s">
        <v>372</v>
      </c>
      <c r="AF144" t="s">
        <v>373</v>
      </c>
    </row>
    <row r="145" spans="12:34" s="86" customFormat="1" ht="13.5" thickBot="1">
      <c r="L145" s="152" t="s">
        <v>342</v>
      </c>
      <c r="M145" s="152" t="s">
        <v>343</v>
      </c>
      <c r="N145" s="152" t="s">
        <v>344</v>
      </c>
      <c r="O145" s="152"/>
      <c r="P145" s="152" t="s">
        <v>342</v>
      </c>
      <c r="Q145" s="152" t="s">
        <v>343</v>
      </c>
      <c r="R145" s="152" t="s">
        <v>344</v>
      </c>
      <c r="S145" s="152"/>
      <c r="T145" s="152" t="s">
        <v>342</v>
      </c>
      <c r="U145" s="152" t="s">
        <v>343</v>
      </c>
      <c r="V145" s="152" t="s">
        <v>344</v>
      </c>
      <c r="W145" s="152"/>
      <c r="X145" s="152" t="s">
        <v>342</v>
      </c>
      <c r="Y145" s="152" t="s">
        <v>343</v>
      </c>
      <c r="Z145" s="152" t="s">
        <v>344</v>
      </c>
      <c r="AA145" s="152"/>
      <c r="AB145" s="152" t="s">
        <v>342</v>
      </c>
      <c r="AC145" s="152" t="s">
        <v>343</v>
      </c>
      <c r="AD145" s="152" t="s">
        <v>344</v>
      </c>
      <c r="AE145" s="152"/>
      <c r="AF145" s="152" t="s">
        <v>342</v>
      </c>
      <c r="AG145" s="152" t="s">
        <v>343</v>
      </c>
      <c r="AH145" s="152" t="s">
        <v>344</v>
      </c>
    </row>
    <row r="146" spans="24:34" ht="13.5" thickTop="1">
      <c r="X146" t="s">
        <v>374</v>
      </c>
      <c r="AB146">
        <v>0</v>
      </c>
      <c r="AD146">
        <v>0</v>
      </c>
      <c r="AF146">
        <v>0</v>
      </c>
      <c r="AH146">
        <v>0</v>
      </c>
    </row>
    <row r="147" spans="24:34" ht="12.75">
      <c r="X147" t="s">
        <v>358</v>
      </c>
      <c r="Y147">
        <v>0.9631</v>
      </c>
      <c r="AB147">
        <v>1.1785714285714297E-07</v>
      </c>
      <c r="AC147">
        <v>2.492550718512257E-07</v>
      </c>
      <c r="AD147">
        <v>0.014285714285714285</v>
      </c>
      <c r="AF147">
        <v>2.4513947590870596E-08</v>
      </c>
      <c r="AG147">
        <v>2.317149196956889E-07</v>
      </c>
      <c r="AH147">
        <v>0.09216589861751152</v>
      </c>
    </row>
    <row r="148" spans="28:34" ht="12.75">
      <c r="AB148">
        <v>2.492550718512257E-07</v>
      </c>
      <c r="AC148">
        <v>4.985101437024514E-07</v>
      </c>
      <c r="AD148">
        <v>0.08571428571428572</v>
      </c>
      <c r="AF148">
        <v>2.317149196956889E-07</v>
      </c>
      <c r="AG148">
        <v>4.634298393913778E-07</v>
      </c>
      <c r="AH148">
        <v>0.1935483870967742</v>
      </c>
    </row>
    <row r="149" spans="28:34" ht="12.75">
      <c r="AB149">
        <v>4.985101437024514E-07</v>
      </c>
      <c r="AC149">
        <v>7.477652155536772E-07</v>
      </c>
      <c r="AD149">
        <v>0.1857142857142857</v>
      </c>
      <c r="AF149">
        <v>4.634298393913778E-07</v>
      </c>
      <c r="AG149">
        <v>6.951447590870667E-07</v>
      </c>
      <c r="AH149">
        <v>0.1751152073732719</v>
      </c>
    </row>
    <row r="150" spans="28:34" ht="12.75">
      <c r="AB150">
        <v>7.477652155536772E-07</v>
      </c>
      <c r="AC150">
        <v>9.970202874049029E-07</v>
      </c>
      <c r="AD150">
        <v>0.14285714285714285</v>
      </c>
      <c r="AF150">
        <v>6.951447590870667E-07</v>
      </c>
      <c r="AG150">
        <v>9.268596787827556E-07</v>
      </c>
      <c r="AH150">
        <v>0.06912442396313367</v>
      </c>
    </row>
    <row r="151" spans="28:34" ht="12.75">
      <c r="AB151">
        <v>9.970202874049029E-07</v>
      </c>
      <c r="AC151">
        <v>1.2462753592561287E-06</v>
      </c>
      <c r="AD151">
        <v>0.15238095238095245</v>
      </c>
      <c r="AF151">
        <v>9.268596787827556E-07</v>
      </c>
      <c r="AG151">
        <v>1.1585745984784444E-06</v>
      </c>
      <c r="AH151">
        <v>0.10138248847926268</v>
      </c>
    </row>
    <row r="152" spans="28:34" ht="12.75">
      <c r="AB152">
        <v>1.2462753592561287E-06</v>
      </c>
      <c r="AC152">
        <v>1.4955304311073545E-06</v>
      </c>
      <c r="AD152">
        <v>0.1428571428571428</v>
      </c>
      <c r="AF152">
        <v>1.1585745984784444E-06</v>
      </c>
      <c r="AG152">
        <v>1.3902895181741334E-06</v>
      </c>
      <c r="AH152">
        <v>0.17050691244239624</v>
      </c>
    </row>
    <row r="153" spans="28:34" ht="12.75">
      <c r="AB153">
        <v>1.4955304311073545E-06</v>
      </c>
      <c r="AC153">
        <v>1.7447855029585803E-06</v>
      </c>
      <c r="AD153">
        <v>0.0714285714285714</v>
      </c>
      <c r="AF153">
        <v>1.3902895181741334E-06</v>
      </c>
      <c r="AG153">
        <v>1.6220044378698224E-06</v>
      </c>
      <c r="AH153">
        <v>0.11520737327188946</v>
      </c>
    </row>
    <row r="154" spans="28:34" ht="12.75">
      <c r="AB154">
        <v>1.7447855029585803E-06</v>
      </c>
      <c r="AC154">
        <v>1.994040574809806E-06</v>
      </c>
      <c r="AD154">
        <v>0.2047619047619048</v>
      </c>
      <c r="AF154">
        <v>1.6220044378698224E-06</v>
      </c>
      <c r="AG154">
        <v>1.8537193575655113E-06</v>
      </c>
      <c r="AH154">
        <v>0.08294930875576034</v>
      </c>
    </row>
    <row r="156" spans="12:32" ht="12.75">
      <c r="L156" t="s">
        <v>375</v>
      </c>
      <c r="P156" t="s">
        <v>376</v>
      </c>
      <c r="T156" t="s">
        <v>377</v>
      </c>
      <c r="X156" t="s">
        <v>378</v>
      </c>
      <c r="AB156" t="s">
        <v>379</v>
      </c>
      <c r="AF156" t="s">
        <v>380</v>
      </c>
    </row>
    <row r="157" spans="12:34" s="86" customFormat="1" ht="13.5" thickBot="1">
      <c r="L157" s="152" t="s">
        <v>342</v>
      </c>
      <c r="M157" s="152" t="s">
        <v>343</v>
      </c>
      <c r="N157" s="152" t="s">
        <v>344</v>
      </c>
      <c r="O157" s="152"/>
      <c r="P157" s="152" t="s">
        <v>342</v>
      </c>
      <c r="Q157" s="152" t="s">
        <v>343</v>
      </c>
      <c r="R157" s="152" t="s">
        <v>344</v>
      </c>
      <c r="S157" s="152"/>
      <c r="T157" s="152" t="s">
        <v>342</v>
      </c>
      <c r="U157" s="152" t="s">
        <v>343</v>
      </c>
      <c r="V157" s="152" t="s">
        <v>344</v>
      </c>
      <c r="W157" s="152"/>
      <c r="X157" s="152" t="s">
        <v>342</v>
      </c>
      <c r="Y157" s="152" t="s">
        <v>343</v>
      </c>
      <c r="Z157" s="152" t="s">
        <v>344</v>
      </c>
      <c r="AA157" s="152"/>
      <c r="AB157" s="152" t="s">
        <v>342</v>
      </c>
      <c r="AC157" s="152" t="s">
        <v>343</v>
      </c>
      <c r="AD157" s="152" t="s">
        <v>344</v>
      </c>
      <c r="AE157" s="152"/>
      <c r="AF157" s="152" t="s">
        <v>342</v>
      </c>
      <c r="AG157" s="152" t="s">
        <v>343</v>
      </c>
      <c r="AH157" s="152" t="s">
        <v>344</v>
      </c>
    </row>
    <row r="158" spans="12:34" ht="13.5" thickTop="1">
      <c r="L158">
        <v>0</v>
      </c>
      <c r="N158">
        <v>0</v>
      </c>
      <c r="P158">
        <v>0</v>
      </c>
      <c r="R158">
        <v>0</v>
      </c>
      <c r="T158">
        <v>0</v>
      </c>
      <c r="V158">
        <v>0</v>
      </c>
      <c r="X158">
        <v>0</v>
      </c>
      <c r="Z158">
        <v>0</v>
      </c>
      <c r="AB158">
        <v>0</v>
      </c>
      <c r="AD158">
        <v>0.004032258064516129</v>
      </c>
      <c r="AF158">
        <v>0</v>
      </c>
      <c r="AH158">
        <v>0.07083333333333333</v>
      </c>
    </row>
    <row r="159" spans="12:34" ht="12.75">
      <c r="L159">
        <v>2.7664429530201365E-08</v>
      </c>
      <c r="M159">
        <v>2.0814177852348984E-07</v>
      </c>
      <c r="N159">
        <v>0.18548387096774194</v>
      </c>
      <c r="P159">
        <v>1.7751677852349348E-08</v>
      </c>
      <c r="Q159">
        <v>2.1105704697986584E-07</v>
      </c>
      <c r="R159">
        <v>0.19911504424778761</v>
      </c>
      <c r="T159">
        <v>3.791946308724829E-08</v>
      </c>
      <c r="U159">
        <v>2.1280201342281873E-07</v>
      </c>
      <c r="V159">
        <v>0.125</v>
      </c>
      <c r="X159">
        <v>2.3154362416107307E-08</v>
      </c>
      <c r="Y159">
        <v>2.4538590604026846E-06</v>
      </c>
      <c r="Z159">
        <v>0.8666666666666667</v>
      </c>
      <c r="AB159">
        <v>1.8791946308724907E-08</v>
      </c>
      <c r="AC159">
        <v>1.3968120805369127E-05</v>
      </c>
      <c r="AD159">
        <v>0.9556451612903226</v>
      </c>
      <c r="AF159">
        <v>7.080536912751628E-08</v>
      </c>
      <c r="AG159">
        <v>3.9567420302013424E-05</v>
      </c>
      <c r="AH159">
        <v>0.9166666666666667</v>
      </c>
    </row>
    <row r="160" spans="12:34" ht="12.75">
      <c r="L160">
        <v>2.0814177852348984E-07</v>
      </c>
      <c r="M160">
        <v>4.162835570469797E-07</v>
      </c>
      <c r="N160">
        <v>0.17338709677419356</v>
      </c>
      <c r="P160">
        <v>2.1105704697986584E-07</v>
      </c>
      <c r="Q160">
        <v>4.2211409395973167E-07</v>
      </c>
      <c r="R160">
        <v>0.09734513274336284</v>
      </c>
      <c r="T160">
        <v>2.1280201342281873E-07</v>
      </c>
      <c r="U160">
        <v>4.2560402684563745E-07</v>
      </c>
      <c r="V160">
        <v>0.2338709677419355</v>
      </c>
      <c r="X160">
        <v>2.4538590604026846E-06</v>
      </c>
      <c r="Y160">
        <v>4.907718120805369E-06</v>
      </c>
      <c r="Z160">
        <v>0.07916666666666661</v>
      </c>
      <c r="AB160">
        <v>1.3968120805369127E-05</v>
      </c>
      <c r="AC160">
        <v>2.7936241610738254E-05</v>
      </c>
      <c r="AD160">
        <v>0.024193548387096753</v>
      </c>
      <c r="AF160">
        <v>3.9567420302013424E-05</v>
      </c>
      <c r="AG160">
        <v>0.00011870226090604028</v>
      </c>
      <c r="AH160">
        <v>0.004166666666666652</v>
      </c>
    </row>
    <row r="161" spans="12:34" ht="12.75">
      <c r="L161">
        <v>4.162835570469797E-07</v>
      </c>
      <c r="M161">
        <v>6.244253355704695E-07</v>
      </c>
      <c r="N161">
        <v>0.13306451612903225</v>
      </c>
      <c r="P161">
        <v>4.2211409395973167E-07</v>
      </c>
      <c r="Q161">
        <v>6.331711409395975E-07</v>
      </c>
      <c r="R161">
        <v>0.12831858407079644</v>
      </c>
      <c r="T161">
        <v>4.2560402684563745E-07</v>
      </c>
      <c r="U161">
        <v>6.384060402684562E-07</v>
      </c>
      <c r="V161">
        <v>0.10887096774193544</v>
      </c>
      <c r="X161">
        <v>4.907718120805369E-06</v>
      </c>
      <c r="Y161">
        <v>7.361577181208053E-06</v>
      </c>
      <c r="Z161">
        <v>0.033333333333333326</v>
      </c>
      <c r="AB161">
        <v>2.7936241610738254E-05</v>
      </c>
      <c r="AC161">
        <v>4.190436241610738E-05</v>
      </c>
      <c r="AD161">
        <v>0.008064516129032251</v>
      </c>
      <c r="AF161">
        <v>0.00011870226090604028</v>
      </c>
      <c r="AG161">
        <v>0.00023740452181208053</v>
      </c>
      <c r="AH161">
        <v>0.004166666666666652</v>
      </c>
    </row>
    <row r="162" spans="12:34" ht="12.75">
      <c r="L162">
        <v>6.244253355704695E-07</v>
      </c>
      <c r="M162">
        <v>8.325671140939594E-07</v>
      </c>
      <c r="N162">
        <v>0.09677419354838712</v>
      </c>
      <c r="P162">
        <v>6.331711409395975E-07</v>
      </c>
      <c r="Q162">
        <v>8.442281879194633E-07</v>
      </c>
      <c r="R162">
        <v>0.15929203539823011</v>
      </c>
      <c r="T162">
        <v>6.384060402684562E-07</v>
      </c>
      <c r="U162">
        <v>8.512080536912749E-07</v>
      </c>
      <c r="V162">
        <v>0.17338709677419356</v>
      </c>
      <c r="X162">
        <v>7.361577181208053E-06</v>
      </c>
      <c r="Y162">
        <v>9.815436241610738E-06</v>
      </c>
      <c r="Z162">
        <v>0.012500000000000067</v>
      </c>
      <c r="AB162">
        <v>4.190436241610738E-05</v>
      </c>
      <c r="AC162">
        <v>0.00011174496644295302</v>
      </c>
      <c r="AD162">
        <v>0.008064516129032251</v>
      </c>
      <c r="AF162">
        <v>0.00023740452181208053</v>
      </c>
      <c r="AG162">
        <v>0.0003165393624161074</v>
      </c>
      <c r="AH162">
        <v>0.004166666666666652</v>
      </c>
    </row>
    <row r="163" spans="12:26" ht="12.75">
      <c r="L163">
        <v>8.325671140939594E-07</v>
      </c>
      <c r="M163">
        <v>1.0407088926174492E-06</v>
      </c>
      <c r="N163">
        <v>0.13306451612903225</v>
      </c>
      <c r="P163">
        <v>8.442281879194633E-07</v>
      </c>
      <c r="Q163">
        <v>1.055285234899329E-06</v>
      </c>
      <c r="R163">
        <v>0.14601769911504425</v>
      </c>
      <c r="T163">
        <v>8.512080536912749E-07</v>
      </c>
      <c r="U163">
        <v>1.0640100671140937E-06</v>
      </c>
      <c r="V163">
        <v>0.13709677419354838</v>
      </c>
      <c r="X163">
        <v>9.815436241610738E-06</v>
      </c>
      <c r="Y163">
        <v>1.9630872483221477E-05</v>
      </c>
      <c r="Z163">
        <v>0.008333333333333304</v>
      </c>
    </row>
    <row r="164" spans="12:22" ht="12.75">
      <c r="L164">
        <v>1.0407088926174492E-06</v>
      </c>
      <c r="M164">
        <v>1.248850671140939E-06</v>
      </c>
      <c r="N164">
        <v>0.1088709677419355</v>
      </c>
      <c r="P164">
        <v>1.055285234899329E-06</v>
      </c>
      <c r="Q164">
        <v>1.2663422818791948E-06</v>
      </c>
      <c r="R164">
        <v>0.10176991150442471</v>
      </c>
      <c r="T164">
        <v>1.0640100671140937E-06</v>
      </c>
      <c r="U164">
        <v>1.2768120805369126E-06</v>
      </c>
      <c r="V164">
        <v>0.05645161290322587</v>
      </c>
    </row>
    <row r="165" spans="12:22" ht="12.75">
      <c r="L165">
        <v>1.248850671140939E-06</v>
      </c>
      <c r="M165">
        <v>1.4569924496644288E-06</v>
      </c>
      <c r="N165">
        <v>0.05241935483870963</v>
      </c>
      <c r="P165">
        <v>1.2663422818791948E-06</v>
      </c>
      <c r="Q165">
        <v>1.4773993288590605E-06</v>
      </c>
      <c r="R165">
        <v>0.09734513274336287</v>
      </c>
      <c r="T165">
        <v>1.2768120805369126E-06</v>
      </c>
      <c r="U165">
        <v>1.4896140939597314E-06</v>
      </c>
      <c r="V165">
        <v>0.08467741935483863</v>
      </c>
    </row>
    <row r="166" spans="12:22" ht="12.75">
      <c r="L166">
        <v>1.4569924496644288E-06</v>
      </c>
      <c r="M166">
        <v>1.6651342281879185E-06</v>
      </c>
      <c r="N166">
        <v>0.11290322580645162</v>
      </c>
      <c r="P166">
        <v>1.4773993288590605E-06</v>
      </c>
      <c r="Q166">
        <v>1.6884563758389263E-06</v>
      </c>
      <c r="R166">
        <v>0.0663716814159292</v>
      </c>
      <c r="T166">
        <v>1.4896140939597314E-06</v>
      </c>
      <c r="U166">
        <v>1.7024161073825502E-06</v>
      </c>
      <c r="V166">
        <v>0.08064516129032262</v>
      </c>
    </row>
    <row r="168" spans="12:32" ht="12.75">
      <c r="L168" t="s">
        <v>381</v>
      </c>
      <c r="P168" t="s">
        <v>382</v>
      </c>
      <c r="T168" t="s">
        <v>383</v>
      </c>
      <c r="X168" t="s">
        <v>384</v>
      </c>
      <c r="AB168" t="s">
        <v>385</v>
      </c>
      <c r="AF168" t="s">
        <v>386</v>
      </c>
    </row>
    <row r="169" spans="12:34" s="86" customFormat="1" ht="13.5" thickBot="1">
      <c r="L169" s="152" t="s">
        <v>342</v>
      </c>
      <c r="M169" s="152" t="s">
        <v>343</v>
      </c>
      <c r="N169" s="152" t="s">
        <v>344</v>
      </c>
      <c r="O169" s="152"/>
      <c r="P169" s="152" t="s">
        <v>342</v>
      </c>
      <c r="Q169" s="152" t="s">
        <v>343</v>
      </c>
      <c r="R169" s="152" t="s">
        <v>344</v>
      </c>
      <c r="S169" s="152"/>
      <c r="T169" s="152" t="s">
        <v>342</v>
      </c>
      <c r="U169" s="152" t="s">
        <v>343</v>
      </c>
      <c r="V169" s="152" t="s">
        <v>344</v>
      </c>
      <c r="W169" s="152"/>
      <c r="X169" s="152" t="s">
        <v>342</v>
      </c>
      <c r="Y169" s="152" t="s">
        <v>343</v>
      </c>
      <c r="Z169" s="152" t="s">
        <v>344</v>
      </c>
      <c r="AA169" s="152"/>
      <c r="AB169" s="152" t="s">
        <v>342</v>
      </c>
      <c r="AC169" s="152" t="s">
        <v>343</v>
      </c>
      <c r="AD169" s="152" t="s">
        <v>344</v>
      </c>
      <c r="AE169" s="152"/>
      <c r="AF169" s="152" t="s">
        <v>342</v>
      </c>
      <c r="AG169" s="152" t="s">
        <v>343</v>
      </c>
      <c r="AH169" s="152" t="s">
        <v>344</v>
      </c>
    </row>
    <row r="170" spans="12:34" ht="13.5" thickTop="1">
      <c r="L170">
        <v>0</v>
      </c>
      <c r="N170">
        <v>0.11382113821138211</v>
      </c>
      <c r="P170">
        <v>0</v>
      </c>
      <c r="R170">
        <v>0.09248554913294797</v>
      </c>
      <c r="T170">
        <v>0</v>
      </c>
      <c r="V170">
        <v>0.06097560975609756</v>
      </c>
      <c r="X170">
        <v>0</v>
      </c>
      <c r="Z170">
        <v>0.004608294930875576</v>
      </c>
      <c r="AB170">
        <v>0</v>
      </c>
      <c r="AD170">
        <v>0</v>
      </c>
      <c r="AF170">
        <v>0</v>
      </c>
      <c r="AH170">
        <v>0</v>
      </c>
    </row>
    <row r="171" spans="12:34" ht="12.75">
      <c r="L171">
        <v>3.4563758389261786E-08</v>
      </c>
      <c r="M171">
        <v>0.000315183682885906</v>
      </c>
      <c r="N171">
        <v>0.8821138211382115</v>
      </c>
      <c r="P171">
        <v>2.073825503355707E-07</v>
      </c>
      <c r="Q171">
        <v>3.5703397651006712E-06</v>
      </c>
      <c r="R171">
        <v>0.5722543352601156</v>
      </c>
      <c r="T171">
        <v>2.8288590604026867E-07</v>
      </c>
      <c r="U171">
        <v>2.791656879194631E-05</v>
      </c>
      <c r="V171">
        <v>0.8719512195121952</v>
      </c>
      <c r="X171">
        <v>2.5033557046979796E-07</v>
      </c>
      <c r="Y171">
        <v>6.263842281879194E-07</v>
      </c>
      <c r="Z171">
        <v>0.0783410138248848</v>
      </c>
      <c r="AB171">
        <v>1.1785234899328861E-07</v>
      </c>
      <c r="AC171">
        <v>2.4926174496644296E-07</v>
      </c>
      <c r="AD171">
        <v>0.014285714285714285</v>
      </c>
      <c r="AF171">
        <v>2.449664429530167E-08</v>
      </c>
      <c r="AG171">
        <v>2.317197986577181E-07</v>
      </c>
      <c r="AH171">
        <v>0.09216589861751152</v>
      </c>
    </row>
    <row r="172" spans="12:34" ht="12.75">
      <c r="L172">
        <v>0.000315183682885906</v>
      </c>
      <c r="M172">
        <v>0.002521469463087248</v>
      </c>
      <c r="N172">
        <v>0.004065040650406471</v>
      </c>
      <c r="P172">
        <v>3.5703397651006712E-06</v>
      </c>
      <c r="Q172">
        <v>7.1406795302013424E-06</v>
      </c>
      <c r="R172">
        <v>0.21965317919075145</v>
      </c>
      <c r="T172">
        <v>2.791656879194631E-05</v>
      </c>
      <c r="U172">
        <v>5.583313758389262E-05</v>
      </c>
      <c r="V172">
        <v>0.04268292682926822</v>
      </c>
      <c r="X172">
        <v>6.263842281879194E-07</v>
      </c>
      <c r="Y172">
        <v>1.2527684563758387E-06</v>
      </c>
      <c r="Z172">
        <v>0.4147465437788018</v>
      </c>
      <c r="AB172">
        <v>2.4926174496644296E-07</v>
      </c>
      <c r="AC172">
        <v>4.985234899328859E-07</v>
      </c>
      <c r="AD172">
        <v>0.08571428571428572</v>
      </c>
      <c r="AF172">
        <v>2.317197986577181E-07</v>
      </c>
      <c r="AG172">
        <v>4.634395973154362E-07</v>
      </c>
      <c r="AH172">
        <v>0.1935483870967742</v>
      </c>
    </row>
    <row r="173" spans="16:34" ht="12.75">
      <c r="P173">
        <v>7.1406795302013424E-06</v>
      </c>
      <c r="Q173">
        <v>1.0711019295302013E-05</v>
      </c>
      <c r="R173">
        <v>0.07514450867052025</v>
      </c>
      <c r="T173">
        <v>5.583313758389262E-05</v>
      </c>
      <c r="U173">
        <v>8.374970637583894E-05</v>
      </c>
      <c r="V173">
        <v>0.0060975609756097615</v>
      </c>
      <c r="X173">
        <v>1.2527684563758387E-06</v>
      </c>
      <c r="Y173">
        <v>1.879152684563758E-06</v>
      </c>
      <c r="Z173">
        <v>0.10138248847926262</v>
      </c>
      <c r="AB173">
        <v>4.985234899328859E-07</v>
      </c>
      <c r="AC173">
        <v>7.477852348993288E-07</v>
      </c>
      <c r="AD173">
        <v>0.1857142857142857</v>
      </c>
      <c r="AF173">
        <v>4.634395973154362E-07</v>
      </c>
      <c r="AG173">
        <v>6.951593959731543E-07</v>
      </c>
      <c r="AH173">
        <v>0.1751152073732719</v>
      </c>
    </row>
    <row r="174" spans="16:34" ht="12.75">
      <c r="P174">
        <v>1.0711019295302013E-05</v>
      </c>
      <c r="Q174">
        <v>1.4281359060402685E-05</v>
      </c>
      <c r="R174">
        <v>0.028901734104046284</v>
      </c>
      <c r="T174">
        <v>8.374970637583894E-05</v>
      </c>
      <c r="U174">
        <v>0.00011166627516778524</v>
      </c>
      <c r="V174">
        <v>0.012195121951219523</v>
      </c>
      <c r="X174">
        <v>1.879152684563758E-06</v>
      </c>
      <c r="Y174">
        <v>2.5055369127516774E-06</v>
      </c>
      <c r="Z174">
        <v>0.3870967741935484</v>
      </c>
      <c r="AB174">
        <v>7.477852348993288E-07</v>
      </c>
      <c r="AC174">
        <v>9.970469798657719E-07</v>
      </c>
      <c r="AD174">
        <v>0.14285714285714285</v>
      </c>
      <c r="AF174">
        <v>6.951593959731543E-07</v>
      </c>
      <c r="AG174">
        <v>9.268791946308723E-07</v>
      </c>
      <c r="AH174">
        <v>0.06912442396313367</v>
      </c>
    </row>
    <row r="175" spans="16:34" ht="12.75">
      <c r="P175">
        <v>1.4281359060402685E-05</v>
      </c>
      <c r="Q175">
        <v>2.49923783557047E-05</v>
      </c>
      <c r="R175">
        <v>0.00578034682080919</v>
      </c>
      <c r="X175">
        <v>2.5055369127516774E-06</v>
      </c>
      <c r="Y175">
        <v>3.1319211409395968E-06</v>
      </c>
      <c r="Z175">
        <v>0.009216589861751223</v>
      </c>
      <c r="AB175">
        <v>9.970469798657719E-07</v>
      </c>
      <c r="AC175">
        <v>1.2463087248322149E-06</v>
      </c>
      <c r="AD175">
        <v>0.15238095238095245</v>
      </c>
      <c r="AF175">
        <v>9.268791946308723E-07</v>
      </c>
      <c r="AG175">
        <v>1.1585989932885903E-06</v>
      </c>
      <c r="AH175">
        <v>0.10138248847926268</v>
      </c>
    </row>
    <row r="176" spans="16:34" ht="12.75">
      <c r="P176">
        <v>2.49923783557047E-05</v>
      </c>
      <c r="Q176">
        <v>2.8562718120805373E-05</v>
      </c>
      <c r="R176">
        <v>0.005780346820809301</v>
      </c>
      <c r="X176">
        <v>3.1319211409395968E-06</v>
      </c>
      <c r="Y176">
        <v>5.011073825503355E-06</v>
      </c>
      <c r="Z176">
        <v>0.004608294930875556</v>
      </c>
      <c r="AB176">
        <v>1.2463087248322149E-06</v>
      </c>
      <c r="AC176">
        <v>1.4955704697986579E-06</v>
      </c>
      <c r="AD176">
        <v>0.1428571428571428</v>
      </c>
      <c r="AF176">
        <v>1.1585989932885903E-06</v>
      </c>
      <c r="AG176">
        <v>1.3903187919463083E-06</v>
      </c>
      <c r="AH176">
        <v>0.17050691244239624</v>
      </c>
    </row>
    <row r="177" spans="28:34" ht="12.75">
      <c r="AB177">
        <v>1.4955704697986579E-06</v>
      </c>
      <c r="AC177">
        <v>1.744832214765101E-06</v>
      </c>
      <c r="AD177">
        <v>0.0714285714285714</v>
      </c>
      <c r="AF177">
        <v>1.3903187919463083E-06</v>
      </c>
      <c r="AG177">
        <v>1.6220385906040263E-06</v>
      </c>
      <c r="AH177">
        <v>0.11520737327188946</v>
      </c>
    </row>
    <row r="178" spans="28:34" ht="12.75">
      <c r="AB178">
        <v>1.744832214765101E-06</v>
      </c>
      <c r="AC178">
        <v>1.9940939597315437E-06</v>
      </c>
      <c r="AD178">
        <v>0.2047619047619048</v>
      </c>
      <c r="AF178">
        <v>1.6220385906040263E-06</v>
      </c>
      <c r="AG178">
        <v>1.8537583892617443E-06</v>
      </c>
      <c r="AH178">
        <v>0.07834101382488479</v>
      </c>
    </row>
    <row r="180" spans="12:34" ht="13.5" thickBot="1">
      <c r="L180" s="153" t="s">
        <v>387</v>
      </c>
      <c r="M180" s="153"/>
      <c r="N180" s="153"/>
      <c r="O180" s="153" t="s">
        <v>388</v>
      </c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</row>
    <row r="181" spans="12:15" ht="13.5" thickTop="1">
      <c r="L181" t="s">
        <v>389</v>
      </c>
      <c r="O181" t="s">
        <v>390</v>
      </c>
    </row>
    <row r="182" spans="12:16" ht="12.75">
      <c r="L182" t="s">
        <v>358</v>
      </c>
      <c r="M182">
        <v>0.9932</v>
      </c>
      <c r="O182" t="s">
        <v>358</v>
      </c>
      <c r="P182">
        <v>0.6462</v>
      </c>
    </row>
    <row r="186" spans="12:32" ht="12.75">
      <c r="L186" t="s">
        <v>391</v>
      </c>
      <c r="P186" t="s">
        <v>392</v>
      </c>
      <c r="T186" t="s">
        <v>393</v>
      </c>
      <c r="X186" t="s">
        <v>394</v>
      </c>
      <c r="AB186" t="s">
        <v>395</v>
      </c>
      <c r="AF186" t="s">
        <v>396</v>
      </c>
    </row>
    <row r="187" spans="12:34" s="86" customFormat="1" ht="13.5" thickBot="1">
      <c r="L187" s="152" t="s">
        <v>342</v>
      </c>
      <c r="M187" s="152" t="s">
        <v>343</v>
      </c>
      <c r="N187" s="152" t="s">
        <v>344</v>
      </c>
      <c r="O187" s="152"/>
      <c r="P187" s="152" t="s">
        <v>342</v>
      </c>
      <c r="Q187" s="152" t="s">
        <v>343</v>
      </c>
      <c r="R187" s="152" t="s">
        <v>344</v>
      </c>
      <c r="S187" s="152"/>
      <c r="T187" s="152" t="s">
        <v>342</v>
      </c>
      <c r="U187" s="152" t="s">
        <v>343</v>
      </c>
      <c r="V187" s="152" t="s">
        <v>344</v>
      </c>
      <c r="W187" s="152"/>
      <c r="X187" s="152" t="s">
        <v>342</v>
      </c>
      <c r="Y187" s="152" t="s">
        <v>343</v>
      </c>
      <c r="Z187" s="152" t="s">
        <v>344</v>
      </c>
      <c r="AA187" s="152"/>
      <c r="AB187" s="152" t="s">
        <v>342</v>
      </c>
      <c r="AC187" s="152" t="s">
        <v>343</v>
      </c>
      <c r="AD187" s="152" t="s">
        <v>344</v>
      </c>
      <c r="AE187" s="152"/>
      <c r="AF187" s="152" t="s">
        <v>342</v>
      </c>
      <c r="AG187" s="152" t="s">
        <v>343</v>
      </c>
      <c r="AH187" s="152" t="s">
        <v>344</v>
      </c>
    </row>
    <row r="188" spans="12:34" ht="13.5" thickTop="1">
      <c r="L188">
        <v>0</v>
      </c>
      <c r="N188">
        <v>0</v>
      </c>
      <c r="P188">
        <v>0</v>
      </c>
      <c r="R188">
        <v>0</v>
      </c>
      <c r="T188">
        <v>0</v>
      </c>
      <c r="V188">
        <v>0</v>
      </c>
      <c r="X188">
        <v>0</v>
      </c>
      <c r="Z188">
        <v>0</v>
      </c>
      <c r="AB188">
        <v>0</v>
      </c>
      <c r="AD188">
        <v>0</v>
      </c>
      <c r="AF188">
        <v>0</v>
      </c>
      <c r="AH188">
        <v>0</v>
      </c>
    </row>
    <row r="189" spans="12:34" ht="12.75">
      <c r="L189">
        <v>3.755000000000024</v>
      </c>
      <c r="M189">
        <v>7.127750000000004</v>
      </c>
      <c r="N189">
        <v>0.21370967741935484</v>
      </c>
      <c r="P189">
        <v>3.336999999999989</v>
      </c>
      <c r="Q189">
        <v>6.97875</v>
      </c>
      <c r="R189">
        <v>0.21238938053097345</v>
      </c>
      <c r="T189">
        <v>3.7200000000000273</v>
      </c>
      <c r="U189">
        <v>7.27625</v>
      </c>
      <c r="V189">
        <v>0.20967741935483872</v>
      </c>
      <c r="X189">
        <v>7.507000000000033</v>
      </c>
      <c r="Y189">
        <v>10.412500000000051</v>
      </c>
      <c r="Z189">
        <v>0.12083333333333333</v>
      </c>
      <c r="AB189">
        <v>7.104400000000005</v>
      </c>
      <c r="AC189">
        <v>9.77249999999998</v>
      </c>
      <c r="AD189">
        <v>0.18951612903225806</v>
      </c>
      <c r="AF189">
        <v>8.091</v>
      </c>
      <c r="AG189">
        <v>11.1875</v>
      </c>
      <c r="AH189">
        <v>0.12916666666666668</v>
      </c>
    </row>
    <row r="190" spans="12:34" ht="12.75">
      <c r="L190">
        <v>7.127750000000004</v>
      </c>
      <c r="M190">
        <v>14.255500000000008</v>
      </c>
      <c r="N190">
        <v>0.5</v>
      </c>
      <c r="P190">
        <v>6.97875</v>
      </c>
      <c r="Q190">
        <v>13.9575</v>
      </c>
      <c r="R190">
        <v>0.5486725663716814</v>
      </c>
      <c r="T190">
        <v>7.27625</v>
      </c>
      <c r="U190">
        <v>14.5525</v>
      </c>
      <c r="V190">
        <v>0.5564516129032258</v>
      </c>
      <c r="X190">
        <v>10.412500000000051</v>
      </c>
      <c r="Y190">
        <v>20.825000000000102</v>
      </c>
      <c r="Z190">
        <v>0.5708333333333333</v>
      </c>
      <c r="AB190">
        <v>9.77249999999998</v>
      </c>
      <c r="AC190">
        <v>19.545</v>
      </c>
      <c r="AD190">
        <v>0.5161290322580645</v>
      </c>
      <c r="AF190">
        <v>11.1875</v>
      </c>
      <c r="AG190">
        <v>22.375</v>
      </c>
      <c r="AH190">
        <v>0.5416666666666666</v>
      </c>
    </row>
    <row r="191" spans="12:34" ht="12.75">
      <c r="L191">
        <v>14.255500000000008</v>
      </c>
      <c r="M191">
        <v>21.38325000000001</v>
      </c>
      <c r="N191">
        <v>0.10483870967741937</v>
      </c>
      <c r="P191">
        <v>13.9575</v>
      </c>
      <c r="Q191">
        <v>20.93625</v>
      </c>
      <c r="R191">
        <v>0.0575221238938054</v>
      </c>
      <c r="T191">
        <v>14.5525</v>
      </c>
      <c r="U191">
        <v>21.82875</v>
      </c>
      <c r="V191">
        <v>0.08064516129032262</v>
      </c>
      <c r="X191">
        <v>20.825000000000102</v>
      </c>
      <c r="Y191">
        <v>31.237500000000153</v>
      </c>
      <c r="Z191">
        <v>0.1166666666666667</v>
      </c>
      <c r="AB191">
        <v>19.545</v>
      </c>
      <c r="AC191">
        <v>29.31749999999994</v>
      </c>
      <c r="AD191">
        <v>0.11693548387096775</v>
      </c>
      <c r="AF191">
        <v>22.375</v>
      </c>
      <c r="AG191">
        <v>33.5625</v>
      </c>
      <c r="AH191">
        <v>0.12083333333333335</v>
      </c>
    </row>
    <row r="192" spans="12:34" ht="12.75">
      <c r="L192">
        <v>21.38325000000001</v>
      </c>
      <c r="M192">
        <v>28.511000000000017</v>
      </c>
      <c r="N192">
        <v>0.07661290322580638</v>
      </c>
      <c r="P192">
        <v>20.93625</v>
      </c>
      <c r="Q192">
        <v>27.915</v>
      </c>
      <c r="R192">
        <v>0.08849557522123885</v>
      </c>
      <c r="T192">
        <v>21.82875</v>
      </c>
      <c r="U192">
        <v>29.105</v>
      </c>
      <c r="V192">
        <v>0.056451612903225756</v>
      </c>
      <c r="X192">
        <v>31.237500000000153</v>
      </c>
      <c r="Y192">
        <v>41.650000000000205</v>
      </c>
      <c r="Z192">
        <v>0.075</v>
      </c>
      <c r="AB192">
        <v>29.31749999999994</v>
      </c>
      <c r="AC192">
        <v>39.08999999999992</v>
      </c>
      <c r="AD192">
        <v>0.07258064516129026</v>
      </c>
      <c r="AF192">
        <v>33.5625</v>
      </c>
      <c r="AG192">
        <v>44.75</v>
      </c>
      <c r="AH192">
        <v>0.10416666666666674</v>
      </c>
    </row>
    <row r="193" spans="12:34" ht="12.75">
      <c r="L193">
        <v>28.511000000000017</v>
      </c>
      <c r="M193">
        <v>35.63875</v>
      </c>
      <c r="N193">
        <v>0.06854838709677424</v>
      </c>
      <c r="P193">
        <v>27.915</v>
      </c>
      <c r="Q193">
        <v>34.89375</v>
      </c>
      <c r="R193">
        <v>0.03539823008849563</v>
      </c>
      <c r="T193">
        <v>29.105</v>
      </c>
      <c r="U193">
        <v>36.38125</v>
      </c>
      <c r="V193">
        <v>0.05241935483870974</v>
      </c>
      <c r="X193">
        <v>41.650000000000205</v>
      </c>
      <c r="Y193">
        <v>52.062500000000256</v>
      </c>
      <c r="Z193">
        <v>0.08333333333333337</v>
      </c>
      <c r="AB193">
        <v>39.08999999999992</v>
      </c>
      <c r="AC193">
        <v>48.8624999999999</v>
      </c>
      <c r="AD193">
        <v>0.06048387096774199</v>
      </c>
      <c r="AF193">
        <v>44.75</v>
      </c>
      <c r="AG193">
        <v>55.9375</v>
      </c>
      <c r="AH193">
        <v>0.054166666666666585</v>
      </c>
    </row>
    <row r="194" spans="12:34" ht="12.75">
      <c r="L194">
        <v>35.63875</v>
      </c>
      <c r="M194">
        <v>42.76650000000003</v>
      </c>
      <c r="N194">
        <v>0.016129032258064502</v>
      </c>
      <c r="P194">
        <v>34.89375</v>
      </c>
      <c r="Q194">
        <v>41.8725</v>
      </c>
      <c r="R194">
        <v>0.017699115044247815</v>
      </c>
      <c r="T194">
        <v>36.38125</v>
      </c>
      <c r="U194">
        <v>43.6575</v>
      </c>
      <c r="V194">
        <v>0.016129032258064502</v>
      </c>
      <c r="X194">
        <v>52.062500000000256</v>
      </c>
      <c r="Y194">
        <v>62.47500000000031</v>
      </c>
      <c r="Z194">
        <v>0.016666666666666607</v>
      </c>
      <c r="AB194">
        <v>48.8624999999999</v>
      </c>
      <c r="AC194">
        <v>58.63499999999988</v>
      </c>
      <c r="AD194">
        <v>0.012096774193548376</v>
      </c>
      <c r="AF194">
        <v>55.9375</v>
      </c>
      <c r="AG194">
        <v>67.125</v>
      </c>
      <c r="AH194">
        <v>0.025</v>
      </c>
    </row>
    <row r="195" spans="12:34" ht="12.75">
      <c r="L195">
        <v>42.76650000000003</v>
      </c>
      <c r="M195">
        <v>49.894250000000035</v>
      </c>
      <c r="N195">
        <v>0.008064516129032251</v>
      </c>
      <c r="P195">
        <v>41.8725</v>
      </c>
      <c r="Q195">
        <v>48.85125</v>
      </c>
      <c r="R195">
        <v>0.02654867256637161</v>
      </c>
      <c r="T195">
        <v>43.6575</v>
      </c>
      <c r="U195">
        <v>50.93375</v>
      </c>
      <c r="V195">
        <v>0.008064516129032251</v>
      </c>
      <c r="X195">
        <v>62.47500000000031</v>
      </c>
      <c r="Y195">
        <v>72.88750000000036</v>
      </c>
      <c r="Z195">
        <v>0.012500000000000067</v>
      </c>
      <c r="AB195">
        <v>58.63499999999988</v>
      </c>
      <c r="AC195">
        <v>68.40749999999986</v>
      </c>
      <c r="AD195">
        <v>0.028225806451612878</v>
      </c>
      <c r="AF195">
        <v>67.125</v>
      </c>
      <c r="AG195">
        <v>78.3125</v>
      </c>
      <c r="AH195">
        <v>0.01666666666666672</v>
      </c>
    </row>
    <row r="196" spans="12:34" ht="12.75">
      <c r="L196">
        <v>49.894250000000035</v>
      </c>
      <c r="M196">
        <v>57.02200000000004</v>
      </c>
      <c r="N196">
        <v>0.012096774193548376</v>
      </c>
      <c r="P196">
        <v>48.85125</v>
      </c>
      <c r="Q196">
        <v>55.83</v>
      </c>
      <c r="R196">
        <v>0.013274336283185861</v>
      </c>
      <c r="T196">
        <v>50.93375</v>
      </c>
      <c r="U196">
        <v>58.21</v>
      </c>
      <c r="V196">
        <v>0.020161290322580627</v>
      </c>
      <c r="X196">
        <v>72.88750000000036</v>
      </c>
      <c r="Y196">
        <v>83.30000000000041</v>
      </c>
      <c r="Z196">
        <v>0.004166666666666652</v>
      </c>
      <c r="AB196">
        <v>68.40749999999986</v>
      </c>
      <c r="AC196">
        <v>78.17999999999984</v>
      </c>
      <c r="AD196">
        <v>0.0040322580645161255</v>
      </c>
      <c r="AF196">
        <v>78.3125</v>
      </c>
      <c r="AG196">
        <v>89.5</v>
      </c>
      <c r="AH196">
        <v>0.008333333333333304</v>
      </c>
    </row>
    <row r="198" spans="12:32" ht="12.75">
      <c r="L198" t="s">
        <v>397</v>
      </c>
      <c r="P198" t="s">
        <v>398</v>
      </c>
      <c r="T198" t="s">
        <v>399</v>
      </c>
      <c r="X198" t="s">
        <v>400</v>
      </c>
      <c r="AB198" t="s">
        <v>401</v>
      </c>
      <c r="AF198" t="s">
        <v>402</v>
      </c>
    </row>
    <row r="199" spans="12:34" s="86" customFormat="1" ht="13.5" thickBot="1">
      <c r="L199" s="152" t="s">
        <v>342</v>
      </c>
      <c r="M199" s="152" t="s">
        <v>343</v>
      </c>
      <c r="N199" s="152" t="s">
        <v>344</v>
      </c>
      <c r="O199" s="152"/>
      <c r="P199" s="152" t="s">
        <v>342</v>
      </c>
      <c r="Q199" s="152" t="s">
        <v>343</v>
      </c>
      <c r="R199" s="152" t="s">
        <v>344</v>
      </c>
      <c r="S199" s="152"/>
      <c r="T199" s="152" t="s">
        <v>342</v>
      </c>
      <c r="U199" s="152" t="s">
        <v>343</v>
      </c>
      <c r="V199" s="152" t="s">
        <v>344</v>
      </c>
      <c r="W199" s="152"/>
      <c r="X199" s="152" t="s">
        <v>342</v>
      </c>
      <c r="Y199" s="152" t="s">
        <v>343</v>
      </c>
      <c r="Z199" s="152" t="s">
        <v>344</v>
      </c>
      <c r="AA199" s="152"/>
      <c r="AB199" s="152" t="s">
        <v>342</v>
      </c>
      <c r="AC199" s="152" t="s">
        <v>343</v>
      </c>
      <c r="AD199" s="152" t="s">
        <v>344</v>
      </c>
      <c r="AE199" s="152"/>
      <c r="AF199" s="152" t="s">
        <v>342</v>
      </c>
      <c r="AG199" s="152" t="s">
        <v>343</v>
      </c>
      <c r="AH199" s="152" t="s">
        <v>344</v>
      </c>
    </row>
    <row r="200" spans="12:34" ht="13.5" thickTop="1">
      <c r="L200">
        <v>0</v>
      </c>
      <c r="N200">
        <v>0</v>
      </c>
      <c r="P200">
        <v>0</v>
      </c>
      <c r="R200">
        <v>0</v>
      </c>
      <c r="T200">
        <v>0</v>
      </c>
      <c r="V200">
        <v>0</v>
      </c>
      <c r="X200">
        <v>0</v>
      </c>
      <c r="Z200">
        <v>0.041474654377880185</v>
      </c>
      <c r="AB200">
        <v>0</v>
      </c>
      <c r="AD200">
        <v>0</v>
      </c>
      <c r="AF200">
        <v>0</v>
      </c>
      <c r="AH200">
        <v>0</v>
      </c>
    </row>
    <row r="201" spans="12:34" ht="12.75">
      <c r="L201">
        <v>7.614799999999998</v>
      </c>
      <c r="M201">
        <v>122.4012500000008</v>
      </c>
      <c r="N201">
        <v>0.9959349593495935</v>
      </c>
      <c r="P201">
        <v>10.952000000000002</v>
      </c>
      <c r="Q201">
        <v>14.13375</v>
      </c>
      <c r="R201">
        <v>0.046242774566473986</v>
      </c>
      <c r="T201">
        <v>15.24</v>
      </c>
      <c r="U201">
        <v>31.20625</v>
      </c>
      <c r="V201">
        <v>0.8475609756097561</v>
      </c>
      <c r="X201">
        <v>0.0009999999999763531</v>
      </c>
      <c r="Y201">
        <v>9.192</v>
      </c>
      <c r="Z201">
        <v>0.6497695852534562</v>
      </c>
      <c r="AB201">
        <v>1.0180000000000007</v>
      </c>
      <c r="AC201">
        <v>7.148125</v>
      </c>
      <c r="AD201">
        <v>0.36666666666666664</v>
      </c>
      <c r="AF201">
        <v>1.960000000000008</v>
      </c>
      <c r="AG201">
        <v>8.685</v>
      </c>
      <c r="AH201">
        <v>0.3778801843317972</v>
      </c>
    </row>
    <row r="202" spans="12:34" ht="12.75">
      <c r="L202">
        <v>122.4012500000008</v>
      </c>
      <c r="M202">
        <v>979.2100000000064</v>
      </c>
      <c r="N202">
        <v>0.004065040650406471</v>
      </c>
      <c r="P202">
        <v>14.13375</v>
      </c>
      <c r="Q202">
        <v>28.2675</v>
      </c>
      <c r="R202">
        <v>0.8670520231213873</v>
      </c>
      <c r="T202">
        <v>31.20625</v>
      </c>
      <c r="U202">
        <v>62.4125</v>
      </c>
      <c r="V202">
        <v>0.09146341463414631</v>
      </c>
      <c r="X202">
        <v>9.192</v>
      </c>
      <c r="Y202">
        <v>18.384</v>
      </c>
      <c r="Z202">
        <v>0.07373271889400923</v>
      </c>
      <c r="AB202">
        <v>7.148125</v>
      </c>
      <c r="AC202">
        <v>14.29625</v>
      </c>
      <c r="AD202">
        <v>0.26666666666666666</v>
      </c>
      <c r="AF202">
        <v>8.685</v>
      </c>
      <c r="AG202">
        <v>17.37</v>
      </c>
      <c r="AH202">
        <v>0.38709677419354843</v>
      </c>
    </row>
    <row r="203" spans="16:34" ht="12.75">
      <c r="P203">
        <v>28.2675</v>
      </c>
      <c r="Q203">
        <v>42.40125</v>
      </c>
      <c r="R203">
        <v>0.028901734104046284</v>
      </c>
      <c r="T203">
        <v>62.4125</v>
      </c>
      <c r="U203">
        <v>156.03125</v>
      </c>
      <c r="V203">
        <v>0.0060975609756097615</v>
      </c>
      <c r="X203">
        <v>18.384</v>
      </c>
      <c r="Y203">
        <v>27.576</v>
      </c>
      <c r="Z203">
        <v>0.07834101382488479</v>
      </c>
      <c r="AB203">
        <v>14.29625</v>
      </c>
      <c r="AC203">
        <v>21.444375</v>
      </c>
      <c r="AD203">
        <v>0.06190476190476191</v>
      </c>
      <c r="AF203">
        <v>17.37</v>
      </c>
      <c r="AG203">
        <v>26.055</v>
      </c>
      <c r="AH203">
        <v>0.06451612903225801</v>
      </c>
    </row>
    <row r="204" spans="16:34" ht="12.75">
      <c r="P204">
        <v>42.40125</v>
      </c>
      <c r="Q204">
        <v>56.535</v>
      </c>
      <c r="R204">
        <v>0.023121387283236983</v>
      </c>
      <c r="T204">
        <v>156.03125</v>
      </c>
      <c r="U204">
        <v>249.65</v>
      </c>
      <c r="V204">
        <v>0.0060975609756097615</v>
      </c>
      <c r="X204">
        <v>27.576</v>
      </c>
      <c r="Y204">
        <v>36.768</v>
      </c>
      <c r="Z204">
        <v>0.05069124423963134</v>
      </c>
      <c r="AB204">
        <v>21.444375</v>
      </c>
      <c r="AC204">
        <v>28.5925</v>
      </c>
      <c r="AD204">
        <v>0.09047619047619049</v>
      </c>
      <c r="AF204">
        <v>26.055</v>
      </c>
      <c r="AG204">
        <v>34.74</v>
      </c>
      <c r="AH204">
        <v>0.10599078341013823</v>
      </c>
    </row>
    <row r="205" spans="16:34" ht="12.75">
      <c r="P205">
        <v>56.535</v>
      </c>
      <c r="Q205">
        <v>70.66875</v>
      </c>
      <c r="R205">
        <v>0.023121387283236983</v>
      </c>
      <c r="X205">
        <v>36.768</v>
      </c>
      <c r="Y205">
        <v>45.96</v>
      </c>
      <c r="Z205">
        <v>0.05990783410138245</v>
      </c>
      <c r="AB205">
        <v>28.5925</v>
      </c>
      <c r="AC205">
        <v>35.740625</v>
      </c>
      <c r="AD205">
        <v>0.080952380952381</v>
      </c>
      <c r="AF205">
        <v>34.74</v>
      </c>
      <c r="AG205">
        <v>43.425</v>
      </c>
      <c r="AH205">
        <v>0.032258064516129115</v>
      </c>
    </row>
    <row r="206" spans="16:34" ht="12.75">
      <c r="P206">
        <v>70.66875</v>
      </c>
      <c r="Q206">
        <v>113.07</v>
      </c>
      <c r="R206">
        <v>0.011560693641618491</v>
      </c>
      <c r="X206">
        <v>45.96</v>
      </c>
      <c r="Y206">
        <v>55.152</v>
      </c>
      <c r="Z206">
        <v>0.03686635944700467</v>
      </c>
      <c r="AB206">
        <v>35.740625</v>
      </c>
      <c r="AC206">
        <v>42.88875</v>
      </c>
      <c r="AD206">
        <v>0.08095238095238089</v>
      </c>
      <c r="AF206">
        <v>43.425</v>
      </c>
      <c r="AG206">
        <v>52.11</v>
      </c>
      <c r="AH206">
        <v>0.018433179723502224</v>
      </c>
    </row>
    <row r="207" spans="24:34" ht="12.75">
      <c r="X207">
        <v>55.152</v>
      </c>
      <c r="Y207">
        <v>73.536</v>
      </c>
      <c r="Z207">
        <v>0.009216589861751112</v>
      </c>
      <c r="AB207">
        <v>42.88875</v>
      </c>
      <c r="AC207">
        <v>50.036875</v>
      </c>
      <c r="AD207">
        <v>0.033333333333333326</v>
      </c>
      <c r="AF207">
        <v>52.11</v>
      </c>
      <c r="AG207">
        <v>60.795</v>
      </c>
      <c r="AH207">
        <v>0.004608294930875667</v>
      </c>
    </row>
    <row r="208" spans="28:34" ht="12.75">
      <c r="AB208">
        <v>50.036875</v>
      </c>
      <c r="AC208">
        <v>57.185</v>
      </c>
      <c r="AD208">
        <v>0.01904761904761909</v>
      </c>
      <c r="AF208">
        <v>60.795</v>
      </c>
      <c r="AG208">
        <v>69.48</v>
      </c>
      <c r="AH208">
        <v>0.009216589861751112</v>
      </c>
    </row>
  </sheetData>
  <printOptions gridLines="1" headings="1"/>
  <pageMargins left="0.75" right="0.75" top="1" bottom="1" header="0.5" footer="0.5"/>
  <pageSetup fitToHeight="2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36"/>
  <sheetViews>
    <sheetView showGridLines="0" zoomScale="80" zoomScaleNormal="80" workbookViewId="0" topLeftCell="A1">
      <selection activeCell="D16" sqref="D16"/>
    </sheetView>
  </sheetViews>
  <sheetFormatPr defaultColWidth="9.140625" defaultRowHeight="12.75"/>
  <cols>
    <col min="1" max="1" width="47.00390625" style="0" customWidth="1"/>
    <col min="2" max="2" width="12.421875" style="157" customWidth="1"/>
    <col min="3" max="3" width="18.421875" style="89" customWidth="1"/>
    <col min="4" max="4" width="16.7109375" style="0" customWidth="1"/>
    <col min="5" max="5" width="19.7109375" style="0" customWidth="1"/>
    <col min="6" max="6" width="15.140625" style="0" customWidth="1"/>
    <col min="7" max="7" width="15.28125" style="0" customWidth="1"/>
    <col min="8" max="8" width="15.00390625" style="0" customWidth="1"/>
  </cols>
  <sheetData>
    <row r="1" spans="1:3" s="124" customFormat="1" ht="24" thickBot="1">
      <c r="A1" s="276" t="s">
        <v>514</v>
      </c>
      <c r="B1" s="182"/>
      <c r="C1" s="178"/>
    </row>
    <row r="2" spans="1:3" s="124" customFormat="1" ht="23.25">
      <c r="A2"/>
      <c r="B2" s="182"/>
      <c r="C2" s="178"/>
    </row>
    <row r="3" ht="12.75">
      <c r="A3" s="125"/>
    </row>
    <row r="4" spans="1:2" ht="12.75">
      <c r="A4" s="272" t="s">
        <v>307</v>
      </c>
      <c r="B4" s="273">
        <v>20</v>
      </c>
    </row>
    <row r="5" spans="1:2" ht="12.75">
      <c r="A5" s="274" t="s">
        <v>308</v>
      </c>
      <c r="B5" s="273">
        <v>0.07</v>
      </c>
    </row>
    <row r="6" spans="1:2" ht="12.75">
      <c r="A6" s="275" t="s">
        <v>309</v>
      </c>
      <c r="B6" s="217">
        <f>(B5*(1+B5)^B4)/((1+B5)^B4-1)</f>
        <v>0.0943929257432557</v>
      </c>
    </row>
    <row r="7" ht="12.75">
      <c r="A7" s="90"/>
    </row>
    <row r="8" spans="1:7" s="126" customFormat="1" ht="19.5" thickBot="1">
      <c r="A8" s="120" t="s">
        <v>310</v>
      </c>
      <c r="B8" s="183"/>
      <c r="C8" s="179"/>
      <c r="D8" s="97"/>
      <c r="E8" s="97"/>
      <c r="F8" s="97"/>
      <c r="G8"/>
    </row>
    <row r="9" spans="1:7" s="128" customFormat="1" ht="47.25" customHeight="1" thickBot="1">
      <c r="A9" s="127" t="s">
        <v>259</v>
      </c>
      <c r="B9" s="184" t="s">
        <v>311</v>
      </c>
      <c r="C9" s="180" t="s">
        <v>430</v>
      </c>
      <c r="D9" s="127" t="s">
        <v>429</v>
      </c>
      <c r="E9" s="127" t="s">
        <v>457</v>
      </c>
      <c r="F9" s="127" t="s">
        <v>463</v>
      </c>
      <c r="G9"/>
    </row>
    <row r="10" ht="13.5" thickTop="1"/>
    <row r="11" spans="1:6" ht="12.75">
      <c r="A11" s="85" t="s">
        <v>263</v>
      </c>
      <c r="B11" s="157" t="s">
        <v>216</v>
      </c>
      <c r="D11" t="s">
        <v>216</v>
      </c>
      <c r="E11" t="s">
        <v>216</v>
      </c>
      <c r="F11" t="s">
        <v>216</v>
      </c>
    </row>
    <row r="12" spans="1:6" ht="12.75">
      <c r="A12" t="s">
        <v>312</v>
      </c>
      <c r="B12" s="4">
        <f>'STORAGE&amp;COMPOSTING'!$B$93</f>
        <v>159</v>
      </c>
      <c r="C12" s="185">
        <v>9373.05</v>
      </c>
      <c r="D12" s="89">
        <f>IF(B12&gt;0,(45*B12)*1.31,0)</f>
        <v>9373.050000000001</v>
      </c>
      <c r="E12" s="89">
        <f>0.02*D12</f>
        <v>187.461</v>
      </c>
      <c r="F12" s="89">
        <f aca="true" t="shared" si="0" ref="F12:F18">E12+MAX(C12,D12)*$B$6</f>
        <v>1072.210612637823</v>
      </c>
    </row>
    <row r="13" spans="1:6" ht="12.75">
      <c r="A13" t="s">
        <v>313</v>
      </c>
      <c r="B13" s="4">
        <f>'STORAGE&amp;COMPOSTING'!$B$94</f>
        <v>1518</v>
      </c>
      <c r="C13" s="185">
        <v>255479.4</v>
      </c>
      <c r="D13" s="89">
        <f>IF(B13&gt;0,(110*B13)*1.53,0)</f>
        <v>255479.4</v>
      </c>
      <c r="E13" s="89">
        <f>0.02*D13</f>
        <v>5109.588</v>
      </c>
      <c r="F13" s="89">
        <f t="shared" si="0"/>
        <v>29225.036033131517</v>
      </c>
    </row>
    <row r="14" spans="1:6" ht="12.75">
      <c r="A14" t="s">
        <v>314</v>
      </c>
      <c r="B14" s="4">
        <f>'STORAGE&amp;COMPOSTING'!$B$87</f>
        <v>209</v>
      </c>
      <c r="C14" s="185">
        <v>0</v>
      </c>
      <c r="D14" s="89">
        <v>0</v>
      </c>
      <c r="E14" s="89">
        <f>IF(B14&gt;209,(2.73*B14+535*LOG(B14))*1.53,2772)</f>
        <v>2772</v>
      </c>
      <c r="F14" s="89">
        <f t="shared" si="0"/>
        <v>2772</v>
      </c>
    </row>
    <row r="15" spans="1:6" ht="12.75">
      <c r="A15" s="122" t="s">
        <v>315</v>
      </c>
      <c r="B15" s="4">
        <f>'STORAGE&amp;COMPOSTING'!$B$88</f>
        <v>2733</v>
      </c>
      <c r="C15" s="185">
        <v>0</v>
      </c>
      <c r="D15" s="89">
        <v>0</v>
      </c>
      <c r="E15" s="89">
        <f>IF(B15&gt;2733,(2.73*B15+535*LOG(B15))*1.53,14229)</f>
        <v>14229</v>
      </c>
      <c r="F15" s="89">
        <f t="shared" si="0"/>
        <v>14229</v>
      </c>
    </row>
    <row r="16" spans="1:6" ht="12.75">
      <c r="A16" t="s">
        <v>316</v>
      </c>
      <c r="B16" s="4">
        <f>'STORAGE&amp;COMPOSTING'!$B$81</f>
        <v>0</v>
      </c>
      <c r="C16" s="185">
        <v>0</v>
      </c>
      <c r="D16" s="89">
        <f>IF(B16&gt;0,9824+ROUND(B16/1308,0)*9824,0)</f>
        <v>0</v>
      </c>
      <c r="E16" s="89">
        <f>IF(B16&gt;0,B16*2,0)</f>
        <v>0</v>
      </c>
      <c r="F16" s="89">
        <f t="shared" si="0"/>
        <v>0</v>
      </c>
    </row>
    <row r="17" spans="1:6" ht="12.75">
      <c r="A17" t="s">
        <v>451</v>
      </c>
      <c r="B17" s="4">
        <f>'STORAGE&amp;COMPOSTING'!$D$118</f>
        <v>0</v>
      </c>
      <c r="C17" s="185">
        <v>0</v>
      </c>
      <c r="D17" s="89">
        <v>0</v>
      </c>
      <c r="E17" s="89">
        <f>554*B17</f>
        <v>0</v>
      </c>
      <c r="F17" s="89">
        <f t="shared" si="0"/>
        <v>0</v>
      </c>
    </row>
    <row r="18" spans="1:6" ht="12.75">
      <c r="A18" t="s">
        <v>452</v>
      </c>
      <c r="B18" s="4">
        <f>'STORAGE&amp;COMPOSTING'!$G$118</f>
        <v>0</v>
      </c>
      <c r="C18" s="185">
        <v>0</v>
      </c>
      <c r="D18" s="89">
        <v>0</v>
      </c>
      <c r="E18" s="89">
        <f>574*B18</f>
        <v>0</v>
      </c>
      <c r="F18" s="89">
        <f t="shared" si="0"/>
        <v>0</v>
      </c>
    </row>
    <row r="19" spans="1:6" ht="12.75">
      <c r="A19" s="129" t="s">
        <v>425</v>
      </c>
      <c r="C19" s="185"/>
      <c r="D19" s="89"/>
      <c r="E19" s="89"/>
      <c r="F19" s="160">
        <f>SUM(F12:F18)</f>
        <v>47298.24664576934</v>
      </c>
    </row>
    <row r="20" spans="1:6" ht="12.75">
      <c r="A20" s="129"/>
      <c r="C20" s="185"/>
      <c r="D20" s="89"/>
      <c r="E20" s="89"/>
      <c r="F20" s="89"/>
    </row>
    <row r="21" spans="1:6" ht="12.75">
      <c r="A21" s="85" t="s">
        <v>292</v>
      </c>
      <c r="C21" s="185"/>
      <c r="D21" s="89"/>
      <c r="E21" s="89"/>
      <c r="F21" s="89"/>
    </row>
    <row r="22" spans="1:6" ht="12.75">
      <c r="A22" t="s">
        <v>317</v>
      </c>
      <c r="B22" s="4">
        <f>'FC-Cattle Farming'!$E$21</f>
        <v>0</v>
      </c>
      <c r="C22" s="185">
        <v>0</v>
      </c>
      <c r="D22" s="89">
        <f>IF(B22&gt;0,32.5*B22+8000*INT(B22/640),0)</f>
        <v>0</v>
      </c>
      <c r="E22" s="89">
        <f>0.025*D22</f>
        <v>0</v>
      </c>
      <c r="F22" s="176">
        <f>E22+MAX(C22,D22)*$B$6</f>
        <v>0</v>
      </c>
    </row>
    <row r="23" spans="1:6" ht="12.75">
      <c r="A23" t="s">
        <v>421</v>
      </c>
      <c r="B23" s="4">
        <f>'STORAGE&amp;COMPOSTING'!$B$70</f>
        <v>0</v>
      </c>
      <c r="C23" s="185">
        <v>0</v>
      </c>
      <c r="D23" s="89">
        <f>IF(B23&gt;0,(110*B23/1.5625)*1.53+3*9824,0)</f>
        <v>0</v>
      </c>
      <c r="E23" s="89">
        <f>IF(B23&gt;0,B23*4.71,0)</f>
        <v>0</v>
      </c>
      <c r="F23" s="176">
        <f>E23+MAX(C23,D23)*$B$6</f>
        <v>0</v>
      </c>
    </row>
    <row r="24" spans="1:6" ht="12.75">
      <c r="A24" s="129" t="s">
        <v>425</v>
      </c>
      <c r="B24" s="4"/>
      <c r="C24" s="185"/>
      <c r="D24" s="89"/>
      <c r="E24" s="89"/>
      <c r="F24" s="160">
        <f>SUM(F22:F23)</f>
        <v>0</v>
      </c>
    </row>
    <row r="25" spans="2:6" ht="12.75">
      <c r="B25" s="4"/>
      <c r="C25" s="185"/>
      <c r="D25" s="89"/>
      <c r="E25" s="89"/>
      <c r="F25" s="89"/>
    </row>
    <row r="26" spans="1:6" ht="12.75">
      <c r="A26" s="85" t="s">
        <v>294</v>
      </c>
      <c r="B26" s="4"/>
      <c r="C26" s="185"/>
      <c r="D26" s="89"/>
      <c r="E26" s="89"/>
      <c r="F26" s="89"/>
    </row>
    <row r="27" spans="1:6" ht="12.75">
      <c r="A27" s="19" t="s">
        <v>318</v>
      </c>
      <c r="B27" s="4">
        <f>10-'LOAD-Wastewater'!$B$44</f>
        <v>0</v>
      </c>
      <c r="C27" s="185">
        <v>0</v>
      </c>
      <c r="D27" s="89">
        <f>IF(B27&gt;0,10^(2.631533+0.19773*B27),0)</f>
        <v>0</v>
      </c>
      <c r="E27" s="89">
        <f>B27*129</f>
        <v>0</v>
      </c>
      <c r="F27" s="89">
        <f>E27+MAX(C27,D27)*$B$6</f>
        <v>0</v>
      </c>
    </row>
    <row r="28" spans="1:6" ht="12.75">
      <c r="A28" s="111" t="s">
        <v>319</v>
      </c>
      <c r="B28" s="4">
        <f>'LOAD-Wastewater'!$C$13</f>
        <v>200</v>
      </c>
      <c r="C28" s="185">
        <v>0</v>
      </c>
      <c r="D28" s="89">
        <f>'LOAD-Wastewater'!$H$13</f>
        <v>0</v>
      </c>
      <c r="E28" s="89">
        <f>'LOAD-Wastewater'!$H$15</f>
        <v>0</v>
      </c>
      <c r="F28" s="89">
        <f>E28+MAX(C28,D28)*$B$6</f>
        <v>0</v>
      </c>
    </row>
    <row r="29" spans="1:6" ht="12.75">
      <c r="A29" s="130" t="s">
        <v>425</v>
      </c>
      <c r="F29" s="160">
        <f>SUM(F27:F28)</f>
        <v>0</v>
      </c>
    </row>
    <row r="30" ht="12.75">
      <c r="A30" s="111"/>
    </row>
    <row r="31" spans="1:7" ht="13.5" thickBot="1">
      <c r="A31" s="131" t="s">
        <v>320</v>
      </c>
      <c r="B31" s="158"/>
      <c r="C31" s="181"/>
      <c r="D31" s="132"/>
      <c r="E31" s="132"/>
      <c r="F31" s="161">
        <f>F19+F24+F29</f>
        <v>47298.24664576934</v>
      </c>
      <c r="G31" s="132"/>
    </row>
    <row r="32" spans="1:7" ht="12.75">
      <c r="A32" s="32"/>
      <c r="B32" s="217"/>
      <c r="C32" s="218"/>
      <c r="D32" s="106"/>
      <c r="E32" s="106"/>
      <c r="F32" s="219"/>
      <c r="G32" s="106"/>
    </row>
    <row r="33" spans="1:7" ht="12.75">
      <c r="A33" s="32" t="s">
        <v>465</v>
      </c>
      <c r="B33" s="217"/>
      <c r="C33" s="218"/>
      <c r="D33" s="106"/>
      <c r="E33" s="106"/>
      <c r="F33" s="219"/>
      <c r="G33" s="106"/>
    </row>
    <row r="34" ht="12.75">
      <c r="A34" t="s">
        <v>464</v>
      </c>
    </row>
    <row r="35" ht="12.75">
      <c r="A35" t="s">
        <v>460</v>
      </c>
    </row>
    <row r="36" ht="12.75">
      <c r="A36" t="s">
        <v>459</v>
      </c>
    </row>
  </sheetData>
  <printOptions/>
  <pageMargins left="0.75" right="0.75" top="1" bottom="1" header="0.5" footer="0.5"/>
  <pageSetup fitToHeight="1" fitToWidth="1" horizontalDpi="600" verticalDpi="600"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6"/>
  <sheetViews>
    <sheetView showGridLines="0" tabSelected="1" zoomScale="75" zoomScaleNormal="75" workbookViewId="0" topLeftCell="A1">
      <selection activeCell="D9" sqref="D9"/>
    </sheetView>
  </sheetViews>
  <sheetFormatPr defaultColWidth="9.140625" defaultRowHeight="12.75"/>
  <cols>
    <col min="1" max="1" width="27.57421875" style="0" customWidth="1"/>
    <col min="2" max="3" width="20.57421875" style="0" customWidth="1"/>
    <col min="4" max="4" width="18.57421875" style="0" customWidth="1"/>
    <col min="5" max="5" width="22.57421875" style="0" customWidth="1"/>
    <col min="6" max="6" width="16.7109375" style="0" customWidth="1"/>
  </cols>
  <sheetData>
    <row r="1" spans="1:4" ht="24" thickBot="1">
      <c r="A1" s="226" t="s">
        <v>456</v>
      </c>
      <c r="B1" s="222"/>
      <c r="C1" s="222"/>
      <c r="D1" s="222"/>
    </row>
    <row r="3" spans="1:6" ht="19.5" thickBot="1">
      <c r="A3" s="96" t="s">
        <v>298</v>
      </c>
      <c r="B3" s="113"/>
      <c r="C3" s="97"/>
      <c r="D3" s="97"/>
      <c r="E3" s="114"/>
      <c r="F3" s="114"/>
    </row>
    <row r="4" spans="1:6" ht="26.25" thickBot="1">
      <c r="A4" s="99" t="s">
        <v>299</v>
      </c>
      <c r="B4" s="99" t="s">
        <v>300</v>
      </c>
      <c r="C4" s="99" t="s">
        <v>301</v>
      </c>
      <c r="D4" s="99" t="s">
        <v>302</v>
      </c>
      <c r="E4" s="115"/>
      <c r="F4" s="115"/>
    </row>
    <row r="5" spans="1:6" ht="13.5" thickTop="1">
      <c r="A5" s="116"/>
      <c r="B5" s="116"/>
      <c r="C5" s="116"/>
      <c r="D5" s="116"/>
      <c r="E5" s="95"/>
      <c r="F5" s="95"/>
    </row>
    <row r="6" spans="1:6" ht="12.75">
      <c r="A6" s="111" t="s">
        <v>263</v>
      </c>
      <c r="B6" s="186">
        <v>47297.90355878757</v>
      </c>
      <c r="C6" s="187">
        <f>'OPT-Costs'!$F$19</f>
        <v>47298.24664576934</v>
      </c>
      <c r="D6" s="187">
        <f>C6-B6</f>
        <v>0.3430869817675557</v>
      </c>
      <c r="E6" s="117"/>
      <c r="F6" s="117"/>
    </row>
    <row r="7" spans="1:6" ht="12.75">
      <c r="A7" s="111" t="s">
        <v>292</v>
      </c>
      <c r="B7" s="186">
        <v>0</v>
      </c>
      <c r="C7" s="187">
        <f>'OPT-Costs'!$F$24</f>
        <v>0</v>
      </c>
      <c r="D7" s="187">
        <f>C7-B7</f>
        <v>0</v>
      </c>
      <c r="E7" s="117"/>
      <c r="F7" s="117"/>
    </row>
    <row r="8" spans="1:6" ht="12.75">
      <c r="A8" s="111" t="s">
        <v>294</v>
      </c>
      <c r="B8" s="186">
        <v>0</v>
      </c>
      <c r="C8" s="187">
        <f>'OPT-Costs'!$F$29</f>
        <v>0</v>
      </c>
      <c r="D8" s="187">
        <f>C8-B8</f>
        <v>0</v>
      </c>
      <c r="E8" s="117"/>
      <c r="F8" s="117"/>
    </row>
    <row r="9" spans="1:6" ht="13.5" thickBot="1">
      <c r="A9" s="163" t="s">
        <v>406</v>
      </c>
      <c r="B9" s="188">
        <f>SUM(B6:B8)</f>
        <v>47297.90355878757</v>
      </c>
      <c r="C9" s="189">
        <f>'OPT-Costs'!$F$31</f>
        <v>47298.24664576934</v>
      </c>
      <c r="D9" s="189">
        <f>SUM(D6:D8)</f>
        <v>0.3430869817675557</v>
      </c>
      <c r="E9" s="95"/>
      <c r="F9" s="95"/>
    </row>
    <row r="10" spans="1:6" ht="12.75">
      <c r="A10" s="105"/>
      <c r="B10" s="116"/>
      <c r="C10" s="116"/>
      <c r="D10" s="116"/>
      <c r="E10" s="95"/>
      <c r="F10" s="95"/>
    </row>
    <row r="11" spans="1:6" ht="12.75">
      <c r="A11" s="93"/>
      <c r="B11" s="93"/>
      <c r="C11" s="93"/>
      <c r="D11" s="93"/>
      <c r="E11" s="93"/>
      <c r="F11" s="93"/>
    </row>
    <row r="12" spans="1:6" ht="19.5" thickBot="1">
      <c r="A12" s="96" t="s">
        <v>521</v>
      </c>
      <c r="B12" s="113"/>
      <c r="C12" s="97"/>
      <c r="D12" s="97"/>
      <c r="E12" s="97"/>
      <c r="F12" s="97"/>
    </row>
    <row r="13" spans="1:6" ht="48" customHeight="1" thickBot="1">
      <c r="A13" s="118" t="s">
        <v>299</v>
      </c>
      <c r="B13" s="118" t="s">
        <v>409</v>
      </c>
      <c r="C13" s="118" t="s">
        <v>408</v>
      </c>
      <c r="D13" s="118" t="s">
        <v>455</v>
      </c>
      <c r="E13" s="118" t="s">
        <v>410</v>
      </c>
      <c r="F13" s="118" t="s">
        <v>411</v>
      </c>
    </row>
    <row r="14" spans="1:6" ht="13.5" thickTop="1">
      <c r="A14" s="95"/>
      <c r="C14" s="95"/>
      <c r="D14" s="95"/>
      <c r="E14" s="200"/>
      <c r="F14" s="201"/>
    </row>
    <row r="15" spans="1:6" ht="12.75">
      <c r="A15" s="193" t="s">
        <v>454</v>
      </c>
      <c r="B15" s="197">
        <v>1262953714.1322653</v>
      </c>
      <c r="C15" s="198">
        <f>'OPT-Concentrations'!$D$35</f>
        <v>1262953714.1322653</v>
      </c>
      <c r="D15" s="195">
        <f>C15/(SUM(C$15:C$18))</f>
        <v>0.010978574399103061</v>
      </c>
      <c r="E15" s="198"/>
      <c r="F15" s="195"/>
    </row>
    <row r="16" spans="1:6" ht="12.75">
      <c r="A16" s="111" t="s">
        <v>263</v>
      </c>
      <c r="B16" s="199">
        <v>1832460137.6669588</v>
      </c>
      <c r="C16" s="198">
        <f>'OPT-Concentrations'!$F$55</f>
        <v>1825182412.8946526</v>
      </c>
      <c r="D16" s="195">
        <f>C16/(SUM(C$15:C$18))</f>
        <v>0.015865902833712146</v>
      </c>
      <c r="E16" s="198">
        <f>B16-C16</f>
        <v>7277724.772306204</v>
      </c>
      <c r="F16" s="195">
        <f>E16/B16</f>
        <v>0.003971559665997436</v>
      </c>
    </row>
    <row r="17" spans="1:6" ht="12.75">
      <c r="A17" s="111" t="s">
        <v>292</v>
      </c>
      <c r="B17" s="199">
        <v>85980788199.94801</v>
      </c>
      <c r="C17" s="198">
        <f>'OPT-Concentrations'!$J$73</f>
        <v>85980788199.94801</v>
      </c>
      <c r="D17" s="195">
        <f>C17/(SUM(C$15:C$18))</f>
        <v>0.7474117773153761</v>
      </c>
      <c r="E17" s="198">
        <f>B17-C17</f>
        <v>0</v>
      </c>
      <c r="F17" s="195">
        <f>E17/B17</f>
        <v>0</v>
      </c>
    </row>
    <row r="18" spans="1:6" ht="12.75">
      <c r="A18" s="111" t="s">
        <v>294</v>
      </c>
      <c r="B18" s="199">
        <v>25969118703.04246</v>
      </c>
      <c r="C18" s="198">
        <f>'OPT-Concentrations'!$J$91</f>
        <v>25969118703.04246</v>
      </c>
      <c r="D18" s="195">
        <f>C18/(SUM(C$15:C$18))</f>
        <v>0.2257437454518087</v>
      </c>
      <c r="E18" s="198">
        <f>B18-C18</f>
        <v>0</v>
      </c>
      <c r="F18" s="195">
        <f>E18/B18</f>
        <v>0</v>
      </c>
    </row>
    <row r="19" spans="1:6" ht="12.75">
      <c r="A19" s="294" t="s">
        <v>519</v>
      </c>
      <c r="B19" s="295" t="s">
        <v>216</v>
      </c>
      <c r="C19" s="296">
        <f>(C16-C17)^2+(C16-C18)^2+(C17-C18)^2</f>
        <v>1.126649612077447E+22</v>
      </c>
      <c r="D19" s="297"/>
      <c r="E19" s="296">
        <f>(E16-E17)^2+(E16-E18)^2+(E17-E18)^2</f>
        <v>105930555722878.77</v>
      </c>
      <c r="F19" s="298">
        <f>(F16-F17)^2+(F16-F18)^2+(F17-F18)^2</f>
        <v>3.154657236115534E-05</v>
      </c>
    </row>
    <row r="20" spans="1:6" ht="13.5" thickBot="1">
      <c r="A20" s="299" t="s">
        <v>520</v>
      </c>
      <c r="B20" s="300">
        <f>SUM(B15:B18)</f>
        <v>115045320754.7897</v>
      </c>
      <c r="C20" s="300">
        <f>SUM(C15:C18)</f>
        <v>115038043030.0174</v>
      </c>
      <c r="D20" s="301"/>
      <c r="E20" s="300">
        <f>SUM(E16:E18)</f>
        <v>7277724.772306204</v>
      </c>
      <c r="F20" s="119"/>
    </row>
    <row r="21" spans="1:6" ht="12.75">
      <c r="A21" s="93"/>
      <c r="B21" s="93"/>
      <c r="C21" s="93"/>
      <c r="D21" s="93"/>
      <c r="E21" s="93"/>
      <c r="F21" s="93"/>
    </row>
    <row r="22" spans="1:6" ht="18" thickBot="1">
      <c r="A22" s="120" t="s">
        <v>517</v>
      </c>
      <c r="B22" s="120"/>
      <c r="C22" s="120"/>
      <c r="D22" s="109"/>
      <c r="E22" s="109"/>
      <c r="F22" s="109"/>
    </row>
    <row r="23" spans="1:6" ht="39" customHeight="1" thickBot="1">
      <c r="A23" s="121" t="s">
        <v>303</v>
      </c>
      <c r="B23" s="118" t="s">
        <v>304</v>
      </c>
      <c r="C23" s="118" t="s">
        <v>305</v>
      </c>
      <c r="D23" s="108"/>
      <c r="E23" s="108"/>
      <c r="F23" s="108"/>
    </row>
    <row r="24" spans="1:6" ht="13.5" thickTop="1">
      <c r="A24" s="122" t="s">
        <v>14</v>
      </c>
      <c r="B24" s="174">
        <v>114.33979781105691</v>
      </c>
      <c r="C24" s="175">
        <f>'OPT-Concentrations'!F7</f>
        <v>114.33979781105691</v>
      </c>
      <c r="D24" s="93"/>
      <c r="E24" s="93"/>
      <c r="F24" s="93"/>
    </row>
    <row r="25" spans="1:6" ht="12.75">
      <c r="A25" s="122" t="s">
        <v>42</v>
      </c>
      <c r="B25" s="174">
        <v>107.679472240166</v>
      </c>
      <c r="C25" s="175">
        <f>'OPT-Concentrations'!F8</f>
        <v>107.679472240166</v>
      </c>
      <c r="D25" s="93"/>
      <c r="E25" s="93"/>
      <c r="F25" s="93"/>
    </row>
    <row r="26" spans="1:6" ht="12.75">
      <c r="A26" s="122" t="s">
        <v>43</v>
      </c>
      <c r="B26" s="174">
        <v>129.7374702061175</v>
      </c>
      <c r="C26" s="175">
        <f>'OPT-Concentrations'!F9</f>
        <v>129.7374702061175</v>
      </c>
      <c r="D26" s="93"/>
      <c r="E26" s="93"/>
      <c r="F26" s="93"/>
    </row>
    <row r="27" spans="1:6" ht="12.75">
      <c r="A27" s="122" t="s">
        <v>44</v>
      </c>
      <c r="B27" s="174">
        <v>2108.690113110274</v>
      </c>
      <c r="C27" s="175">
        <f>'OPT-Concentrations'!F10</f>
        <v>2107.710080430844</v>
      </c>
      <c r="D27" s="93"/>
      <c r="E27" s="93"/>
      <c r="F27" s="93"/>
    </row>
    <row r="28" spans="1:6" ht="12.75">
      <c r="A28" s="122" t="s">
        <v>45</v>
      </c>
      <c r="B28" s="174">
        <v>5814.217325317281</v>
      </c>
      <c r="C28" s="175">
        <f>'OPT-Concentrations'!F11</f>
        <v>5813.685392640555</v>
      </c>
      <c r="D28" s="93"/>
      <c r="E28" s="93"/>
      <c r="F28" s="93"/>
    </row>
    <row r="29" spans="1:6" ht="12.75">
      <c r="A29" s="122" t="s">
        <v>46</v>
      </c>
      <c r="B29" s="174">
        <v>685.862737647563</v>
      </c>
      <c r="C29" s="175">
        <f>'OPT-Concentrations'!F12</f>
        <v>687.131289165208</v>
      </c>
      <c r="D29" s="93"/>
      <c r="E29" s="93"/>
      <c r="F29" s="93"/>
    </row>
    <row r="30" spans="1:6" ht="12.75">
      <c r="A30" s="122" t="s">
        <v>69</v>
      </c>
      <c r="B30" s="174">
        <v>4400.976143814986</v>
      </c>
      <c r="C30" s="175">
        <f>'OPT-Concentrations'!F13</f>
        <v>4400.665841752353</v>
      </c>
      <c r="D30" s="93"/>
      <c r="E30" s="93"/>
      <c r="F30" s="93"/>
    </row>
    <row r="31" spans="1:6" ht="12.75">
      <c r="A31" s="122" t="s">
        <v>47</v>
      </c>
      <c r="B31" s="174">
        <v>131.6046396020739</v>
      </c>
      <c r="C31" s="175">
        <f>'OPT-Concentrations'!F14</f>
        <v>131.57204406502515</v>
      </c>
      <c r="D31" s="93"/>
      <c r="E31" s="93"/>
      <c r="F31" s="93"/>
    </row>
    <row r="32" spans="1:6" ht="12.75">
      <c r="A32" s="122" t="s">
        <v>70</v>
      </c>
      <c r="B32" s="174">
        <v>499.9990996589649</v>
      </c>
      <c r="C32" s="175">
        <f>'OPT-Concentrations'!F15</f>
        <v>499.9686387374639</v>
      </c>
      <c r="D32" s="93"/>
      <c r="E32" s="93"/>
      <c r="F32" s="93"/>
    </row>
    <row r="33" spans="1:6" ht="12.75">
      <c r="A33" s="122" t="s">
        <v>48</v>
      </c>
      <c r="B33" s="174">
        <v>125.02646595289649</v>
      </c>
      <c r="C33" s="175">
        <f>'OPT-Concentrations'!F16</f>
        <v>125.04280274357427</v>
      </c>
      <c r="D33" s="93"/>
      <c r="E33" s="93"/>
      <c r="F33" s="93"/>
    </row>
    <row r="34" spans="1:6" ht="12.75">
      <c r="A34" s="122" t="s">
        <v>49</v>
      </c>
      <c r="B34" s="174">
        <v>119.58599751522327</v>
      </c>
      <c r="C34" s="175">
        <f>'OPT-Concentrations'!F17</f>
        <v>119.58599751522327</v>
      </c>
      <c r="D34" s="93"/>
      <c r="E34" s="93"/>
      <c r="F34" s="93"/>
    </row>
    <row r="35" spans="1:6" ht="12.75">
      <c r="A35" s="122" t="s">
        <v>50</v>
      </c>
      <c r="B35" s="174">
        <v>114.88600271289927</v>
      </c>
      <c r="C35" s="175">
        <f>'OPT-Concentrations'!F18</f>
        <v>114.88600271289927</v>
      </c>
      <c r="D35" s="93"/>
      <c r="E35" s="93"/>
      <c r="F35" s="93"/>
    </row>
    <row r="36" spans="1:6" ht="13.5" thickBot="1">
      <c r="A36" s="123" t="s">
        <v>306</v>
      </c>
      <c r="B36" s="173">
        <f>MAX(B24:B35)</f>
        <v>5814.217325317281</v>
      </c>
      <c r="C36" s="288">
        <f>MAX(C24:C35)</f>
        <v>5813.685392640555</v>
      </c>
      <c r="D36" s="93"/>
      <c r="E36" s="93"/>
      <c r="F36" s="93"/>
    </row>
  </sheetData>
  <printOptions/>
  <pageMargins left="0.75" right="0.75" top="1" bottom="1" header="0.5" footer="0.5"/>
  <pageSetup fitToHeight="1" fitToWidth="1" horizontalDpi="600" verticalDpi="600" orientation="landscape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E45"/>
  <sheetViews>
    <sheetView showGridLines="0" workbookViewId="0" topLeftCell="A1">
      <selection activeCell="D14" sqref="D14"/>
    </sheetView>
  </sheetViews>
  <sheetFormatPr defaultColWidth="9.140625" defaultRowHeight="12.75"/>
  <cols>
    <col min="2" max="2" width="19.00390625" style="0" customWidth="1"/>
    <col min="6" max="6" width="15.8515625" style="0" customWidth="1"/>
  </cols>
  <sheetData>
    <row r="1" spans="1:9" ht="24" thickBot="1">
      <c r="A1" s="226" t="s">
        <v>461</v>
      </c>
      <c r="B1" s="222"/>
      <c r="C1" s="222"/>
      <c r="D1" s="222"/>
      <c r="E1" s="222"/>
      <c r="F1" s="222"/>
      <c r="G1" s="222"/>
      <c r="H1" s="222"/>
      <c r="I1" s="222"/>
    </row>
    <row r="4" spans="1:9" s="126" customFormat="1" ht="19.5" thickBot="1">
      <c r="A4" s="120" t="s">
        <v>468</v>
      </c>
      <c r="B4" s="97"/>
      <c r="C4" s="97"/>
      <c r="D4" s="97"/>
      <c r="E4" s="97"/>
      <c r="F4" s="97"/>
      <c r="G4" s="97"/>
      <c r="H4" s="97"/>
      <c r="I4" s="97"/>
    </row>
    <row r="6" s="26" customFormat="1" ht="12.75">
      <c r="A6" s="26" t="s">
        <v>469</v>
      </c>
    </row>
    <row r="7" s="26" customFormat="1" ht="12.75">
      <c r="A7" s="26" t="s">
        <v>470</v>
      </c>
    </row>
    <row r="8" s="26" customFormat="1" ht="12.75">
      <c r="A8" s="26" t="s">
        <v>471</v>
      </c>
    </row>
    <row r="9" s="26" customFormat="1" ht="12.75">
      <c r="A9" s="26" t="s">
        <v>472</v>
      </c>
    </row>
    <row r="11" spans="2:8" ht="12.75">
      <c r="B11" s="243" t="s">
        <v>217</v>
      </c>
      <c r="C11" s="250">
        <f>C12*236500</f>
        <v>47300000</v>
      </c>
      <c r="D11" s="245" t="s">
        <v>467</v>
      </c>
      <c r="F11" s="243" t="s">
        <v>222</v>
      </c>
      <c r="G11" s="244"/>
      <c r="H11" s="245">
        <f>(C13/12500000000000)^(-1/2.27)</f>
        <v>57002.549549373725</v>
      </c>
    </row>
    <row r="12" spans="2:8" ht="12.75">
      <c r="B12" s="142" t="s">
        <v>218</v>
      </c>
      <c r="C12" s="291">
        <v>200</v>
      </c>
      <c r="D12" s="246" t="s">
        <v>219</v>
      </c>
      <c r="F12" s="142" t="s">
        <v>223</v>
      </c>
      <c r="G12" s="106"/>
      <c r="H12" s="246">
        <f>H11/57002.55*80000</f>
        <v>79999.99936757036</v>
      </c>
    </row>
    <row r="13" spans="2:8" ht="12.75">
      <c r="B13" s="248" t="s">
        <v>220</v>
      </c>
      <c r="C13" s="251">
        <f>'OPT-Decisions'!$C$39</f>
        <v>200</v>
      </c>
      <c r="D13" s="252" t="s">
        <v>216</v>
      </c>
      <c r="E13" t="s">
        <v>216</v>
      </c>
      <c r="F13" s="142" t="s">
        <v>238</v>
      </c>
      <c r="G13" s="106"/>
      <c r="H13" s="247">
        <f>IF(C13&lt;200,H12,0)</f>
        <v>0</v>
      </c>
    </row>
    <row r="14" spans="6:8" ht="12.75">
      <c r="F14" s="142" t="s">
        <v>224</v>
      </c>
      <c r="G14" s="106"/>
      <c r="H14" s="246">
        <f>H11/57002.55*2450</f>
        <v>2449.9999806318424</v>
      </c>
    </row>
    <row r="15" spans="6:8" ht="12.75">
      <c r="F15" s="248" t="s">
        <v>239</v>
      </c>
      <c r="G15" s="87"/>
      <c r="H15" s="249">
        <f>IF(C13&lt;200,H14,0)</f>
        <v>0</v>
      </c>
    </row>
    <row r="16" spans="1:2" ht="12.75">
      <c r="A16" s="106"/>
      <c r="B16" s="36" t="s">
        <v>466</v>
      </c>
    </row>
    <row r="17" spans="1:2" ht="13.5" thickBot="1">
      <c r="A17" s="153"/>
      <c r="B17" s="152" t="s">
        <v>467</v>
      </c>
    </row>
    <row r="18" spans="1:2" ht="13.5" thickTop="1">
      <c r="A18" t="s">
        <v>201</v>
      </c>
      <c r="B18" s="83">
        <f>(C$13/C$12)*C$11</f>
        <v>47300000</v>
      </c>
    </row>
    <row r="19" spans="1:2" ht="12.75">
      <c r="A19" t="s">
        <v>202</v>
      </c>
      <c r="B19" s="83">
        <f aca="true" t="shared" si="0" ref="B19:B29">(C$13/C$12)*C$11</f>
        <v>47300000</v>
      </c>
    </row>
    <row r="20" spans="1:2" ht="12.75">
      <c r="A20" t="s">
        <v>203</v>
      </c>
      <c r="B20" s="83">
        <f t="shared" si="0"/>
        <v>47300000</v>
      </c>
    </row>
    <row r="21" spans="1:2" ht="12.75">
      <c r="A21" t="s">
        <v>204</v>
      </c>
      <c r="B21" s="83">
        <v>0</v>
      </c>
    </row>
    <row r="22" spans="1:2" ht="12.75">
      <c r="A22" t="s">
        <v>45</v>
      </c>
      <c r="B22" s="83">
        <v>0</v>
      </c>
    </row>
    <row r="23" spans="1:2" ht="12.75">
      <c r="A23" t="s">
        <v>46</v>
      </c>
      <c r="B23" s="83">
        <v>0</v>
      </c>
    </row>
    <row r="24" spans="1:2" ht="12.75">
      <c r="A24" t="s">
        <v>69</v>
      </c>
      <c r="B24" s="83">
        <v>0</v>
      </c>
    </row>
    <row r="25" spans="1:2" ht="12.75">
      <c r="A25" t="s">
        <v>205</v>
      </c>
      <c r="B25" s="83">
        <v>0</v>
      </c>
    </row>
    <row r="26" spans="1:2" ht="12.75">
      <c r="A26" t="s">
        <v>215</v>
      </c>
      <c r="B26" s="83">
        <v>0</v>
      </c>
    </row>
    <row r="27" spans="1:2" ht="12.75">
      <c r="A27" t="s">
        <v>206</v>
      </c>
      <c r="B27" s="83">
        <f t="shared" si="0"/>
        <v>47300000</v>
      </c>
    </row>
    <row r="28" spans="1:2" ht="12.75">
      <c r="A28" t="s">
        <v>207</v>
      </c>
      <c r="B28" s="83">
        <f t="shared" si="0"/>
        <v>47300000</v>
      </c>
    </row>
    <row r="29" spans="1:2" ht="12.75">
      <c r="A29" s="87" t="s">
        <v>208</v>
      </c>
      <c r="B29" s="237">
        <f t="shared" si="0"/>
        <v>47300000</v>
      </c>
    </row>
    <row r="30" ht="12.75">
      <c r="B30" s="83"/>
    </row>
    <row r="31" ht="12.75">
      <c r="B31" s="83"/>
    </row>
    <row r="33" spans="1:8" ht="18" thickBot="1">
      <c r="A33" s="120" t="s">
        <v>473</v>
      </c>
      <c r="B33" s="220"/>
      <c r="C33" s="220"/>
      <c r="D33" s="220"/>
      <c r="E33" s="220"/>
      <c r="F33" s="220"/>
      <c r="G33" s="220"/>
      <c r="H33" s="220"/>
    </row>
    <row r="35" spans="1:31" ht="12.75">
      <c r="A35" s="60" t="s">
        <v>142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2.75">
      <c r="A36" s="81" t="s">
        <v>474</v>
      </c>
      <c r="B36" s="58"/>
      <c r="C36" s="5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2.75">
      <c r="A37" s="1" t="s">
        <v>166</v>
      </c>
      <c r="B37" s="1"/>
      <c r="C37" s="1"/>
      <c r="D37" s="1"/>
      <c r="E37" s="1"/>
      <c r="F37" s="1"/>
      <c r="G37" s="1"/>
      <c r="H37" s="253"/>
      <c r="I37" s="254">
        <v>2.7</v>
      </c>
      <c r="J37" s="255" t="s">
        <v>84</v>
      </c>
      <c r="K37" s="256"/>
      <c r="L37" s="1"/>
      <c r="M37" s="1"/>
      <c r="N37" s="1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12.75">
      <c r="A38" s="1" t="s">
        <v>140</v>
      </c>
      <c r="B38" s="1"/>
      <c r="C38" s="1"/>
      <c r="D38" s="1"/>
      <c r="E38" s="1"/>
      <c r="F38" s="1"/>
      <c r="G38" s="1"/>
      <c r="H38" s="257"/>
      <c r="I38" s="258">
        <v>10000</v>
      </c>
      <c r="J38" s="51" t="s">
        <v>141</v>
      </c>
      <c r="K38" s="247"/>
      <c r="L38" s="19"/>
      <c r="M38" s="1"/>
      <c r="N38" s="1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2.75">
      <c r="A39" s="1" t="s">
        <v>138</v>
      </c>
      <c r="B39" s="1"/>
      <c r="C39" s="1"/>
      <c r="D39" s="1"/>
      <c r="E39" s="1"/>
      <c r="F39" s="1"/>
      <c r="G39" s="1"/>
      <c r="H39" s="257"/>
      <c r="I39" s="51">
        <v>70</v>
      </c>
      <c r="J39" s="51" t="s">
        <v>139</v>
      </c>
      <c r="K39" s="259"/>
      <c r="L39" s="19"/>
      <c r="M39" s="1"/>
      <c r="N39" s="1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2.75">
      <c r="A40" s="1"/>
      <c r="B40" s="1"/>
      <c r="C40" s="1"/>
      <c r="D40" s="1"/>
      <c r="E40" s="1"/>
      <c r="F40" s="1"/>
      <c r="G40" s="1"/>
      <c r="H40" s="260"/>
      <c r="I40" s="3" t="s">
        <v>85</v>
      </c>
      <c r="J40" s="261"/>
      <c r="K40" s="262"/>
      <c r="L40" s="1"/>
      <c r="M40" s="1"/>
      <c r="N40" s="1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0" s="228" customFormat="1" ht="39.75" thickBot="1">
      <c r="A43" s="137" t="s">
        <v>476</v>
      </c>
      <c r="B43" s="137" t="s">
        <v>475</v>
      </c>
      <c r="C43" s="137" t="s">
        <v>477</v>
      </c>
      <c r="D43" s="137" t="s">
        <v>478</v>
      </c>
      <c r="E43" s="137" t="s">
        <v>479</v>
      </c>
      <c r="F43" s="137" t="s">
        <v>480</v>
      </c>
      <c r="G43" s="137" t="s">
        <v>481</v>
      </c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</row>
    <row r="44" spans="1:30" ht="13.5" thickTop="1">
      <c r="A44" s="238">
        <f>'FC-LandUses'!F8</f>
        <v>10055</v>
      </c>
      <c r="B44" s="239">
        <f>'OPT-Decisions'!$C$38</f>
        <v>10</v>
      </c>
      <c r="C44" s="240">
        <f>B44*$I$37</f>
        <v>27</v>
      </c>
      <c r="D44" s="240">
        <f>C44*$I$39</f>
        <v>1890</v>
      </c>
      <c r="E44" s="240">
        <f>D44*3785/24</f>
        <v>298068.75</v>
      </c>
      <c r="F44" s="241">
        <f>E44*($I$38/100)</f>
        <v>29806875</v>
      </c>
      <c r="G44" s="242">
        <f>D44*(0.00000155)</f>
        <v>0.0029295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1" ht="12.75">
      <c r="A45" s="19"/>
      <c r="B45" s="19"/>
      <c r="C45" s="2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</sheetData>
  <printOptions/>
  <pageMargins left="0.75" right="0.75" top="1" bottom="1" header="0.5" footer="0.5"/>
  <pageSetup fitToHeight="1" fitToWidth="1" horizontalDpi="600" verticalDpi="600" orientation="landscape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Q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24.7109375" style="1" customWidth="1"/>
    <col min="3" max="3" width="9.57421875" style="1" customWidth="1"/>
    <col min="4" max="4" width="10.7109375" style="1" customWidth="1"/>
    <col min="5" max="5" width="12.7109375" style="1" customWidth="1"/>
    <col min="6" max="7" width="10.7109375" style="1" customWidth="1"/>
    <col min="8" max="8" width="9.57421875" style="1" customWidth="1"/>
    <col min="9" max="16384" width="9.140625" style="1" customWidth="1"/>
  </cols>
  <sheetData>
    <row r="1" spans="1:6" s="196" customFormat="1" ht="23.25" thickBot="1">
      <c r="A1" s="226" t="s">
        <v>488</v>
      </c>
      <c r="B1" s="226"/>
      <c r="C1" s="226"/>
      <c r="D1" s="226"/>
      <c r="E1" s="226"/>
      <c r="F1" s="226"/>
    </row>
    <row r="2" spans="1:6" s="85" customFormat="1" ht="12.75">
      <c r="A2" s="19" t="s">
        <v>482</v>
      </c>
      <c r="B2" s="19"/>
      <c r="C2" s="19"/>
      <c r="D2" s="19"/>
      <c r="E2" s="19"/>
      <c r="F2" s="19"/>
    </row>
    <row r="3" spans="1:6" s="85" customFormat="1" ht="12.75">
      <c r="A3" s="19"/>
      <c r="B3" s="19"/>
      <c r="C3" s="19"/>
      <c r="D3" s="19"/>
      <c r="E3" s="19"/>
      <c r="F3" s="19"/>
    </row>
    <row r="5" spans="1:2" s="126" customFormat="1" ht="18" thickBot="1">
      <c r="A5" s="120" t="s">
        <v>485</v>
      </c>
      <c r="B5" s="231"/>
    </row>
    <row r="6" spans="1:17" ht="12.75">
      <c r="A6" s="2" t="s">
        <v>96</v>
      </c>
      <c r="B6" s="2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5" ht="13.5" thickBot="1">
      <c r="A7" s="225" t="s">
        <v>4</v>
      </c>
      <c r="B7" s="236" t="s">
        <v>3</v>
      </c>
      <c r="C7" s="236" t="s">
        <v>8</v>
      </c>
      <c r="D7" s="236" t="s">
        <v>97</v>
      </c>
      <c r="E7" s="236" t="s">
        <v>172</v>
      </c>
      <c r="F7" s="236" t="s">
        <v>6</v>
      </c>
      <c r="G7" s="19"/>
      <c r="H7" s="19"/>
      <c r="I7" s="19"/>
      <c r="J7" s="19"/>
      <c r="K7" s="19"/>
      <c r="L7" s="19"/>
      <c r="M7" s="19"/>
      <c r="N7" s="19"/>
      <c r="O7" s="19"/>
    </row>
    <row r="8" spans="1:15" ht="13.5" thickTop="1">
      <c r="A8" s="263" t="s">
        <v>497</v>
      </c>
      <c r="B8" s="264">
        <f>4195+1402</f>
        <v>5597</v>
      </c>
      <c r="C8" s="264">
        <v>2117</v>
      </c>
      <c r="D8" s="264">
        <v>181</v>
      </c>
      <c r="E8" s="264">
        <f>1523+620+17</f>
        <v>2160</v>
      </c>
      <c r="F8" s="238">
        <f>SUM(B8:E8)</f>
        <v>10055</v>
      </c>
      <c r="G8" s="19"/>
      <c r="H8" s="19"/>
      <c r="I8" s="19"/>
      <c r="J8" s="19"/>
      <c r="K8" s="19"/>
      <c r="L8" s="19"/>
      <c r="M8" s="19"/>
      <c r="N8" s="19"/>
      <c r="O8" s="19"/>
    </row>
    <row r="9" spans="1:15" ht="12.75">
      <c r="A9" s="6"/>
      <c r="B9" s="170"/>
      <c r="C9" s="170"/>
      <c r="D9" s="170"/>
      <c r="E9" s="170"/>
      <c r="F9" s="21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6"/>
      <c r="B10" s="21"/>
      <c r="C10" s="21"/>
      <c r="D10" s="21"/>
      <c r="E10" s="21"/>
      <c r="F10" s="21"/>
      <c r="G10" s="19"/>
      <c r="H10" s="19"/>
      <c r="I10" s="19"/>
      <c r="J10" s="19"/>
      <c r="K10" s="19"/>
      <c r="L10" s="19"/>
      <c r="M10" s="19"/>
      <c r="N10" s="19"/>
      <c r="O10" s="19"/>
    </row>
    <row r="11" spans="1:2" s="126" customFormat="1" ht="18" thickBot="1">
      <c r="A11" s="120" t="s">
        <v>486</v>
      </c>
      <c r="B11" s="231"/>
    </row>
    <row r="12" spans="1:2" ht="9.75">
      <c r="A12" s="2" t="s">
        <v>96</v>
      </c>
      <c r="B12" s="2"/>
    </row>
    <row r="13" spans="1:4" ht="10.5" thickBot="1">
      <c r="A13" s="54" t="s">
        <v>95</v>
      </c>
      <c r="B13" s="54" t="s">
        <v>7</v>
      </c>
      <c r="C13" s="266" t="s">
        <v>258</v>
      </c>
      <c r="D13" s="52"/>
    </row>
    <row r="14" spans="1:3" ht="10.5" thickTop="1">
      <c r="A14" s="2" t="s">
        <v>3</v>
      </c>
      <c r="B14" s="2" t="s">
        <v>3</v>
      </c>
      <c r="C14" s="172">
        <v>5597</v>
      </c>
    </row>
    <row r="15" spans="1:3" ht="9.75">
      <c r="A15" s="2" t="s">
        <v>8</v>
      </c>
      <c r="B15" s="2" t="s">
        <v>168</v>
      </c>
      <c r="C15" s="172">
        <v>2117</v>
      </c>
    </row>
    <row r="16" spans="1:3" ht="9.75">
      <c r="A16" s="2" t="s">
        <v>169</v>
      </c>
      <c r="B16" s="2" t="s">
        <v>169</v>
      </c>
      <c r="C16" s="172">
        <v>0</v>
      </c>
    </row>
    <row r="17" spans="1:3" ht="9.75">
      <c r="A17" s="2" t="s">
        <v>97</v>
      </c>
      <c r="B17" s="2" t="s">
        <v>0</v>
      </c>
      <c r="C17" s="172">
        <v>0</v>
      </c>
    </row>
    <row r="18" spans="1:3" ht="9.75">
      <c r="A18" s="2" t="s">
        <v>97</v>
      </c>
      <c r="B18" s="2" t="s">
        <v>1</v>
      </c>
      <c r="C18" s="172">
        <v>181</v>
      </c>
    </row>
    <row r="19" spans="1:3" ht="9.75">
      <c r="A19" s="2" t="s">
        <v>97</v>
      </c>
      <c r="B19" s="2" t="s">
        <v>170</v>
      </c>
      <c r="C19" s="172">
        <v>0</v>
      </c>
    </row>
    <row r="20" spans="1:3" ht="9.75">
      <c r="A20" s="2" t="s">
        <v>97</v>
      </c>
      <c r="B20" s="2" t="s">
        <v>171</v>
      </c>
      <c r="C20" s="172">
        <v>0</v>
      </c>
    </row>
    <row r="21" spans="1:8" ht="12.75">
      <c r="A21" s="3" t="s">
        <v>2</v>
      </c>
      <c r="B21" s="3" t="s">
        <v>2</v>
      </c>
      <c r="C21" s="265">
        <v>2160</v>
      </c>
      <c r="D21" s="261"/>
      <c r="E21" s="19"/>
      <c r="F21" s="19"/>
      <c r="G21" s="19"/>
      <c r="H21" s="19"/>
    </row>
    <row r="22" spans="1:8" ht="12.75">
      <c r="A22" s="6"/>
      <c r="B22" s="19"/>
      <c r="C22" s="21">
        <f>SUM(C14:C21)</f>
        <v>10055</v>
      </c>
      <c r="D22" s="19"/>
      <c r="E22" s="19"/>
      <c r="F22" s="19"/>
      <c r="G22" s="19"/>
      <c r="H22" s="19"/>
    </row>
    <row r="23" spans="1:8" ht="12.75">
      <c r="A23" s="6"/>
      <c r="B23" s="19"/>
      <c r="C23" s="21"/>
      <c r="D23" s="19"/>
      <c r="E23" s="19"/>
      <c r="F23" s="19"/>
      <c r="G23" s="19"/>
      <c r="H23" s="19"/>
    </row>
    <row r="24" spans="1:4" s="232" customFormat="1" ht="18" thickBot="1">
      <c r="A24" s="120" t="s">
        <v>489</v>
      </c>
      <c r="B24" s="150"/>
      <c r="C24" s="233"/>
      <c r="D24" s="150"/>
    </row>
    <row r="25" spans="1:9" s="6" customFormat="1" ht="12.75">
      <c r="A25" s="7" t="s">
        <v>92</v>
      </c>
      <c r="E25" s="19"/>
      <c r="F25" s="19"/>
      <c r="G25" s="19"/>
      <c r="H25" s="19"/>
      <c r="I25" s="19"/>
    </row>
    <row r="26" spans="1:9" s="6" customFormat="1" ht="13.5" thickBot="1">
      <c r="A26" s="225" t="s">
        <v>115</v>
      </c>
      <c r="B26" s="225"/>
      <c r="C26" s="225"/>
      <c r="D26" s="225"/>
      <c r="E26" s="19"/>
      <c r="F26" s="19"/>
      <c r="G26" s="19"/>
      <c r="H26" s="19"/>
      <c r="I26" s="19"/>
    </row>
    <row r="27" spans="3:9" s="190" customFormat="1" ht="27" thickTop="1">
      <c r="C27" s="128" t="s">
        <v>93</v>
      </c>
      <c r="D27" s="128" t="s">
        <v>94</v>
      </c>
      <c r="E27" s="223"/>
      <c r="F27" s="223"/>
      <c r="G27" s="223"/>
      <c r="H27" s="223"/>
      <c r="I27" s="223"/>
    </row>
    <row r="28" spans="1:11" ht="12.75">
      <c r="A28" s="19" t="s">
        <v>87</v>
      </c>
      <c r="B28" s="19"/>
      <c r="C28" s="22">
        <v>180000000</v>
      </c>
      <c r="D28" s="22">
        <f>+C28*(1/2.471)*(1/365)</f>
        <v>199575.3480095131</v>
      </c>
      <c r="E28" s="19"/>
      <c r="F28" s="19"/>
      <c r="G28" s="19"/>
      <c r="H28" s="19"/>
      <c r="I28" s="19"/>
      <c r="J28" s="19"/>
      <c r="K28" s="19"/>
    </row>
    <row r="29" spans="1:11" ht="12.75">
      <c r="A29" s="19" t="s">
        <v>88</v>
      </c>
      <c r="B29" s="19"/>
      <c r="C29" s="22">
        <v>5600000000</v>
      </c>
      <c r="D29" s="22">
        <f>+C29*(1/2.471)*(1/365)</f>
        <v>6209010.826962629</v>
      </c>
      <c r="E29" s="19"/>
      <c r="F29" s="19"/>
      <c r="G29" s="19"/>
      <c r="H29" s="19"/>
      <c r="I29" s="19"/>
      <c r="J29" s="19"/>
      <c r="K29" s="19"/>
    </row>
    <row r="30" spans="1:11" ht="12.75">
      <c r="A30" s="19" t="s">
        <v>89</v>
      </c>
      <c r="B30" s="19"/>
      <c r="C30" s="22">
        <v>9300000000</v>
      </c>
      <c r="D30" s="22">
        <f>+C30*(1/2.471)*(1/365)</f>
        <v>10311392.98049151</v>
      </c>
      <c r="E30" s="19"/>
      <c r="F30" s="19"/>
      <c r="G30" s="19"/>
      <c r="H30" s="19"/>
      <c r="I30" s="19"/>
      <c r="J30" s="19"/>
      <c r="K30" s="19"/>
    </row>
    <row r="31" spans="1:11" ht="12.75">
      <c r="A31" s="19" t="s">
        <v>90</v>
      </c>
      <c r="B31" s="19"/>
      <c r="C31" s="22">
        <v>15000000000</v>
      </c>
      <c r="D31" s="22">
        <f>+C31*(1/2.471)*(1/365)</f>
        <v>16631279.000792757</v>
      </c>
      <c r="E31" s="19"/>
      <c r="F31" s="19"/>
      <c r="G31" s="19"/>
      <c r="H31" s="19"/>
      <c r="I31" s="19"/>
      <c r="J31" s="19"/>
      <c r="K31" s="19"/>
    </row>
    <row r="32" spans="1:11" ht="12.75">
      <c r="A32" s="261" t="s">
        <v>91</v>
      </c>
      <c r="B32" s="261"/>
      <c r="C32" s="267">
        <v>21000000000</v>
      </c>
      <c r="D32" s="267">
        <f>+C32*(1/2.471)*(1/365)</f>
        <v>23283790.60110986</v>
      </c>
      <c r="E32" s="19"/>
      <c r="F32" s="19"/>
      <c r="G32" s="19"/>
      <c r="H32" s="19"/>
      <c r="I32" s="19"/>
      <c r="J32" s="19"/>
      <c r="K32" s="19"/>
    </row>
    <row r="33" spans="1:11" ht="12.75">
      <c r="A33" s="19"/>
      <c r="B33" s="19"/>
      <c r="C33" s="19"/>
      <c r="D33" s="22"/>
      <c r="E33" s="19"/>
      <c r="F33" s="19"/>
      <c r="G33" s="19"/>
      <c r="H33" s="19"/>
      <c r="I33" s="19"/>
      <c r="J33" s="19"/>
      <c r="K33" s="19"/>
    </row>
    <row r="34" spans="1:1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5" s="126" customFormat="1" ht="18" thickBot="1">
      <c r="A35" s="120" t="s">
        <v>13</v>
      </c>
      <c r="B35" s="97"/>
      <c r="C35" s="97"/>
      <c r="D35" s="97"/>
      <c r="E35" s="139"/>
    </row>
    <row r="36" ht="12.75">
      <c r="A36" s="23" t="s">
        <v>483</v>
      </c>
    </row>
    <row r="37" ht="12.75">
      <c r="A37" s="26" t="s">
        <v>484</v>
      </c>
    </row>
    <row r="38" spans="1:4" s="224" customFormat="1" ht="27" thickBot="1">
      <c r="A38" s="137" t="s">
        <v>9</v>
      </c>
      <c r="B38" s="137" t="s">
        <v>100</v>
      </c>
      <c r="C38" s="137" t="s">
        <v>10</v>
      </c>
      <c r="D38" s="137" t="s">
        <v>11</v>
      </c>
    </row>
    <row r="39" spans="1:4" s="166" customFormat="1" ht="13.5" thickTop="1">
      <c r="A39" s="268">
        <v>220</v>
      </c>
      <c r="B39" s="268">
        <v>139</v>
      </c>
      <c r="C39" s="268">
        <v>165</v>
      </c>
      <c r="D39" s="238">
        <v>0</v>
      </c>
    </row>
    <row r="40" ht="12.75"/>
    <row r="41" ht="12.75"/>
    <row r="42" spans="1:2" s="126" customFormat="1" ht="18" thickBot="1">
      <c r="A42" s="120" t="s">
        <v>12</v>
      </c>
      <c r="B42" s="97"/>
    </row>
    <row r="43" spans="1:7" s="25" customFormat="1" ht="13.5" thickBot="1">
      <c r="A43" s="269" t="s">
        <v>103</v>
      </c>
      <c r="B43" s="270"/>
      <c r="C43" s="270"/>
      <c r="D43" s="270"/>
      <c r="E43" s="270"/>
      <c r="F43" s="270"/>
      <c r="G43" s="270"/>
    </row>
    <row r="44" spans="1:2" ht="13.5" thickTop="1">
      <c r="A44" s="6" t="s">
        <v>198</v>
      </c>
      <c r="B44" s="221">
        <v>7</v>
      </c>
    </row>
    <row r="45" spans="1:2" ht="12.75">
      <c r="A45" s="6" t="s">
        <v>199</v>
      </c>
      <c r="B45">
        <f>B44/640</f>
        <v>0.0109375</v>
      </c>
    </row>
    <row r="46" spans="1:2" ht="12.75">
      <c r="A46" s="6" t="s">
        <v>200</v>
      </c>
      <c r="B46" s="221">
        <v>11</v>
      </c>
    </row>
    <row r="47" spans="1:7" ht="12.75">
      <c r="A47" s="37" t="s">
        <v>197</v>
      </c>
      <c r="B47" s="87">
        <f>+B46/640</f>
        <v>0.0171875</v>
      </c>
      <c r="C47" s="87"/>
      <c r="D47" s="87"/>
      <c r="E47" s="87"/>
      <c r="F47" s="87"/>
      <c r="G47" s="87"/>
    </row>
    <row r="48" ht="12.75"/>
    <row r="49" ht="12.75"/>
    <row r="50" spans="1:6" s="232" customFormat="1" ht="18" thickBot="1">
      <c r="A50" s="120" t="s">
        <v>487</v>
      </c>
      <c r="B50" s="150"/>
      <c r="C50" s="150"/>
      <c r="D50" s="150"/>
      <c r="E50" s="150"/>
      <c r="F50" s="150"/>
    </row>
    <row r="51" spans="1:11" ht="12.75">
      <c r="A51" s="23" t="s">
        <v>112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2.75">
      <c r="A52" s="19" t="s">
        <v>251</v>
      </c>
      <c r="B52" s="19"/>
      <c r="C52"/>
      <c r="D52"/>
      <c r="E52"/>
      <c r="F52"/>
      <c r="G52" s="19"/>
      <c r="H52" s="19"/>
      <c r="I52" s="19"/>
      <c r="J52" s="19"/>
      <c r="K52" s="19"/>
    </row>
    <row r="53" spans="1:11" ht="12.75">
      <c r="A53" s="7" t="s">
        <v>111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s="65" customFormat="1" ht="66" thickBot="1">
      <c r="A54" s="235" t="s">
        <v>23</v>
      </c>
      <c r="B54" s="192" t="s">
        <v>490</v>
      </c>
      <c r="C54" s="192" t="s">
        <v>491</v>
      </c>
      <c r="D54" s="192" t="s">
        <v>492</v>
      </c>
      <c r="E54" s="192" t="s">
        <v>493</v>
      </c>
      <c r="F54" s="192" t="s">
        <v>494</v>
      </c>
      <c r="G54" s="192" t="s">
        <v>495</v>
      </c>
      <c r="H54" s="192" t="s">
        <v>244</v>
      </c>
      <c r="I54" s="223"/>
      <c r="J54" s="223"/>
      <c r="K54" s="223"/>
    </row>
    <row r="55" spans="1:13" ht="13.5" thickTop="1">
      <c r="A55" s="19" t="s">
        <v>35</v>
      </c>
      <c r="B55" s="19">
        <v>58</v>
      </c>
      <c r="C55" s="21">
        <f>360*2.2046</f>
        <v>793.6560000000001</v>
      </c>
      <c r="D55" s="21">
        <f aca="true" t="shared" si="0" ref="D55:D62">+(B55/1000)*C55</f>
        <v>46.032048</v>
      </c>
      <c r="E55" s="19">
        <v>7.2</v>
      </c>
      <c r="F55" s="22">
        <v>114200000000</v>
      </c>
      <c r="G55" s="21">
        <f aca="true" t="shared" si="1" ref="G55:G62">365*D55</f>
        <v>16801.69752</v>
      </c>
      <c r="H55" s="19">
        <v>1</v>
      </c>
      <c r="I55" s="22"/>
      <c r="J55" s="19"/>
      <c r="K55" s="19"/>
      <c r="M55" s="5"/>
    </row>
    <row r="56" spans="1:13" ht="12.75">
      <c r="A56" s="19" t="s">
        <v>36</v>
      </c>
      <c r="B56" s="19">
        <v>86</v>
      </c>
      <c r="C56" s="21">
        <f>2.2046*640</f>
        <v>1410.944</v>
      </c>
      <c r="D56" s="21">
        <f t="shared" si="0"/>
        <v>121.34118399999998</v>
      </c>
      <c r="E56" s="19">
        <v>13</v>
      </c>
      <c r="F56" s="22">
        <f>+(E56/1000)*C56*(10000000000)*H56</f>
        <v>183422719999.99997</v>
      </c>
      <c r="G56" s="21">
        <f t="shared" si="1"/>
        <v>44289.532159999995</v>
      </c>
      <c r="H56" s="22">
        <f>'STORAGE&amp;COMPOSTING'!$B$83</f>
        <v>1</v>
      </c>
      <c r="I56" s="22"/>
      <c r="J56" s="19"/>
      <c r="K56" s="19"/>
      <c r="M56" s="5"/>
    </row>
    <row r="57" spans="1:13" ht="12.75">
      <c r="A57" s="19" t="s">
        <v>27</v>
      </c>
      <c r="B57" s="19">
        <v>84</v>
      </c>
      <c r="C57" s="21">
        <f>2.2046*61</f>
        <v>134.4806</v>
      </c>
      <c r="D57" s="21">
        <f t="shared" si="0"/>
        <v>11.2963704</v>
      </c>
      <c r="E57" s="19">
        <v>8</v>
      </c>
      <c r="F57" s="22">
        <f>+(E57/1000)*C57*(10000000000)*H57</f>
        <v>10758448000</v>
      </c>
      <c r="G57" s="21">
        <f t="shared" si="1"/>
        <v>4123.175196</v>
      </c>
      <c r="H57" s="22">
        <f>'STORAGE&amp;COMPOSTING'!$B$83</f>
        <v>1</v>
      </c>
      <c r="I57" s="22"/>
      <c r="J57" s="19"/>
      <c r="K57" s="19"/>
      <c r="M57" s="5"/>
    </row>
    <row r="58" spans="1:13" ht="12.75">
      <c r="A58" s="19" t="s">
        <v>28</v>
      </c>
      <c r="B58" s="19">
        <v>40</v>
      </c>
      <c r="C58" s="21">
        <f>2.2046*27</f>
        <v>59.5242</v>
      </c>
      <c r="D58" s="21">
        <f t="shared" si="0"/>
        <v>2.380968</v>
      </c>
      <c r="E58" s="19">
        <v>20</v>
      </c>
      <c r="F58" s="22">
        <f>+(E58/1000)*C58*(10000000000)</f>
        <v>11904840000.000002</v>
      </c>
      <c r="G58" s="21">
        <f t="shared" si="1"/>
        <v>869.0533200000001</v>
      </c>
      <c r="H58" s="22">
        <v>1</v>
      </c>
      <c r="I58" s="19"/>
      <c r="J58" s="19"/>
      <c r="K58" s="19"/>
      <c r="M58" s="5"/>
    </row>
    <row r="59" spans="1:13" ht="12.75">
      <c r="A59" s="19" t="s">
        <v>29</v>
      </c>
      <c r="B59" s="19">
        <v>64</v>
      </c>
      <c r="C59" s="21">
        <f>2.2046*1.8</f>
        <v>3.9682800000000005</v>
      </c>
      <c r="D59" s="21">
        <f t="shared" si="0"/>
        <v>0.25396992</v>
      </c>
      <c r="E59" s="19">
        <v>3.4</v>
      </c>
      <c r="F59" s="22">
        <f>+(E59/1000)*C59*(10000000000)</f>
        <v>134921520</v>
      </c>
      <c r="G59" s="21">
        <f t="shared" si="1"/>
        <v>92.6990208</v>
      </c>
      <c r="H59" s="22">
        <v>1</v>
      </c>
      <c r="I59" s="19"/>
      <c r="J59" s="19"/>
      <c r="K59" s="19"/>
      <c r="M59" s="5"/>
    </row>
    <row r="60" spans="1:13" ht="12.75">
      <c r="A60" s="19" t="s">
        <v>37</v>
      </c>
      <c r="B60" s="19">
        <v>85</v>
      </c>
      <c r="C60" s="21">
        <f>2.2046*0.9</f>
        <v>1.9841400000000002</v>
      </c>
      <c r="D60" s="21">
        <f t="shared" si="0"/>
        <v>0.16865190000000002</v>
      </c>
      <c r="E60" s="19">
        <v>3.4</v>
      </c>
      <c r="F60" s="22">
        <f>+(E60/1000)*C60*(10000000000)</f>
        <v>67460760</v>
      </c>
      <c r="G60" s="21">
        <f t="shared" si="1"/>
        <v>61.55794350000001</v>
      </c>
      <c r="H60" s="22">
        <v>1</v>
      </c>
      <c r="I60" s="19"/>
      <c r="J60" s="19"/>
      <c r="K60" s="19"/>
      <c r="M60" s="5"/>
    </row>
    <row r="61" spans="1:13" ht="12.75">
      <c r="A61" s="19" t="s">
        <v>30</v>
      </c>
      <c r="B61" s="19">
        <v>47</v>
      </c>
      <c r="C61" s="21">
        <f>2.2046*6.8</f>
        <v>14.99128</v>
      </c>
      <c r="D61" s="21">
        <f t="shared" si="0"/>
        <v>0.70459016</v>
      </c>
      <c r="E61" s="19">
        <v>0.62</v>
      </c>
      <c r="F61" s="22">
        <f>+(E61/1000)*C61*(10000000000)</f>
        <v>92945936</v>
      </c>
      <c r="G61" s="21">
        <f t="shared" si="1"/>
        <v>257.1754084</v>
      </c>
      <c r="H61" s="22">
        <v>1</v>
      </c>
      <c r="I61" s="19"/>
      <c r="J61" s="19"/>
      <c r="K61" s="19"/>
      <c r="M61" s="5"/>
    </row>
    <row r="62" spans="1:11" ht="12.75">
      <c r="A62" s="261" t="s">
        <v>31</v>
      </c>
      <c r="B62" s="261">
        <v>110</v>
      </c>
      <c r="C62" s="271">
        <f>2.2046*1.4</f>
        <v>3.08644</v>
      </c>
      <c r="D62" s="271">
        <f t="shared" si="0"/>
        <v>0.3395084</v>
      </c>
      <c r="E62" s="261">
        <v>81</v>
      </c>
      <c r="F62" s="267">
        <f>+(E62/1000)*C62*(10000000000)</f>
        <v>2500016400.0000005</v>
      </c>
      <c r="G62" s="271">
        <f t="shared" si="1"/>
        <v>123.920566</v>
      </c>
      <c r="H62" s="267">
        <v>1</v>
      </c>
      <c r="I62" s="19"/>
      <c r="J62" s="19"/>
      <c r="K62" s="19"/>
    </row>
    <row r="63" spans="1:11" ht="12.75">
      <c r="A63" s="22" t="s">
        <v>211</v>
      </c>
      <c r="B63" s="19"/>
      <c r="C63" s="21"/>
      <c r="D63" s="21"/>
      <c r="E63" s="19"/>
      <c r="F63" s="22"/>
      <c r="G63" s="21"/>
      <c r="H63" s="22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7" t="s">
        <v>113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6" t="s">
        <v>22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3.5" thickBot="1">
      <c r="A67" s="225" t="s">
        <v>23</v>
      </c>
      <c r="B67" s="225" t="s">
        <v>24</v>
      </c>
      <c r="C67" s="225" t="s">
        <v>21</v>
      </c>
      <c r="D67" s="234"/>
      <c r="E67" s="19"/>
      <c r="F67" s="19"/>
      <c r="G67" s="19"/>
      <c r="H67" s="19"/>
      <c r="I67" s="19"/>
      <c r="J67" s="19"/>
      <c r="K67" s="19"/>
    </row>
    <row r="68" spans="1:11" ht="13.5" thickTop="1">
      <c r="A68" s="19" t="s">
        <v>25</v>
      </c>
      <c r="B68" s="22">
        <v>5400000000</v>
      </c>
      <c r="C68" s="19" t="s">
        <v>26</v>
      </c>
      <c r="D68" s="19"/>
      <c r="E68" s="22"/>
      <c r="F68" s="19"/>
      <c r="G68" s="19"/>
      <c r="H68" s="19"/>
      <c r="I68" s="19"/>
      <c r="J68" s="19"/>
      <c r="K68" s="19"/>
    </row>
    <row r="69" spans="1:11" ht="12.75">
      <c r="A69" s="19" t="s">
        <v>27</v>
      </c>
      <c r="B69" s="22">
        <v>8900000000</v>
      </c>
      <c r="C69" s="19" t="s">
        <v>26</v>
      </c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9" t="s">
        <v>28</v>
      </c>
      <c r="B70" s="22">
        <v>18000000000</v>
      </c>
      <c r="C70" s="19" t="s">
        <v>26</v>
      </c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9" t="s">
        <v>29</v>
      </c>
      <c r="B71" s="22">
        <v>240000000</v>
      </c>
      <c r="C71" s="19" t="s">
        <v>26</v>
      </c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9" t="s">
        <v>30</v>
      </c>
      <c r="B72" s="22">
        <v>130000000</v>
      </c>
      <c r="C72" s="19" t="s">
        <v>26</v>
      </c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9" t="s">
        <v>31</v>
      </c>
      <c r="B73" s="22">
        <v>11000000000</v>
      </c>
      <c r="C73" s="19" t="s">
        <v>26</v>
      </c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9" t="s">
        <v>32</v>
      </c>
      <c r="B74" s="22">
        <v>500000000</v>
      </c>
      <c r="C74" s="19" t="s">
        <v>114</v>
      </c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261" t="s">
        <v>33</v>
      </c>
      <c r="B75" s="267">
        <v>49000000000</v>
      </c>
      <c r="C75" s="261" t="s">
        <v>34</v>
      </c>
      <c r="D75" s="261"/>
      <c r="E75" s="19"/>
      <c r="F75" s="19"/>
      <c r="G75" s="19"/>
      <c r="H75" s="19"/>
      <c r="I75" s="19"/>
      <c r="J75" s="19"/>
      <c r="K75" s="19"/>
    </row>
  </sheetData>
  <printOptions/>
  <pageMargins left="0.25" right="0.25" top="1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100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11.140625" style="0" customWidth="1"/>
    <col min="2" max="2" width="8.7109375" style="0" customWidth="1"/>
    <col min="3" max="3" width="7.7109375" style="0" customWidth="1"/>
    <col min="4" max="4" width="9.7109375" style="0" customWidth="1"/>
    <col min="5" max="5" width="8.7109375" style="0" customWidth="1"/>
    <col min="6" max="8" width="7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9.7109375" style="0" customWidth="1"/>
    <col min="13" max="13" width="8.7109375" style="0" customWidth="1"/>
    <col min="14" max="14" width="10.7109375" style="0" customWidth="1"/>
    <col min="15" max="15" width="11.57421875" style="0" bestFit="1" customWidth="1"/>
    <col min="17" max="17" width="10.7109375" style="0" bestFit="1" customWidth="1"/>
    <col min="20" max="20" width="8.140625" style="0" customWidth="1"/>
    <col min="21" max="21" width="13.57421875" style="0" bestFit="1" customWidth="1"/>
    <col min="22" max="22" width="13.140625" style="0" bestFit="1" customWidth="1"/>
    <col min="23" max="23" width="10.421875" style="0" customWidth="1"/>
    <col min="25" max="25" width="10.57421875" style="0" bestFit="1" customWidth="1"/>
    <col min="26" max="26" width="11.7109375" style="0" bestFit="1" customWidth="1"/>
  </cols>
  <sheetData>
    <row r="1" spans="1:10" s="196" customFormat="1" ht="23.25" thickBot="1">
      <c r="A1" s="226" t="s">
        <v>533</v>
      </c>
      <c r="B1" s="226"/>
      <c r="C1" s="226"/>
      <c r="D1" s="226"/>
      <c r="E1" s="226"/>
      <c r="F1" s="226"/>
      <c r="G1" s="226"/>
      <c r="H1" s="226"/>
      <c r="I1" s="226"/>
      <c r="J1" s="226"/>
    </row>
    <row r="3" spans="2:28" ht="12.75">
      <c r="B3" s="53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5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28" t="s">
        <v>108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2.75">
      <c r="B6" s="2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2.75">
      <c r="B7" s="28" t="s">
        <v>176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2.75">
      <c r="B8" s="28" t="s">
        <v>117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2.75">
      <c r="B9" s="28" t="s">
        <v>129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2.75">
      <c r="B10" s="28" t="s">
        <v>127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2.75">
      <c r="B11" s="28" t="s">
        <v>124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2.75"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2.75">
      <c r="B13" s="28" t="s">
        <v>110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5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212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61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 t="s">
        <v>214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67" t="s">
        <v>12</v>
      </c>
      <c r="D16" s="68"/>
      <c r="E16" s="16"/>
      <c r="F16" s="67" t="s">
        <v>63</v>
      </c>
      <c r="G16" s="68"/>
      <c r="H16" s="68"/>
      <c r="I16" s="68"/>
      <c r="J16" s="68"/>
      <c r="K16" s="16"/>
      <c r="L16" s="67" t="s">
        <v>64</v>
      </c>
      <c r="M16" s="67"/>
      <c r="N16" s="68"/>
      <c r="O16" s="68"/>
      <c r="P16" s="68"/>
      <c r="Q16" s="68"/>
      <c r="R16" s="68"/>
      <c r="S16" s="16"/>
      <c r="T16" s="67" t="s">
        <v>60</v>
      </c>
      <c r="U16" s="68"/>
      <c r="V16" s="68"/>
      <c r="W16" s="68"/>
      <c r="X16" s="1"/>
      <c r="Y16" s="69"/>
      <c r="Z16" s="40" t="s">
        <v>6</v>
      </c>
      <c r="AA16" s="1"/>
      <c r="AB16" s="1"/>
    </row>
    <row r="17" spans="1:28" ht="12.75">
      <c r="A17" s="1"/>
      <c r="B17" s="1"/>
      <c r="C17" s="9"/>
      <c r="D17" s="10" t="s">
        <v>16</v>
      </c>
      <c r="E17" s="11" t="s">
        <v>17</v>
      </c>
      <c r="F17" s="10"/>
      <c r="G17" s="10" t="s">
        <v>16</v>
      </c>
      <c r="H17" s="10" t="s">
        <v>39</v>
      </c>
      <c r="I17" s="10" t="s">
        <v>73</v>
      </c>
      <c r="J17" s="10" t="s">
        <v>53</v>
      </c>
      <c r="K17" s="11" t="s">
        <v>17</v>
      </c>
      <c r="L17" s="10"/>
      <c r="M17" s="10"/>
      <c r="N17" s="10" t="s">
        <v>58</v>
      </c>
      <c r="O17" s="10" t="s">
        <v>59</v>
      </c>
      <c r="P17" s="10" t="s">
        <v>116</v>
      </c>
      <c r="Q17" s="10" t="s">
        <v>73</v>
      </c>
      <c r="R17" s="10" t="s">
        <v>53</v>
      </c>
      <c r="S17" s="11" t="s">
        <v>17</v>
      </c>
      <c r="T17" s="17" t="s">
        <v>65</v>
      </c>
      <c r="U17" s="10" t="s">
        <v>61</v>
      </c>
      <c r="V17" s="10" t="s">
        <v>62</v>
      </c>
      <c r="W17" s="10" t="s">
        <v>72</v>
      </c>
      <c r="X17" s="10" t="s">
        <v>53</v>
      </c>
      <c r="Y17" s="11" t="s">
        <v>17</v>
      </c>
      <c r="Z17" s="41" t="s">
        <v>17</v>
      </c>
      <c r="AA17" s="1"/>
      <c r="AB17" s="1"/>
    </row>
    <row r="18" spans="1:28" ht="12.75">
      <c r="A18" s="70" t="s">
        <v>14</v>
      </c>
      <c r="B18" s="2" t="s">
        <v>15</v>
      </c>
      <c r="C18" s="12" t="s">
        <v>20</v>
      </c>
      <c r="D18" s="13" t="s">
        <v>18</v>
      </c>
      <c r="E18" s="14" t="s">
        <v>19</v>
      </c>
      <c r="F18" s="12" t="s">
        <v>38</v>
      </c>
      <c r="G18" s="13" t="s">
        <v>18</v>
      </c>
      <c r="H18" s="13" t="s">
        <v>40</v>
      </c>
      <c r="I18" s="13" t="s">
        <v>52</v>
      </c>
      <c r="J18" s="13" t="s">
        <v>54</v>
      </c>
      <c r="K18" s="14" t="s">
        <v>19</v>
      </c>
      <c r="L18" s="12" t="s">
        <v>56</v>
      </c>
      <c r="M18" s="13" t="s">
        <v>57</v>
      </c>
      <c r="N18" s="13" t="s">
        <v>18</v>
      </c>
      <c r="O18" s="13" t="s">
        <v>18</v>
      </c>
      <c r="P18" s="13" t="s">
        <v>40</v>
      </c>
      <c r="Q18" s="13" t="s">
        <v>52</v>
      </c>
      <c r="R18" s="13" t="s">
        <v>54</v>
      </c>
      <c r="S18" s="14" t="s">
        <v>19</v>
      </c>
      <c r="T18" s="13"/>
      <c r="U18" s="13" t="s">
        <v>18</v>
      </c>
      <c r="V18" s="13" t="s">
        <v>40</v>
      </c>
      <c r="W18" s="13" t="s">
        <v>52</v>
      </c>
      <c r="X18" s="13" t="s">
        <v>54</v>
      </c>
      <c r="Y18" s="14" t="s">
        <v>19</v>
      </c>
      <c r="Z18" s="41" t="s">
        <v>19</v>
      </c>
      <c r="AA18" s="1"/>
      <c r="AB18" s="1"/>
    </row>
    <row r="19" spans="1:28" ht="12.75">
      <c r="A19" s="1" t="s">
        <v>5</v>
      </c>
      <c r="B19" s="5">
        <f>+'FC-LandUses'!$B$8</f>
        <v>5597</v>
      </c>
      <c r="C19" s="76">
        <f>B19*'FC-LandUses'!$B$45</f>
        <v>61.217187499999994</v>
      </c>
      <c r="D19" s="71">
        <f>C19*'FC-LandUses'!$B$74</f>
        <v>30608593749.999996</v>
      </c>
      <c r="E19" s="72">
        <f>D19/B19</f>
        <v>5468749.999999999</v>
      </c>
      <c r="F19" s="5">
        <f>'FC-LandUses'!B39</f>
        <v>139</v>
      </c>
      <c r="G19" s="8">
        <f>F19*'FC-LandUses'!$F$57</f>
        <v>1495424272000</v>
      </c>
      <c r="H19" s="8">
        <f>G19*365</f>
        <v>545829859280000</v>
      </c>
      <c r="I19" s="8">
        <f>H19*'FC-Manure Application'!B17</f>
        <v>6822873241000</v>
      </c>
      <c r="J19" s="8">
        <f>I19/31</f>
        <v>220092685193.5484</v>
      </c>
      <c r="K19" s="73">
        <f>J19/B19</f>
        <v>39323331.28346407</v>
      </c>
      <c r="L19" s="5">
        <f>'FC-LandUses'!C39</f>
        <v>165</v>
      </c>
      <c r="M19" s="5">
        <v>0</v>
      </c>
      <c r="N19" s="8">
        <f>L19*'FC-LandUses'!$F$56</f>
        <v>30264748799999.996</v>
      </c>
      <c r="O19" s="8">
        <f>M19*'FC-LandUses'!$F$55</f>
        <v>0</v>
      </c>
      <c r="P19" s="8">
        <f>(N19*365)+(O19*(365-'FC-Cattle Farming'!$B$45))</f>
        <v>11046633311999998</v>
      </c>
      <c r="Q19" s="8">
        <f>(N19*365)*'FC-Manure Application'!B29+(O19*(365-'FC-Cattle Farming'!$B$45))*'FC-Manure Application'!B41</f>
        <v>0</v>
      </c>
      <c r="R19" s="8">
        <f>Q19/31</f>
        <v>0</v>
      </c>
      <c r="S19" s="73">
        <f>R19*('FC-LandUses'!B8/('FC-LandUses'!B8)/'FC-LandUses'!B8)</f>
        <v>0</v>
      </c>
      <c r="T19" s="74">
        <f>'FC-LandUses'!D39</f>
        <v>0</v>
      </c>
      <c r="U19" s="8">
        <f>T19*'FC-LandUses'!$H$59</f>
        <v>0</v>
      </c>
      <c r="V19" s="8">
        <f>U19*365</f>
        <v>0</v>
      </c>
      <c r="W19" s="8">
        <f>V19*'FC-Manure Application'!B41</f>
        <v>0</v>
      </c>
      <c r="X19" s="8">
        <f>W19/31</f>
        <v>0</v>
      </c>
      <c r="Y19" s="73">
        <f>X19/B19</f>
        <v>0</v>
      </c>
      <c r="Z19" s="75">
        <f>E19+K19+S19+Y19</f>
        <v>44792081.28346407</v>
      </c>
      <c r="AA19" s="1"/>
      <c r="AB19" s="1"/>
    </row>
    <row r="20" spans="1:28" ht="12.75">
      <c r="A20" s="1" t="s">
        <v>99</v>
      </c>
      <c r="B20" s="5">
        <f>SUM(B19:B19)</f>
        <v>5597</v>
      </c>
      <c r="C20" s="1"/>
      <c r="D20" s="1"/>
      <c r="E20" s="1"/>
      <c r="F20" s="5"/>
      <c r="G20" s="1"/>
      <c r="H20" s="1"/>
      <c r="I20" s="1"/>
      <c r="J20" s="1"/>
      <c r="K20" s="1"/>
      <c r="L20" s="5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67" t="s">
        <v>12</v>
      </c>
      <c r="D22" s="68"/>
      <c r="E22" s="16"/>
      <c r="F22" s="67" t="s">
        <v>63</v>
      </c>
      <c r="G22" s="68"/>
      <c r="H22" s="68"/>
      <c r="I22" s="68"/>
      <c r="J22" s="68"/>
      <c r="K22" s="16"/>
      <c r="L22" s="67" t="s">
        <v>64</v>
      </c>
      <c r="M22" s="67"/>
      <c r="N22" s="68"/>
      <c r="O22" s="68"/>
      <c r="P22" s="68"/>
      <c r="Q22" s="68"/>
      <c r="R22" s="68"/>
      <c r="S22" s="16"/>
      <c r="T22" s="67" t="s">
        <v>60</v>
      </c>
      <c r="U22" s="68"/>
      <c r="V22" s="68"/>
      <c r="W22" s="68"/>
      <c r="X22" s="1"/>
      <c r="Y22" s="69"/>
      <c r="Z22" s="40" t="s">
        <v>6</v>
      </c>
      <c r="AA22" s="1"/>
      <c r="AB22" s="1"/>
    </row>
    <row r="23" spans="1:28" ht="12.75">
      <c r="A23" s="1"/>
      <c r="B23" s="1"/>
      <c r="C23" s="9"/>
      <c r="D23" s="10" t="s">
        <v>16</v>
      </c>
      <c r="E23" s="11" t="s">
        <v>17</v>
      </c>
      <c r="F23" s="10"/>
      <c r="G23" s="10" t="s">
        <v>16</v>
      </c>
      <c r="H23" s="10" t="s">
        <v>39</v>
      </c>
      <c r="I23" s="10" t="s">
        <v>177</v>
      </c>
      <c r="J23" s="10" t="s">
        <v>53</v>
      </c>
      <c r="K23" s="11" t="s">
        <v>17</v>
      </c>
      <c r="L23" s="10"/>
      <c r="M23" s="10"/>
      <c r="N23" s="10" t="s">
        <v>58</v>
      </c>
      <c r="O23" s="10" t="s">
        <v>59</v>
      </c>
      <c r="P23" s="10" t="s">
        <v>39</v>
      </c>
      <c r="Q23" s="10" t="s">
        <v>73</v>
      </c>
      <c r="R23" s="10" t="s">
        <v>53</v>
      </c>
      <c r="S23" s="11" t="s">
        <v>17</v>
      </c>
      <c r="T23" s="17" t="s">
        <v>65</v>
      </c>
      <c r="U23" s="10" t="s">
        <v>61</v>
      </c>
      <c r="V23" s="10" t="s">
        <v>62</v>
      </c>
      <c r="W23" s="10" t="s">
        <v>73</v>
      </c>
      <c r="X23" s="10" t="s">
        <v>53</v>
      </c>
      <c r="Y23" s="11" t="s">
        <v>17</v>
      </c>
      <c r="Z23" s="41" t="s">
        <v>17</v>
      </c>
      <c r="AA23" s="1"/>
      <c r="AB23" s="1"/>
    </row>
    <row r="24" spans="1:28" ht="12.75">
      <c r="A24" s="70" t="s">
        <v>42</v>
      </c>
      <c r="B24" s="2" t="s">
        <v>15</v>
      </c>
      <c r="C24" s="12" t="s">
        <v>20</v>
      </c>
      <c r="D24" s="13" t="s">
        <v>18</v>
      </c>
      <c r="E24" s="14" t="s">
        <v>19</v>
      </c>
      <c r="F24" s="12" t="s">
        <v>38</v>
      </c>
      <c r="G24" s="13" t="s">
        <v>18</v>
      </c>
      <c r="H24" s="13" t="s">
        <v>40</v>
      </c>
      <c r="I24" s="13" t="s">
        <v>178</v>
      </c>
      <c r="J24" s="13" t="s">
        <v>54</v>
      </c>
      <c r="K24" s="14" t="s">
        <v>19</v>
      </c>
      <c r="L24" s="12" t="s">
        <v>56</v>
      </c>
      <c r="M24" s="13" t="s">
        <v>57</v>
      </c>
      <c r="N24" s="13" t="s">
        <v>18</v>
      </c>
      <c r="O24" s="13" t="s">
        <v>18</v>
      </c>
      <c r="P24" s="13" t="s">
        <v>40</v>
      </c>
      <c r="Q24" s="13" t="s">
        <v>52</v>
      </c>
      <c r="R24" s="13" t="s">
        <v>54</v>
      </c>
      <c r="S24" s="14" t="s">
        <v>19</v>
      </c>
      <c r="T24" s="13"/>
      <c r="U24" s="13" t="s">
        <v>18</v>
      </c>
      <c r="V24" s="13" t="s">
        <v>40</v>
      </c>
      <c r="W24" s="13" t="s">
        <v>52</v>
      </c>
      <c r="X24" s="13" t="s">
        <v>54</v>
      </c>
      <c r="Y24" s="14" t="s">
        <v>19</v>
      </c>
      <c r="Z24" s="41" t="s">
        <v>19</v>
      </c>
      <c r="AA24" s="1"/>
      <c r="AB24" s="1"/>
    </row>
    <row r="25" spans="1:28" ht="12.75">
      <c r="A25" s="1" t="s">
        <v>5</v>
      </c>
      <c r="B25" s="5">
        <f>+'FC-LandUses'!$B$8</f>
        <v>5597</v>
      </c>
      <c r="C25" s="76">
        <f>B25*'FC-LandUses'!$B$45</f>
        <v>61.217187499999994</v>
      </c>
      <c r="D25" s="71">
        <f>C25*'FC-LandUses'!$B$74</f>
        <v>30608593749.999996</v>
      </c>
      <c r="E25" s="72">
        <f>D25/B25</f>
        <v>5468749.999999999</v>
      </c>
      <c r="F25" s="5">
        <f>F19</f>
        <v>139</v>
      </c>
      <c r="G25" s="8">
        <f>F25*'FC-LandUses'!$F$57</f>
        <v>1495424272000</v>
      </c>
      <c r="H25" s="8">
        <f>G25*365</f>
        <v>545829859280000</v>
      </c>
      <c r="I25" s="8">
        <f>H25*'FC-Manure Application'!C17</f>
        <v>6822873241000</v>
      </c>
      <c r="J25" s="8">
        <f>I25/28</f>
        <v>243674044321.42856</v>
      </c>
      <c r="K25" s="73">
        <f>J25/B25</f>
        <v>43536545.3495495</v>
      </c>
      <c r="L25" s="5">
        <f>L19</f>
        <v>165</v>
      </c>
      <c r="M25" s="5">
        <f>M19</f>
        <v>0</v>
      </c>
      <c r="N25" s="8">
        <f>L25*'FC-LandUses'!$F$56</f>
        <v>30264748799999.996</v>
      </c>
      <c r="O25" s="8">
        <f>M25*'FC-LandUses'!$F$55</f>
        <v>0</v>
      </c>
      <c r="P25" s="8">
        <f>(N25*365)+(O25*(365-'FC-Cattle Farming'!$B$45))</f>
        <v>11046633311999998</v>
      </c>
      <c r="Q25" s="8">
        <f>(N25*365)*'FC-Manure Application'!C29+(O25*(365-'FC-Cattle Farming'!$B$45))*'FC-Manure Application'!C41</f>
        <v>0</v>
      </c>
      <c r="R25" s="8">
        <f>Q25/28</f>
        <v>0</v>
      </c>
      <c r="S25" s="73">
        <f>R25*('FC-LandUses'!B8/('FC-LandUses'!B8)/'FC-LandUses'!B8)</f>
        <v>0</v>
      </c>
      <c r="T25" s="74">
        <f>'FC-LandUses'!D39</f>
        <v>0</v>
      </c>
      <c r="U25" s="8">
        <f>T25*'FC-LandUses'!$H$59</f>
        <v>0</v>
      </c>
      <c r="V25" s="8">
        <f>U25*365</f>
        <v>0</v>
      </c>
      <c r="W25" s="8">
        <f>V25*'FC-Manure Application'!C41</f>
        <v>0</v>
      </c>
      <c r="X25" s="8">
        <f>W25/28</f>
        <v>0</v>
      </c>
      <c r="Y25" s="73">
        <f>X25/B25</f>
        <v>0</v>
      </c>
      <c r="Z25" s="75">
        <f>E25+K25+S25+Y25</f>
        <v>49005295.3495495</v>
      </c>
      <c r="AA25" s="1"/>
      <c r="AB25" s="1"/>
    </row>
    <row r="26" spans="1:28" ht="12.75">
      <c r="A26" s="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B28" s="1"/>
      <c r="C28" s="67" t="s">
        <v>12</v>
      </c>
      <c r="D28" s="68"/>
      <c r="E28" s="16"/>
      <c r="F28" s="67" t="s">
        <v>63</v>
      </c>
      <c r="G28" s="68"/>
      <c r="H28" s="68"/>
      <c r="I28" s="68"/>
      <c r="J28" s="68"/>
      <c r="K28" s="16"/>
      <c r="L28" s="67" t="s">
        <v>64</v>
      </c>
      <c r="M28" s="67"/>
      <c r="N28" s="68"/>
      <c r="O28" s="68"/>
      <c r="P28" s="68"/>
      <c r="Q28" s="68"/>
      <c r="R28" s="68"/>
      <c r="S28" s="16"/>
      <c r="T28" s="67" t="s">
        <v>60</v>
      </c>
      <c r="U28" s="68"/>
      <c r="V28" s="68"/>
      <c r="W28" s="68"/>
      <c r="X28" s="1"/>
      <c r="Y28" s="69"/>
      <c r="Z28" s="40" t="s">
        <v>6</v>
      </c>
      <c r="AA28" s="1"/>
      <c r="AB28" s="1"/>
    </row>
    <row r="29" spans="1:28" ht="12.75">
      <c r="A29" s="1"/>
      <c r="B29" s="1"/>
      <c r="C29" s="9"/>
      <c r="D29" s="10" t="s">
        <v>16</v>
      </c>
      <c r="E29" s="11" t="s">
        <v>17</v>
      </c>
      <c r="F29" s="10"/>
      <c r="G29" s="10" t="s">
        <v>16</v>
      </c>
      <c r="H29" s="10" t="s">
        <v>39</v>
      </c>
      <c r="I29" s="10" t="s">
        <v>73</v>
      </c>
      <c r="J29" s="10" t="s">
        <v>53</v>
      </c>
      <c r="K29" s="11" t="s">
        <v>17</v>
      </c>
      <c r="L29" s="10"/>
      <c r="M29" s="10"/>
      <c r="N29" s="10" t="s">
        <v>58</v>
      </c>
      <c r="O29" s="10" t="s">
        <v>59</v>
      </c>
      <c r="P29" s="10" t="s">
        <v>39</v>
      </c>
      <c r="Q29" s="10" t="s">
        <v>73</v>
      </c>
      <c r="R29" s="10" t="s">
        <v>53</v>
      </c>
      <c r="S29" s="11" t="s">
        <v>17</v>
      </c>
      <c r="T29" s="17" t="s">
        <v>65</v>
      </c>
      <c r="U29" s="10" t="s">
        <v>61</v>
      </c>
      <c r="V29" s="10" t="s">
        <v>62</v>
      </c>
      <c r="W29" s="10" t="s">
        <v>73</v>
      </c>
      <c r="X29" s="10" t="s">
        <v>53</v>
      </c>
      <c r="Y29" s="11" t="s">
        <v>17</v>
      </c>
      <c r="Z29" s="41" t="s">
        <v>17</v>
      </c>
      <c r="AA29" s="1"/>
      <c r="AB29" s="1"/>
    </row>
    <row r="30" spans="1:28" ht="12.75">
      <c r="A30" s="70" t="s">
        <v>43</v>
      </c>
      <c r="B30" s="2" t="s">
        <v>15</v>
      </c>
      <c r="C30" s="12" t="s">
        <v>20</v>
      </c>
      <c r="D30" s="13" t="s">
        <v>18</v>
      </c>
      <c r="E30" s="14" t="s">
        <v>19</v>
      </c>
      <c r="F30" s="12" t="s">
        <v>38</v>
      </c>
      <c r="G30" s="13" t="s">
        <v>18</v>
      </c>
      <c r="H30" s="13" t="s">
        <v>40</v>
      </c>
      <c r="I30" s="13" t="s">
        <v>52</v>
      </c>
      <c r="J30" s="13" t="s">
        <v>54</v>
      </c>
      <c r="K30" s="14" t="s">
        <v>19</v>
      </c>
      <c r="L30" s="12" t="s">
        <v>56</v>
      </c>
      <c r="M30" s="13" t="s">
        <v>57</v>
      </c>
      <c r="N30" s="13" t="s">
        <v>18</v>
      </c>
      <c r="O30" s="13" t="s">
        <v>18</v>
      </c>
      <c r="P30" s="13" t="s">
        <v>40</v>
      </c>
      <c r="Q30" s="13" t="s">
        <v>52</v>
      </c>
      <c r="R30" s="13" t="s">
        <v>54</v>
      </c>
      <c r="S30" s="14" t="s">
        <v>19</v>
      </c>
      <c r="T30" s="13"/>
      <c r="U30" s="13" t="s">
        <v>18</v>
      </c>
      <c r="V30" s="13" t="s">
        <v>40</v>
      </c>
      <c r="W30" s="13" t="s">
        <v>52</v>
      </c>
      <c r="X30" s="13" t="s">
        <v>54</v>
      </c>
      <c r="Y30" s="14" t="s">
        <v>19</v>
      </c>
      <c r="Z30" s="41" t="s">
        <v>19</v>
      </c>
      <c r="AA30" s="1"/>
      <c r="AB30" s="1"/>
    </row>
    <row r="31" spans="1:28" ht="12.75">
      <c r="A31" s="1" t="s">
        <v>5</v>
      </c>
      <c r="B31" s="5">
        <f>+'FC-LandUses'!$B$8</f>
        <v>5597</v>
      </c>
      <c r="C31" s="76">
        <f>B31*'FC-LandUses'!$B$45</f>
        <v>61.217187499999994</v>
      </c>
      <c r="D31" s="71">
        <f>C31*'FC-LandUses'!$B$74</f>
        <v>30608593749.999996</v>
      </c>
      <c r="E31" s="72">
        <f>D31/B31</f>
        <v>5468749.999999999</v>
      </c>
      <c r="F31" s="5">
        <f>F25</f>
        <v>139</v>
      </c>
      <c r="G31" s="8">
        <f>F31*'FC-LandUses'!$F$57</f>
        <v>1495424272000</v>
      </c>
      <c r="H31" s="8">
        <f>G31*365</f>
        <v>545829859280000</v>
      </c>
      <c r="I31" s="8">
        <f>H31*'FC-Manure Application'!D17</f>
        <v>6822873241000</v>
      </c>
      <c r="J31" s="8">
        <f>I31/31</f>
        <v>220092685193.5484</v>
      </c>
      <c r="K31" s="73">
        <f>J31/B31</f>
        <v>39323331.28346407</v>
      </c>
      <c r="L31" s="5">
        <f>L25</f>
        <v>165</v>
      </c>
      <c r="M31" s="5">
        <f>M25</f>
        <v>0</v>
      </c>
      <c r="N31" s="8">
        <f>L31*'FC-LandUses'!$F$56</f>
        <v>30264748799999.996</v>
      </c>
      <c r="O31" s="8">
        <f>M31*'FC-LandUses'!$F$55</f>
        <v>0</v>
      </c>
      <c r="P31" s="8">
        <f>(N31*365)+(O31*(365-'FC-Cattle Farming'!$B$45))</f>
        <v>11046633311999998</v>
      </c>
      <c r="Q31" s="8">
        <f>(N31*365)*'FC-Manure Application'!D29+(O31*(365-'FC-Cattle Farming'!$B$45))*'FC-Manure Application'!D41</f>
        <v>0</v>
      </c>
      <c r="R31" s="8">
        <f>Q31/31</f>
        <v>0</v>
      </c>
      <c r="S31" s="73">
        <f>R31*('FC-LandUses'!B8/('FC-LandUses'!B8)/'FC-LandUses'!B8)</f>
        <v>0</v>
      </c>
      <c r="T31" s="74">
        <f>T25</f>
        <v>0</v>
      </c>
      <c r="U31" s="8">
        <f>T31*'FC-LandUses'!$H$59</f>
        <v>0</v>
      </c>
      <c r="V31" s="8">
        <f>U31*365</f>
        <v>0</v>
      </c>
      <c r="W31" s="8">
        <f>V31*'FC-Manure Application'!D41</f>
        <v>0</v>
      </c>
      <c r="X31" s="8">
        <f>W31/31</f>
        <v>0</v>
      </c>
      <c r="Y31" s="73">
        <f>X31/B31</f>
        <v>0</v>
      </c>
      <c r="Z31" s="75">
        <f>E31+K31+S31+Y31</f>
        <v>44792081.28346407</v>
      </c>
      <c r="AA31" s="1"/>
      <c r="AB31" s="1"/>
    </row>
    <row r="32" spans="1:28" ht="12.75">
      <c r="A32" s="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67" t="s">
        <v>12</v>
      </c>
      <c r="D34" s="68"/>
      <c r="E34" s="16"/>
      <c r="F34" s="67" t="s">
        <v>63</v>
      </c>
      <c r="G34" s="68"/>
      <c r="H34" s="68"/>
      <c r="I34" s="68"/>
      <c r="J34" s="68"/>
      <c r="K34" s="16"/>
      <c r="L34" s="67" t="s">
        <v>64</v>
      </c>
      <c r="M34" s="67"/>
      <c r="N34" s="68"/>
      <c r="O34" s="68"/>
      <c r="P34" s="68"/>
      <c r="Q34" s="68"/>
      <c r="R34" s="68"/>
      <c r="S34" s="16"/>
      <c r="T34" s="67" t="s">
        <v>60</v>
      </c>
      <c r="U34" s="68"/>
      <c r="V34" s="68"/>
      <c r="W34" s="68"/>
      <c r="X34" s="1"/>
      <c r="Y34" s="69"/>
      <c r="Z34" s="40" t="s">
        <v>6</v>
      </c>
      <c r="AA34" s="1"/>
      <c r="AB34" s="1"/>
    </row>
    <row r="35" spans="1:28" ht="12.75">
      <c r="A35" s="1"/>
      <c r="B35" s="1"/>
      <c r="C35" s="9"/>
      <c r="D35" s="10" t="s">
        <v>16</v>
      </c>
      <c r="E35" s="11" t="s">
        <v>17</v>
      </c>
      <c r="F35" s="10"/>
      <c r="G35" s="10" t="s">
        <v>16</v>
      </c>
      <c r="H35" s="10" t="s">
        <v>39</v>
      </c>
      <c r="I35" s="10" t="s">
        <v>73</v>
      </c>
      <c r="J35" s="10" t="s">
        <v>53</v>
      </c>
      <c r="K35" s="11" t="s">
        <v>17</v>
      </c>
      <c r="L35" s="10"/>
      <c r="M35" s="10"/>
      <c r="N35" s="10" t="s">
        <v>58</v>
      </c>
      <c r="O35" s="10" t="s">
        <v>59</v>
      </c>
      <c r="P35" s="10" t="s">
        <v>39</v>
      </c>
      <c r="Q35" s="10" t="s">
        <v>73</v>
      </c>
      <c r="R35" s="10" t="s">
        <v>53</v>
      </c>
      <c r="S35" s="11" t="s">
        <v>17</v>
      </c>
      <c r="T35" s="17" t="s">
        <v>65</v>
      </c>
      <c r="U35" s="10" t="s">
        <v>61</v>
      </c>
      <c r="V35" s="10" t="s">
        <v>62</v>
      </c>
      <c r="W35" s="10" t="s">
        <v>73</v>
      </c>
      <c r="X35" s="10" t="s">
        <v>53</v>
      </c>
      <c r="Y35" s="11" t="s">
        <v>17</v>
      </c>
      <c r="Z35" s="41" t="s">
        <v>17</v>
      </c>
      <c r="AA35" s="1"/>
      <c r="AB35" s="1"/>
    </row>
    <row r="36" spans="1:28" ht="12.75">
      <c r="A36" s="70" t="s">
        <v>44</v>
      </c>
      <c r="B36" s="2" t="s">
        <v>15</v>
      </c>
      <c r="C36" s="12" t="s">
        <v>20</v>
      </c>
      <c r="D36" s="13" t="s">
        <v>18</v>
      </c>
      <c r="E36" s="14" t="s">
        <v>19</v>
      </c>
      <c r="F36" s="12" t="s">
        <v>38</v>
      </c>
      <c r="G36" s="13" t="s">
        <v>18</v>
      </c>
      <c r="H36" s="13" t="s">
        <v>40</v>
      </c>
      <c r="I36" s="13" t="s">
        <v>52</v>
      </c>
      <c r="J36" s="13" t="s">
        <v>54</v>
      </c>
      <c r="K36" s="14" t="s">
        <v>19</v>
      </c>
      <c r="L36" s="12" t="s">
        <v>56</v>
      </c>
      <c r="M36" s="13" t="s">
        <v>57</v>
      </c>
      <c r="N36" s="13" t="s">
        <v>18</v>
      </c>
      <c r="O36" s="13" t="s">
        <v>18</v>
      </c>
      <c r="P36" s="13" t="s">
        <v>40</v>
      </c>
      <c r="Q36" s="13" t="s">
        <v>52</v>
      </c>
      <c r="R36" s="13" t="s">
        <v>54</v>
      </c>
      <c r="S36" s="14" t="s">
        <v>19</v>
      </c>
      <c r="T36" s="13"/>
      <c r="U36" s="13" t="s">
        <v>18</v>
      </c>
      <c r="V36" s="13" t="s">
        <v>40</v>
      </c>
      <c r="W36" s="13" t="s">
        <v>52</v>
      </c>
      <c r="X36" s="13" t="s">
        <v>54</v>
      </c>
      <c r="Y36" s="14" t="s">
        <v>19</v>
      </c>
      <c r="Z36" s="41" t="s">
        <v>19</v>
      </c>
      <c r="AA36" s="1"/>
      <c r="AB36" s="1"/>
    </row>
    <row r="37" spans="1:28" ht="12.75">
      <c r="A37" s="1" t="s">
        <v>5</v>
      </c>
      <c r="B37" s="5">
        <f>+'FC-LandUses'!$B$8</f>
        <v>5597</v>
      </c>
      <c r="C37" s="76">
        <f>B37*'FC-LandUses'!$B$45</f>
        <v>61.217187499999994</v>
      </c>
      <c r="D37" s="71">
        <f>C37*'FC-LandUses'!$B$74</f>
        <v>30608593749.999996</v>
      </c>
      <c r="E37" s="72">
        <f>D37/B37</f>
        <v>5468749.999999999</v>
      </c>
      <c r="F37" s="5">
        <f>F31</f>
        <v>139</v>
      </c>
      <c r="G37" s="8">
        <f>F37*'FC-LandUses'!$F$57</f>
        <v>1495424272000</v>
      </c>
      <c r="H37" s="8">
        <f>G37*365</f>
        <v>545829859280000</v>
      </c>
      <c r="I37" s="8">
        <f>H37*'FC-Manure Application'!E17</f>
        <v>6822873241000</v>
      </c>
      <c r="J37" s="8">
        <f>I37/30</f>
        <v>227429108033.33334</v>
      </c>
      <c r="K37" s="73">
        <f>J37/B37</f>
        <v>40634108.99291287</v>
      </c>
      <c r="L37" s="5">
        <f>L31</f>
        <v>165</v>
      </c>
      <c r="M37" s="5">
        <f>M31</f>
        <v>0</v>
      </c>
      <c r="N37" s="8">
        <f>L37*'FC-LandUses'!$F$56</f>
        <v>30264748799999.996</v>
      </c>
      <c r="O37" s="8">
        <f>M37*'FC-LandUses'!$F$55</f>
        <v>0</v>
      </c>
      <c r="P37" s="8">
        <f>(N37*365)+(O37*(365-'FC-Cattle Farming'!$B$45))</f>
        <v>11046633311999998</v>
      </c>
      <c r="Q37" s="8">
        <f>(N37*365)*'FC-Manure Application'!E29+(O37*(365-'FC-Cattle Farming'!$B$45))*'FC-Manure Application'!E41</f>
        <v>1518912080399999.8</v>
      </c>
      <c r="R37" s="8">
        <f>Q37/30</f>
        <v>50630402679999.99</v>
      </c>
      <c r="S37" s="73">
        <f>R37*('FC-LandUses'!B8/('FC-LandUses'!B8)/'FC-LandUses'!B8)</f>
        <v>9045989401.465069</v>
      </c>
      <c r="T37" s="74">
        <f>T31</f>
        <v>0</v>
      </c>
      <c r="U37" s="8">
        <f>T37*'FC-LandUses'!$H$59</f>
        <v>0</v>
      </c>
      <c r="V37" s="8">
        <f>U37*365</f>
        <v>0</v>
      </c>
      <c r="W37" s="8">
        <f>V37*'FC-Manure Application'!E41</f>
        <v>0</v>
      </c>
      <c r="X37" s="8">
        <f>W37/30</f>
        <v>0</v>
      </c>
      <c r="Y37" s="73">
        <f>X37/B37</f>
        <v>0</v>
      </c>
      <c r="Z37" s="75">
        <f>E37+K37+S37+Y37</f>
        <v>9092092260.457981</v>
      </c>
      <c r="AA37" s="1"/>
      <c r="AB37" s="1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67" t="s">
        <v>12</v>
      </c>
      <c r="D40" s="68"/>
      <c r="E40" s="16"/>
      <c r="F40" s="67" t="s">
        <v>63</v>
      </c>
      <c r="G40" s="68"/>
      <c r="H40" s="68"/>
      <c r="I40" s="68"/>
      <c r="J40" s="68"/>
      <c r="K40" s="16"/>
      <c r="L40" s="67" t="s">
        <v>64</v>
      </c>
      <c r="M40" s="67"/>
      <c r="N40" s="68"/>
      <c r="O40" s="68"/>
      <c r="P40" s="68"/>
      <c r="Q40" s="68"/>
      <c r="R40" s="68"/>
      <c r="S40" s="16"/>
      <c r="T40" s="67" t="s">
        <v>60</v>
      </c>
      <c r="U40" s="68"/>
      <c r="V40" s="68"/>
      <c r="W40" s="68"/>
      <c r="X40" s="1"/>
      <c r="Y40" s="69"/>
      <c r="Z40" s="40" t="s">
        <v>6</v>
      </c>
      <c r="AA40" s="1"/>
      <c r="AB40" s="1"/>
    </row>
    <row r="41" spans="1:28" ht="12.75">
      <c r="A41" s="1"/>
      <c r="B41" s="1"/>
      <c r="C41" s="9"/>
      <c r="D41" s="10" t="s">
        <v>16</v>
      </c>
      <c r="E41" s="11" t="s">
        <v>17</v>
      </c>
      <c r="F41" s="10"/>
      <c r="G41" s="10" t="s">
        <v>16</v>
      </c>
      <c r="H41" s="10" t="s">
        <v>39</v>
      </c>
      <c r="I41" s="10" t="s">
        <v>73</v>
      </c>
      <c r="J41" s="10" t="s">
        <v>53</v>
      </c>
      <c r="K41" s="11" t="s">
        <v>17</v>
      </c>
      <c r="L41" s="10"/>
      <c r="M41" s="10"/>
      <c r="N41" s="10" t="s">
        <v>58</v>
      </c>
      <c r="O41" s="10" t="s">
        <v>59</v>
      </c>
      <c r="P41" s="10" t="s">
        <v>39</v>
      </c>
      <c r="Q41" s="10" t="s">
        <v>73</v>
      </c>
      <c r="R41" s="10" t="s">
        <v>53</v>
      </c>
      <c r="S41" s="11" t="s">
        <v>17</v>
      </c>
      <c r="T41" s="17" t="s">
        <v>65</v>
      </c>
      <c r="U41" s="10" t="s">
        <v>61</v>
      </c>
      <c r="V41" s="10" t="s">
        <v>62</v>
      </c>
      <c r="W41" s="10" t="s">
        <v>73</v>
      </c>
      <c r="X41" s="10" t="s">
        <v>53</v>
      </c>
      <c r="Y41" s="11" t="s">
        <v>17</v>
      </c>
      <c r="Z41" s="41" t="s">
        <v>17</v>
      </c>
      <c r="AA41" s="1"/>
      <c r="AB41" s="1"/>
    </row>
    <row r="42" spans="1:28" ht="12.75">
      <c r="A42" s="70" t="s">
        <v>45</v>
      </c>
      <c r="B42" s="2" t="s">
        <v>15</v>
      </c>
      <c r="C42" s="12" t="s">
        <v>20</v>
      </c>
      <c r="D42" s="13" t="s">
        <v>18</v>
      </c>
      <c r="E42" s="14" t="s">
        <v>19</v>
      </c>
      <c r="F42" s="12" t="s">
        <v>38</v>
      </c>
      <c r="G42" s="13" t="s">
        <v>18</v>
      </c>
      <c r="H42" s="13" t="s">
        <v>40</v>
      </c>
      <c r="I42" s="13" t="s">
        <v>52</v>
      </c>
      <c r="J42" s="13" t="s">
        <v>54</v>
      </c>
      <c r="K42" s="14" t="s">
        <v>19</v>
      </c>
      <c r="L42" s="12" t="s">
        <v>56</v>
      </c>
      <c r="M42" s="13" t="s">
        <v>57</v>
      </c>
      <c r="N42" s="13" t="s">
        <v>18</v>
      </c>
      <c r="O42" s="13" t="s">
        <v>18</v>
      </c>
      <c r="P42" s="13" t="s">
        <v>40</v>
      </c>
      <c r="Q42" s="13" t="s">
        <v>52</v>
      </c>
      <c r="R42" s="13" t="s">
        <v>54</v>
      </c>
      <c r="S42" s="14" t="s">
        <v>19</v>
      </c>
      <c r="T42" s="13"/>
      <c r="U42" s="13" t="s">
        <v>18</v>
      </c>
      <c r="V42" s="13" t="s">
        <v>40</v>
      </c>
      <c r="W42" s="13" t="s">
        <v>52</v>
      </c>
      <c r="X42" s="13" t="s">
        <v>54</v>
      </c>
      <c r="Y42" s="14" t="s">
        <v>19</v>
      </c>
      <c r="Z42" s="41" t="s">
        <v>19</v>
      </c>
      <c r="AA42" s="1"/>
      <c r="AB42" s="1"/>
    </row>
    <row r="43" spans="1:28" ht="12.75">
      <c r="A43" s="1" t="s">
        <v>5</v>
      </c>
      <c r="B43" s="5">
        <f>+'FC-LandUses'!$B$8</f>
        <v>5597</v>
      </c>
      <c r="C43" s="76">
        <f>B43*'FC-LandUses'!$B$45</f>
        <v>61.217187499999994</v>
      </c>
      <c r="D43" s="71">
        <f>C43*'FC-LandUses'!$B$74</f>
        <v>30608593749.999996</v>
      </c>
      <c r="E43" s="72">
        <f>D43/B43</f>
        <v>5468749.999999999</v>
      </c>
      <c r="F43" s="5">
        <f>F37</f>
        <v>139</v>
      </c>
      <c r="G43" s="8">
        <f>F43*'FC-LandUses'!$F$57</f>
        <v>1495424272000</v>
      </c>
      <c r="H43" s="8">
        <f>G43*365</f>
        <v>545829859280000</v>
      </c>
      <c r="I43" s="8">
        <f>H43*'FC-Manure Application'!F17</f>
        <v>6822873241000</v>
      </c>
      <c r="J43" s="8">
        <f>I43/31</f>
        <v>220092685193.5484</v>
      </c>
      <c r="K43" s="73">
        <f>J43/B43</f>
        <v>39323331.28346407</v>
      </c>
      <c r="L43" s="5">
        <f>L37</f>
        <v>165</v>
      </c>
      <c r="M43" s="5">
        <f>M37</f>
        <v>0</v>
      </c>
      <c r="N43" s="8">
        <f>L43*'FC-LandUses'!$F$56</f>
        <v>30264748799999.996</v>
      </c>
      <c r="O43" s="8">
        <f>M43*'FC-LandUses'!$F$55</f>
        <v>0</v>
      </c>
      <c r="P43" s="8">
        <f>(N43*365)+(O43*(365-'FC-Cattle Farming'!$B$45))</f>
        <v>11046633311999998</v>
      </c>
      <c r="Q43" s="8">
        <f>(N43*365)*'FC-Manure Application'!F29+(O43*(365-'FC-Cattle Farming'!$B$45))*'FC-Manure Application'!F41</f>
        <v>1518912080399999.8</v>
      </c>
      <c r="R43" s="8">
        <f>Q43/31</f>
        <v>48997163883870.96</v>
      </c>
      <c r="S43" s="73">
        <f>R43*('FC-LandUses'!B8/('FC-LandUses'!B8)/'FC-LandUses'!B8)</f>
        <v>8754183291.740389</v>
      </c>
      <c r="T43" s="74">
        <f>T37</f>
        <v>0</v>
      </c>
      <c r="U43" s="8">
        <f>T43*'FC-LandUses'!$H$59</f>
        <v>0</v>
      </c>
      <c r="V43" s="8">
        <f>U43*365</f>
        <v>0</v>
      </c>
      <c r="W43" s="8">
        <f>V43*'FC-Manure Application'!F41</f>
        <v>0</v>
      </c>
      <c r="X43" s="8">
        <f>W43/31</f>
        <v>0</v>
      </c>
      <c r="Y43" s="73">
        <f>X43/B43</f>
        <v>0</v>
      </c>
      <c r="Z43" s="75">
        <f>E43+K43+S43+Y43</f>
        <v>8798975373.023853</v>
      </c>
      <c r="AA43" s="1"/>
      <c r="AB43" s="1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67" t="s">
        <v>12</v>
      </c>
      <c r="D46" s="68"/>
      <c r="E46" s="16"/>
      <c r="F46" s="67" t="s">
        <v>63</v>
      </c>
      <c r="G46" s="68"/>
      <c r="H46" s="68"/>
      <c r="I46" s="68"/>
      <c r="J46" s="68"/>
      <c r="K46" s="16"/>
      <c r="L46" s="67" t="s">
        <v>64</v>
      </c>
      <c r="M46" s="67"/>
      <c r="N46" s="68"/>
      <c r="O46" s="68"/>
      <c r="P46" s="68"/>
      <c r="Q46" s="68"/>
      <c r="R46" s="68"/>
      <c r="S46" s="16"/>
      <c r="T46" s="67" t="s">
        <v>60</v>
      </c>
      <c r="U46" s="68"/>
      <c r="V46" s="68"/>
      <c r="W46" s="68"/>
      <c r="X46" s="1"/>
      <c r="Y46" s="69"/>
      <c r="Z46" s="40" t="s">
        <v>6</v>
      </c>
      <c r="AA46" s="1"/>
      <c r="AB46" s="1"/>
    </row>
    <row r="47" spans="1:28" ht="12.75">
      <c r="A47" s="1"/>
      <c r="B47" s="1"/>
      <c r="C47" s="9"/>
      <c r="D47" s="10" t="s">
        <v>16</v>
      </c>
      <c r="E47" s="11" t="s">
        <v>17</v>
      </c>
      <c r="F47" s="10"/>
      <c r="G47" s="10" t="s">
        <v>16</v>
      </c>
      <c r="H47" s="10" t="s">
        <v>39</v>
      </c>
      <c r="I47" s="10" t="s">
        <v>73</v>
      </c>
      <c r="J47" s="10" t="s">
        <v>53</v>
      </c>
      <c r="K47" s="11" t="s">
        <v>17</v>
      </c>
      <c r="L47" s="10"/>
      <c r="M47" s="10"/>
      <c r="N47" s="10" t="s">
        <v>58</v>
      </c>
      <c r="O47" s="10" t="s">
        <v>59</v>
      </c>
      <c r="P47" s="10" t="s">
        <v>39</v>
      </c>
      <c r="Q47" s="10" t="s">
        <v>73</v>
      </c>
      <c r="R47" s="10" t="s">
        <v>53</v>
      </c>
      <c r="S47" s="11" t="s">
        <v>17</v>
      </c>
      <c r="T47" s="17" t="s">
        <v>65</v>
      </c>
      <c r="U47" s="10" t="s">
        <v>61</v>
      </c>
      <c r="V47" s="10" t="s">
        <v>62</v>
      </c>
      <c r="W47" s="10" t="s">
        <v>73</v>
      </c>
      <c r="X47" s="10" t="s">
        <v>53</v>
      </c>
      <c r="Y47" s="11" t="s">
        <v>17</v>
      </c>
      <c r="Z47" s="41" t="s">
        <v>17</v>
      </c>
      <c r="AA47" s="1"/>
      <c r="AB47" s="1"/>
    </row>
    <row r="48" spans="1:28" ht="12.75">
      <c r="A48" s="70" t="s">
        <v>46</v>
      </c>
      <c r="B48" s="2" t="s">
        <v>15</v>
      </c>
      <c r="C48" s="12" t="s">
        <v>20</v>
      </c>
      <c r="D48" s="13" t="s">
        <v>18</v>
      </c>
      <c r="E48" s="14" t="s">
        <v>19</v>
      </c>
      <c r="F48" s="12" t="s">
        <v>38</v>
      </c>
      <c r="G48" s="13" t="s">
        <v>18</v>
      </c>
      <c r="H48" s="13" t="s">
        <v>40</v>
      </c>
      <c r="I48" s="13" t="s">
        <v>52</v>
      </c>
      <c r="J48" s="13" t="s">
        <v>54</v>
      </c>
      <c r="K48" s="14" t="s">
        <v>19</v>
      </c>
      <c r="L48" s="12" t="s">
        <v>56</v>
      </c>
      <c r="M48" s="13" t="s">
        <v>57</v>
      </c>
      <c r="N48" s="13" t="s">
        <v>18</v>
      </c>
      <c r="O48" s="13" t="s">
        <v>18</v>
      </c>
      <c r="P48" s="13" t="s">
        <v>40</v>
      </c>
      <c r="Q48" s="13" t="s">
        <v>52</v>
      </c>
      <c r="R48" s="13" t="s">
        <v>54</v>
      </c>
      <c r="S48" s="14" t="s">
        <v>19</v>
      </c>
      <c r="T48" s="13"/>
      <c r="U48" s="13" t="s">
        <v>18</v>
      </c>
      <c r="V48" s="13" t="s">
        <v>40</v>
      </c>
      <c r="W48" s="13" t="s">
        <v>52</v>
      </c>
      <c r="X48" s="13" t="s">
        <v>54</v>
      </c>
      <c r="Y48" s="14" t="s">
        <v>19</v>
      </c>
      <c r="Z48" s="41" t="s">
        <v>19</v>
      </c>
      <c r="AA48" s="1"/>
      <c r="AB48" s="1"/>
    </row>
    <row r="49" spans="1:28" ht="12.75">
      <c r="A49" s="1" t="s">
        <v>5</v>
      </c>
      <c r="B49" s="5">
        <f>+'FC-LandUses'!$B$8</f>
        <v>5597</v>
      </c>
      <c r="C49" s="76">
        <f>B49*'FC-LandUses'!$B$45</f>
        <v>61.217187499999994</v>
      </c>
      <c r="D49" s="71">
        <f>C49*'FC-LandUses'!$B$74</f>
        <v>30608593749.999996</v>
      </c>
      <c r="E49" s="72">
        <f>D49/B49</f>
        <v>5468749.999999999</v>
      </c>
      <c r="F49" s="5">
        <f>F43</f>
        <v>139</v>
      </c>
      <c r="G49" s="8">
        <f>F49*'FC-LandUses'!$F$57</f>
        <v>1495424272000</v>
      </c>
      <c r="H49" s="8">
        <f>G49*365</f>
        <v>545829859280000</v>
      </c>
      <c r="I49" s="8">
        <f>H49*'FC-Manure Application'!G17</f>
        <v>6822873241000</v>
      </c>
      <c r="J49" s="8">
        <f>I49/30</f>
        <v>227429108033.33334</v>
      </c>
      <c r="K49" s="73">
        <f>J49/B49</f>
        <v>40634108.99291287</v>
      </c>
      <c r="L49" s="5">
        <f>L43</f>
        <v>165</v>
      </c>
      <c r="M49" s="5">
        <f>M43</f>
        <v>0</v>
      </c>
      <c r="N49" s="8">
        <f>L49*'FC-LandUses'!$F$56</f>
        <v>30264748799999.996</v>
      </c>
      <c r="O49" s="8">
        <f>M49*'FC-LandUses'!$F$55</f>
        <v>0</v>
      </c>
      <c r="P49" s="8">
        <f>(N49*365)+(O49*(365-'FC-Cattle Farming'!$B$45))</f>
        <v>11046633311999998</v>
      </c>
      <c r="Q49" s="8">
        <f>(N49*365)*'FC-Manure Application'!G29+(O49*(365-'FC-Cattle Farming'!$B$45))*'FC-Manure Application'!G41</f>
        <v>1587953538600000</v>
      </c>
      <c r="R49" s="8">
        <f>Q49/30</f>
        <v>52931784620000</v>
      </c>
      <c r="S49" s="73">
        <f>R49*('FC-LandUses'!B8/('FC-LandUses'!B8)/'FC-LandUses'!B8)</f>
        <v>9457170737.8953</v>
      </c>
      <c r="T49" s="74">
        <f>T43</f>
        <v>0</v>
      </c>
      <c r="U49" s="8">
        <f>T49*'FC-LandUses'!$H$59</f>
        <v>0</v>
      </c>
      <c r="V49" s="8">
        <f>U49*365</f>
        <v>0</v>
      </c>
      <c r="W49" s="8">
        <f>V49*'FC-Manure Application'!G41</f>
        <v>0</v>
      </c>
      <c r="X49" s="8">
        <f>W49/30</f>
        <v>0</v>
      </c>
      <c r="Y49" s="73">
        <f>X49/B49</f>
        <v>0</v>
      </c>
      <c r="Z49" s="75">
        <f>E49+K49+S49+Y49</f>
        <v>9503273596.888212</v>
      </c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67" t="s">
        <v>12</v>
      </c>
      <c r="D52" s="68"/>
      <c r="E52" s="16"/>
      <c r="F52" s="67" t="s">
        <v>63</v>
      </c>
      <c r="G52" s="68"/>
      <c r="H52" s="68"/>
      <c r="I52" s="68"/>
      <c r="J52" s="68"/>
      <c r="K52" s="16"/>
      <c r="L52" s="67" t="s">
        <v>64</v>
      </c>
      <c r="M52" s="67"/>
      <c r="N52" s="68"/>
      <c r="O52" s="68"/>
      <c r="P52" s="68"/>
      <c r="Q52" s="68"/>
      <c r="R52" s="68"/>
      <c r="S52" s="16"/>
      <c r="T52" s="67" t="s">
        <v>60</v>
      </c>
      <c r="U52" s="68"/>
      <c r="V52" s="68"/>
      <c r="W52" s="68"/>
      <c r="X52" s="1"/>
      <c r="Y52" s="69"/>
      <c r="Z52" s="40" t="s">
        <v>6</v>
      </c>
      <c r="AA52" s="1"/>
      <c r="AB52" s="1"/>
    </row>
    <row r="53" spans="1:28" ht="12.75">
      <c r="A53" s="1"/>
      <c r="B53" s="1"/>
      <c r="C53" s="9"/>
      <c r="D53" s="10" t="s">
        <v>16</v>
      </c>
      <c r="E53" s="11" t="s">
        <v>17</v>
      </c>
      <c r="F53" s="10"/>
      <c r="G53" s="10" t="s">
        <v>16</v>
      </c>
      <c r="H53" s="10" t="s">
        <v>39</v>
      </c>
      <c r="I53" s="10" t="s">
        <v>73</v>
      </c>
      <c r="J53" s="10" t="s">
        <v>53</v>
      </c>
      <c r="K53" s="11" t="s">
        <v>17</v>
      </c>
      <c r="L53" s="10"/>
      <c r="M53" s="10"/>
      <c r="N53" s="10" t="s">
        <v>58</v>
      </c>
      <c r="O53" s="10" t="s">
        <v>59</v>
      </c>
      <c r="P53" s="10" t="s">
        <v>39</v>
      </c>
      <c r="Q53" s="10" t="s">
        <v>73</v>
      </c>
      <c r="R53" s="10" t="s">
        <v>53</v>
      </c>
      <c r="S53" s="11" t="s">
        <v>17</v>
      </c>
      <c r="T53" s="17" t="s">
        <v>65</v>
      </c>
      <c r="U53" s="10" t="s">
        <v>61</v>
      </c>
      <c r="V53" s="10" t="s">
        <v>62</v>
      </c>
      <c r="W53" s="10" t="s">
        <v>73</v>
      </c>
      <c r="X53" s="10" t="s">
        <v>53</v>
      </c>
      <c r="Y53" s="11" t="s">
        <v>17</v>
      </c>
      <c r="Z53" s="41" t="s">
        <v>17</v>
      </c>
      <c r="AA53" s="1"/>
      <c r="AB53" s="1"/>
    </row>
    <row r="54" spans="1:28" ht="12.75">
      <c r="A54" s="70" t="s">
        <v>69</v>
      </c>
      <c r="B54" s="2" t="s">
        <v>15</v>
      </c>
      <c r="C54" s="12" t="s">
        <v>20</v>
      </c>
      <c r="D54" s="13" t="s">
        <v>18</v>
      </c>
      <c r="E54" s="14" t="s">
        <v>19</v>
      </c>
      <c r="F54" s="12" t="s">
        <v>38</v>
      </c>
      <c r="G54" s="13" t="s">
        <v>18</v>
      </c>
      <c r="H54" s="13" t="s">
        <v>40</v>
      </c>
      <c r="I54" s="13" t="s">
        <v>52</v>
      </c>
      <c r="J54" s="13" t="s">
        <v>54</v>
      </c>
      <c r="K54" s="14" t="s">
        <v>19</v>
      </c>
      <c r="L54" s="12" t="s">
        <v>56</v>
      </c>
      <c r="M54" s="13" t="s">
        <v>57</v>
      </c>
      <c r="N54" s="13" t="s">
        <v>18</v>
      </c>
      <c r="O54" s="13" t="s">
        <v>18</v>
      </c>
      <c r="P54" s="13" t="s">
        <v>40</v>
      </c>
      <c r="Q54" s="13" t="s">
        <v>52</v>
      </c>
      <c r="R54" s="13" t="s">
        <v>54</v>
      </c>
      <c r="S54" s="14" t="s">
        <v>19</v>
      </c>
      <c r="T54" s="13"/>
      <c r="U54" s="13" t="s">
        <v>18</v>
      </c>
      <c r="V54" s="13" t="s">
        <v>40</v>
      </c>
      <c r="W54" s="13" t="s">
        <v>52</v>
      </c>
      <c r="X54" s="13" t="s">
        <v>54</v>
      </c>
      <c r="Y54" s="14" t="s">
        <v>19</v>
      </c>
      <c r="Z54" s="41" t="s">
        <v>19</v>
      </c>
      <c r="AA54" s="1"/>
      <c r="AB54" s="1"/>
    </row>
    <row r="55" spans="1:28" ht="12.75">
      <c r="A55" s="1" t="s">
        <v>5</v>
      </c>
      <c r="B55" s="5">
        <f>+'FC-LandUses'!$B$8</f>
        <v>5597</v>
      </c>
      <c r="C55" s="76">
        <f>B55*'FC-LandUses'!$B$45</f>
        <v>61.217187499999994</v>
      </c>
      <c r="D55" s="71">
        <f>C55*'FC-LandUses'!$B$74</f>
        <v>30608593749.999996</v>
      </c>
      <c r="E55" s="72">
        <f>D55/B55</f>
        <v>5468749.999999999</v>
      </c>
      <c r="F55" s="5">
        <f>F49</f>
        <v>139</v>
      </c>
      <c r="G55" s="8">
        <f>F55*'FC-LandUses'!$F$57</f>
        <v>1495424272000</v>
      </c>
      <c r="H55" s="8">
        <f>G55*365</f>
        <v>545829859280000</v>
      </c>
      <c r="I55" s="8">
        <f>H55*'FC-Manure Application'!H17</f>
        <v>92108788753500</v>
      </c>
      <c r="J55" s="8">
        <f>I55/31</f>
        <v>2971251250112.9033</v>
      </c>
      <c r="K55" s="73">
        <f>J55/B55</f>
        <v>530864972.32676494</v>
      </c>
      <c r="L55" s="5">
        <f>L49</f>
        <v>165</v>
      </c>
      <c r="M55" s="5">
        <f>M49</f>
        <v>0</v>
      </c>
      <c r="N55" s="8">
        <f>L55*'FC-LandUses'!$F$56</f>
        <v>30264748799999.996</v>
      </c>
      <c r="O55" s="8">
        <f>M55*'FC-LandUses'!$F$55</f>
        <v>0</v>
      </c>
      <c r="P55" s="8">
        <f>(N55*365)+(O55*(365-'FC-Cattle Farming'!$B$45))</f>
        <v>11046633311999998</v>
      </c>
      <c r="Q55" s="8">
        <f>(N55*365)*'FC-Manure Application'!H29+(O55*(365-'FC-Cattle Farming'!$B$45))*'FC-Manure Application'!H41</f>
        <v>552331665599999.94</v>
      </c>
      <c r="R55" s="8">
        <f>Q55/31</f>
        <v>17817150503225.805</v>
      </c>
      <c r="S55" s="73">
        <f>R55*('FC-LandUses'!B8/('FC-LandUses'!B8)/'FC-LandUses'!B8)</f>
        <v>3183339378.8146873</v>
      </c>
      <c r="T55" s="74">
        <f>T49</f>
        <v>0</v>
      </c>
      <c r="U55" s="8">
        <f>T55*'FC-LandUses'!$H$59</f>
        <v>0</v>
      </c>
      <c r="V55" s="8">
        <f>U55*365</f>
        <v>0</v>
      </c>
      <c r="W55" s="8">
        <f>V55*'FC-Manure Application'!H41</f>
        <v>0</v>
      </c>
      <c r="X55" s="8">
        <f>W55/31</f>
        <v>0</v>
      </c>
      <c r="Y55" s="73">
        <f>X55/B55</f>
        <v>0</v>
      </c>
      <c r="Z55" s="75">
        <f>E55+K55+S55+Y55</f>
        <v>3719673101.1414523</v>
      </c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67" t="s">
        <v>12</v>
      </c>
      <c r="D58" s="68"/>
      <c r="E58" s="16"/>
      <c r="F58" s="67" t="s">
        <v>63</v>
      </c>
      <c r="G58" s="68"/>
      <c r="H58" s="68"/>
      <c r="I58" s="68"/>
      <c r="J58" s="68"/>
      <c r="K58" s="16"/>
      <c r="L58" s="67" t="s">
        <v>64</v>
      </c>
      <c r="M58" s="67"/>
      <c r="N58" s="68"/>
      <c r="O58" s="68"/>
      <c r="P58" s="68"/>
      <c r="Q58" s="68"/>
      <c r="R58" s="68"/>
      <c r="S58" s="16"/>
      <c r="T58" s="67" t="s">
        <v>60</v>
      </c>
      <c r="U58" s="68"/>
      <c r="V58" s="68"/>
      <c r="W58" s="68"/>
      <c r="X58" s="1"/>
      <c r="Y58" s="69"/>
      <c r="Z58" s="40" t="s">
        <v>6</v>
      </c>
      <c r="AA58" s="1"/>
      <c r="AB58" s="1"/>
    </row>
    <row r="59" spans="1:28" ht="12.75">
      <c r="A59" s="1"/>
      <c r="B59" s="1"/>
      <c r="C59" s="9"/>
      <c r="D59" s="10" t="s">
        <v>16</v>
      </c>
      <c r="E59" s="11" t="s">
        <v>17</v>
      </c>
      <c r="F59" s="10"/>
      <c r="G59" s="10" t="s">
        <v>16</v>
      </c>
      <c r="H59" s="10" t="s">
        <v>39</v>
      </c>
      <c r="I59" s="10" t="s">
        <v>73</v>
      </c>
      <c r="J59" s="10" t="s">
        <v>53</v>
      </c>
      <c r="K59" s="11" t="s">
        <v>17</v>
      </c>
      <c r="L59" s="10"/>
      <c r="M59" s="10"/>
      <c r="N59" s="10" t="s">
        <v>58</v>
      </c>
      <c r="O59" s="10" t="s">
        <v>59</v>
      </c>
      <c r="P59" s="10" t="s">
        <v>39</v>
      </c>
      <c r="Q59" s="10" t="s">
        <v>73</v>
      </c>
      <c r="R59" s="10" t="s">
        <v>53</v>
      </c>
      <c r="S59" s="11" t="s">
        <v>17</v>
      </c>
      <c r="T59" s="17" t="s">
        <v>65</v>
      </c>
      <c r="U59" s="10" t="s">
        <v>61</v>
      </c>
      <c r="V59" s="10" t="s">
        <v>62</v>
      </c>
      <c r="W59" s="10" t="s">
        <v>73</v>
      </c>
      <c r="X59" s="10" t="s">
        <v>53</v>
      </c>
      <c r="Y59" s="11" t="s">
        <v>17</v>
      </c>
      <c r="Z59" s="41" t="s">
        <v>17</v>
      </c>
      <c r="AA59" s="1"/>
      <c r="AB59" s="1"/>
    </row>
    <row r="60" spans="1:28" ht="12.75">
      <c r="A60" s="70" t="s">
        <v>47</v>
      </c>
      <c r="B60" s="2" t="s">
        <v>15</v>
      </c>
      <c r="C60" s="12" t="s">
        <v>20</v>
      </c>
      <c r="D60" s="13" t="s">
        <v>18</v>
      </c>
      <c r="E60" s="14" t="s">
        <v>19</v>
      </c>
      <c r="F60" s="12" t="s">
        <v>38</v>
      </c>
      <c r="G60" s="13" t="s">
        <v>18</v>
      </c>
      <c r="H60" s="13" t="s">
        <v>40</v>
      </c>
      <c r="I60" s="13" t="s">
        <v>52</v>
      </c>
      <c r="J60" s="13" t="s">
        <v>54</v>
      </c>
      <c r="K60" s="14" t="s">
        <v>19</v>
      </c>
      <c r="L60" s="12" t="s">
        <v>56</v>
      </c>
      <c r="M60" s="13" t="s">
        <v>57</v>
      </c>
      <c r="N60" s="13" t="s">
        <v>18</v>
      </c>
      <c r="O60" s="13" t="s">
        <v>18</v>
      </c>
      <c r="P60" s="13" t="s">
        <v>40</v>
      </c>
      <c r="Q60" s="13" t="s">
        <v>52</v>
      </c>
      <c r="R60" s="13" t="s">
        <v>54</v>
      </c>
      <c r="S60" s="14" t="s">
        <v>19</v>
      </c>
      <c r="T60" s="13"/>
      <c r="U60" s="13" t="s">
        <v>18</v>
      </c>
      <c r="V60" s="13" t="s">
        <v>40</v>
      </c>
      <c r="W60" s="13" t="s">
        <v>52</v>
      </c>
      <c r="X60" s="13" t="s">
        <v>54</v>
      </c>
      <c r="Y60" s="14" t="s">
        <v>19</v>
      </c>
      <c r="Z60" s="41" t="s">
        <v>19</v>
      </c>
      <c r="AA60" s="1"/>
      <c r="AB60" s="1"/>
    </row>
    <row r="61" spans="1:28" ht="12.75">
      <c r="A61" s="1" t="s">
        <v>5</v>
      </c>
      <c r="B61" s="5">
        <f>+'FC-LandUses'!$B$8</f>
        <v>5597</v>
      </c>
      <c r="C61" s="76">
        <f>B61*'FC-LandUses'!$B$45</f>
        <v>61.217187499999994</v>
      </c>
      <c r="D61" s="71">
        <f>C61*'FC-LandUses'!$B$74</f>
        <v>30608593749.999996</v>
      </c>
      <c r="E61" s="72">
        <f>D61/B61</f>
        <v>5468749.999999999</v>
      </c>
      <c r="F61" s="5">
        <f>F55</f>
        <v>139</v>
      </c>
      <c r="G61" s="8">
        <f>F61*'FC-LandUses'!$F$57</f>
        <v>1495424272000</v>
      </c>
      <c r="H61" s="8">
        <f>G61*365</f>
        <v>545829859280000</v>
      </c>
      <c r="I61" s="8">
        <f>H61*'FC-Manure Application'!I17</f>
        <v>92108788753500</v>
      </c>
      <c r="J61" s="8">
        <f>I61/31</f>
        <v>2971251250112.9033</v>
      </c>
      <c r="K61" s="73">
        <f>J61/B61</f>
        <v>530864972.32676494</v>
      </c>
      <c r="L61" s="5">
        <f>L55</f>
        <v>165</v>
      </c>
      <c r="M61" s="5">
        <f>M55</f>
        <v>0</v>
      </c>
      <c r="N61" s="8">
        <f>L61*'FC-LandUses'!$F$56</f>
        <v>30264748799999.996</v>
      </c>
      <c r="O61" s="8">
        <f>M61*'FC-LandUses'!$F$55</f>
        <v>0</v>
      </c>
      <c r="P61" s="8">
        <f>(N61*365)+(O61*(365-'FC-Cattle Farming'!$B$45))</f>
        <v>11046633311999998</v>
      </c>
      <c r="Q61" s="8">
        <f>(N61*365)*'FC-Manure Application'!I29+(O61*(365-'FC-Cattle Farming'!$B$45))*'FC-Manure Application'!I41</f>
        <v>552331665599999.94</v>
      </c>
      <c r="R61" s="8">
        <f>Q61/31</f>
        <v>17817150503225.805</v>
      </c>
      <c r="S61" s="73">
        <f>R61*('FC-LandUses'!B8/('FC-LandUses'!B8)/'FC-LandUses'!B8)</f>
        <v>3183339378.8146873</v>
      </c>
      <c r="T61" s="74">
        <f>T55</f>
        <v>0</v>
      </c>
      <c r="U61" s="8">
        <f>T61*'FC-LandUses'!$H$59</f>
        <v>0</v>
      </c>
      <c r="V61" s="8">
        <f>U61*365</f>
        <v>0</v>
      </c>
      <c r="W61" s="8">
        <f>V61*'FC-Manure Application'!I41</f>
        <v>0</v>
      </c>
      <c r="X61" s="8">
        <f>W61/31</f>
        <v>0</v>
      </c>
      <c r="Y61" s="73">
        <f>X61/B61</f>
        <v>0</v>
      </c>
      <c r="Z61" s="75">
        <f>E61+K61+S61+Y61</f>
        <v>3719673101.1414523</v>
      </c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67" t="s">
        <v>12</v>
      </c>
      <c r="D64" s="68"/>
      <c r="E64" s="16"/>
      <c r="F64" s="67" t="s">
        <v>63</v>
      </c>
      <c r="G64" s="68"/>
      <c r="H64" s="68"/>
      <c r="I64" s="68"/>
      <c r="J64" s="68"/>
      <c r="K64" s="16"/>
      <c r="L64" s="67" t="s">
        <v>64</v>
      </c>
      <c r="M64" s="67"/>
      <c r="N64" s="68"/>
      <c r="O64" s="68"/>
      <c r="P64" s="68"/>
      <c r="Q64" s="68"/>
      <c r="R64" s="68"/>
      <c r="S64" s="16"/>
      <c r="T64" s="67" t="s">
        <v>60</v>
      </c>
      <c r="U64" s="68"/>
      <c r="V64" s="68"/>
      <c r="W64" s="68"/>
      <c r="X64" s="1"/>
      <c r="Y64" s="69"/>
      <c r="Z64" s="40" t="s">
        <v>6</v>
      </c>
      <c r="AA64" s="1"/>
      <c r="AB64" s="1"/>
    </row>
    <row r="65" spans="1:28" ht="12.75">
      <c r="A65" s="1"/>
      <c r="B65" s="1"/>
      <c r="C65" s="9"/>
      <c r="D65" s="10" t="s">
        <v>16</v>
      </c>
      <c r="E65" s="11" t="s">
        <v>17</v>
      </c>
      <c r="F65" s="10"/>
      <c r="G65" s="10" t="s">
        <v>16</v>
      </c>
      <c r="H65" s="10" t="s">
        <v>39</v>
      </c>
      <c r="I65" s="10" t="s">
        <v>73</v>
      </c>
      <c r="J65" s="10" t="s">
        <v>53</v>
      </c>
      <c r="K65" s="11" t="s">
        <v>17</v>
      </c>
      <c r="L65" s="10"/>
      <c r="M65" s="10"/>
      <c r="N65" s="10" t="s">
        <v>58</v>
      </c>
      <c r="O65" s="10" t="s">
        <v>59</v>
      </c>
      <c r="P65" s="10" t="s">
        <v>39</v>
      </c>
      <c r="Q65" s="10" t="s">
        <v>73</v>
      </c>
      <c r="R65" s="10" t="s">
        <v>53</v>
      </c>
      <c r="S65" s="11" t="s">
        <v>17</v>
      </c>
      <c r="T65" s="17" t="s">
        <v>65</v>
      </c>
      <c r="U65" s="10" t="s">
        <v>61</v>
      </c>
      <c r="V65" s="10" t="s">
        <v>62</v>
      </c>
      <c r="W65" s="10" t="s">
        <v>73</v>
      </c>
      <c r="X65" s="10" t="s">
        <v>53</v>
      </c>
      <c r="Y65" s="11" t="s">
        <v>17</v>
      </c>
      <c r="Z65" s="41" t="s">
        <v>17</v>
      </c>
      <c r="AA65" s="1"/>
      <c r="AB65" s="1"/>
    </row>
    <row r="66" spans="1:28" ht="12.75">
      <c r="A66" s="70" t="s">
        <v>70</v>
      </c>
      <c r="B66" s="2" t="s">
        <v>15</v>
      </c>
      <c r="C66" s="12" t="s">
        <v>20</v>
      </c>
      <c r="D66" s="13" t="s">
        <v>18</v>
      </c>
      <c r="E66" s="14" t="s">
        <v>19</v>
      </c>
      <c r="F66" s="12" t="s">
        <v>38</v>
      </c>
      <c r="G66" s="13" t="s">
        <v>18</v>
      </c>
      <c r="H66" s="13" t="s">
        <v>40</v>
      </c>
      <c r="I66" s="13" t="s">
        <v>52</v>
      </c>
      <c r="J66" s="13" t="s">
        <v>54</v>
      </c>
      <c r="K66" s="14" t="s">
        <v>19</v>
      </c>
      <c r="L66" s="12" t="s">
        <v>56</v>
      </c>
      <c r="M66" s="13" t="s">
        <v>57</v>
      </c>
      <c r="N66" s="13" t="s">
        <v>18</v>
      </c>
      <c r="O66" s="13" t="s">
        <v>18</v>
      </c>
      <c r="P66" s="13" t="s">
        <v>40</v>
      </c>
      <c r="Q66" s="13" t="s">
        <v>52</v>
      </c>
      <c r="R66" s="13" t="s">
        <v>54</v>
      </c>
      <c r="S66" s="14" t="s">
        <v>19</v>
      </c>
      <c r="T66" s="13"/>
      <c r="U66" s="13" t="s">
        <v>18</v>
      </c>
      <c r="V66" s="13" t="s">
        <v>40</v>
      </c>
      <c r="W66" s="13" t="s">
        <v>52</v>
      </c>
      <c r="X66" s="13" t="s">
        <v>54</v>
      </c>
      <c r="Y66" s="14" t="s">
        <v>19</v>
      </c>
      <c r="Z66" s="41" t="s">
        <v>19</v>
      </c>
      <c r="AA66" s="1"/>
      <c r="AB66" s="1"/>
    </row>
    <row r="67" spans="1:28" ht="12.75">
      <c r="A67" s="1" t="s">
        <v>5</v>
      </c>
      <c r="B67" s="5">
        <f>+'FC-LandUses'!$B$8</f>
        <v>5597</v>
      </c>
      <c r="C67" s="76">
        <f>B67*'FC-LandUses'!$B$45</f>
        <v>61.217187499999994</v>
      </c>
      <c r="D67" s="71">
        <f>C67*'FC-LandUses'!$B$74</f>
        <v>30608593749.999996</v>
      </c>
      <c r="E67" s="72">
        <f>D67/B67</f>
        <v>5468749.999999999</v>
      </c>
      <c r="F67" s="5">
        <f>F61</f>
        <v>139</v>
      </c>
      <c r="G67" s="8">
        <f>F67*'FC-LandUses'!$F$57</f>
        <v>1495424272000</v>
      </c>
      <c r="H67" s="8">
        <f>G67*365</f>
        <v>545829859280000</v>
      </c>
      <c r="I67" s="8">
        <f>H67*'FC-Manure Application'!J17</f>
        <v>95520225374000.02</v>
      </c>
      <c r="J67" s="8">
        <f>I67/30</f>
        <v>3184007512466.667</v>
      </c>
      <c r="K67" s="73">
        <f>J67/B67</f>
        <v>568877525.9007802</v>
      </c>
      <c r="L67" s="5">
        <f>L61</f>
        <v>165</v>
      </c>
      <c r="M67" s="5">
        <f>M61</f>
        <v>0</v>
      </c>
      <c r="N67" s="8">
        <f>L67*'FC-LandUses'!$F$56</f>
        <v>30264748799999.996</v>
      </c>
      <c r="O67" s="8">
        <f>M67*'FC-LandUses'!$F$55</f>
        <v>0</v>
      </c>
      <c r="P67" s="8">
        <f>(N67*365)+(O67*(365-'FC-Cattle Farming'!$B$45))</f>
        <v>11046633311999998</v>
      </c>
      <c r="Q67" s="8">
        <f>(N67*365)*'FC-Manure Application'!J29+(O67*(365-'FC-Cattle Farming'!$B$45))*'FC-Manure Application'!J41</f>
        <v>552331665599999.94</v>
      </c>
      <c r="R67" s="8">
        <f>Q67/30</f>
        <v>18411055519999.996</v>
      </c>
      <c r="S67" s="73">
        <f>R67*('FC-LandUses'!B8/('FC-LandUses'!B8)/'FC-LandUses'!B8)</f>
        <v>3289450691.441843</v>
      </c>
      <c r="T67" s="74">
        <f>T61</f>
        <v>0</v>
      </c>
      <c r="U67" s="8">
        <f>T67*'FC-LandUses'!$H$59</f>
        <v>0</v>
      </c>
      <c r="V67" s="8">
        <f>U67*365</f>
        <v>0</v>
      </c>
      <c r="W67" s="8">
        <f>V67*'FC-Manure Application'!J41</f>
        <v>0</v>
      </c>
      <c r="X67" s="8">
        <f>W67/30</f>
        <v>0</v>
      </c>
      <c r="Y67" s="73">
        <f>X67/B67</f>
        <v>0</v>
      </c>
      <c r="Z67" s="75">
        <f>E67+K67+S67+Y67</f>
        <v>3863796967.342623</v>
      </c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67" t="s">
        <v>12</v>
      </c>
      <c r="D70" s="68"/>
      <c r="E70" s="16"/>
      <c r="F70" s="67" t="s">
        <v>63</v>
      </c>
      <c r="G70" s="68"/>
      <c r="H70" s="68"/>
      <c r="I70" s="68"/>
      <c r="J70" s="68"/>
      <c r="K70" s="16"/>
      <c r="L70" s="67" t="s">
        <v>64</v>
      </c>
      <c r="M70" s="67"/>
      <c r="N70" s="68"/>
      <c r="O70" s="68"/>
      <c r="P70" s="68"/>
      <c r="Q70" s="68"/>
      <c r="R70" s="68"/>
      <c r="S70" s="16"/>
      <c r="T70" s="67" t="s">
        <v>60</v>
      </c>
      <c r="U70" s="68"/>
      <c r="V70" s="68"/>
      <c r="W70" s="68"/>
      <c r="X70" s="1"/>
      <c r="Y70" s="69"/>
      <c r="Z70" s="40" t="s">
        <v>6</v>
      </c>
      <c r="AA70" s="1"/>
      <c r="AB70" s="1"/>
    </row>
    <row r="71" spans="1:28" ht="12.75">
      <c r="A71" s="1"/>
      <c r="B71" s="1"/>
      <c r="C71" s="9"/>
      <c r="D71" s="10" t="s">
        <v>16</v>
      </c>
      <c r="E71" s="11" t="s">
        <v>17</v>
      </c>
      <c r="F71" s="10"/>
      <c r="G71" s="10" t="s">
        <v>16</v>
      </c>
      <c r="H71" s="10" t="s">
        <v>39</v>
      </c>
      <c r="I71" s="10" t="s">
        <v>73</v>
      </c>
      <c r="J71" s="10" t="s">
        <v>53</v>
      </c>
      <c r="K71" s="11" t="s">
        <v>17</v>
      </c>
      <c r="L71" s="10"/>
      <c r="M71" s="10"/>
      <c r="N71" s="10" t="s">
        <v>58</v>
      </c>
      <c r="O71" s="10" t="s">
        <v>59</v>
      </c>
      <c r="P71" s="10" t="s">
        <v>39</v>
      </c>
      <c r="Q71" s="10" t="s">
        <v>73</v>
      </c>
      <c r="R71" s="10" t="s">
        <v>53</v>
      </c>
      <c r="S71" s="11" t="s">
        <v>17</v>
      </c>
      <c r="T71" s="17" t="s">
        <v>65</v>
      </c>
      <c r="U71" s="10" t="s">
        <v>61</v>
      </c>
      <c r="V71" s="10" t="s">
        <v>62</v>
      </c>
      <c r="W71" s="10" t="s">
        <v>73</v>
      </c>
      <c r="X71" s="10" t="s">
        <v>53</v>
      </c>
      <c r="Y71" s="11" t="s">
        <v>17</v>
      </c>
      <c r="Z71" s="41" t="s">
        <v>17</v>
      </c>
      <c r="AA71" s="1"/>
      <c r="AB71" s="1"/>
    </row>
    <row r="72" spans="1:28" ht="12.75">
      <c r="A72" s="70" t="s">
        <v>48</v>
      </c>
      <c r="B72" s="2" t="s">
        <v>15</v>
      </c>
      <c r="C72" s="12" t="s">
        <v>20</v>
      </c>
      <c r="D72" s="13" t="s">
        <v>18</v>
      </c>
      <c r="E72" s="14" t="s">
        <v>19</v>
      </c>
      <c r="F72" s="12" t="s">
        <v>38</v>
      </c>
      <c r="G72" s="13" t="s">
        <v>18</v>
      </c>
      <c r="H72" s="13" t="s">
        <v>40</v>
      </c>
      <c r="I72" s="13" t="s">
        <v>52</v>
      </c>
      <c r="J72" s="13" t="s">
        <v>54</v>
      </c>
      <c r="K72" s="14" t="s">
        <v>19</v>
      </c>
      <c r="L72" s="12" t="s">
        <v>56</v>
      </c>
      <c r="M72" s="13" t="s">
        <v>57</v>
      </c>
      <c r="N72" s="13" t="s">
        <v>18</v>
      </c>
      <c r="O72" s="13" t="s">
        <v>18</v>
      </c>
      <c r="P72" s="13" t="s">
        <v>40</v>
      </c>
      <c r="Q72" s="13" t="s">
        <v>52</v>
      </c>
      <c r="R72" s="13" t="s">
        <v>54</v>
      </c>
      <c r="S72" s="14" t="s">
        <v>19</v>
      </c>
      <c r="T72" s="13"/>
      <c r="U72" s="13" t="s">
        <v>18</v>
      </c>
      <c r="V72" s="13" t="s">
        <v>40</v>
      </c>
      <c r="W72" s="13" t="s">
        <v>52</v>
      </c>
      <c r="X72" s="13" t="s">
        <v>54</v>
      </c>
      <c r="Y72" s="14" t="s">
        <v>19</v>
      </c>
      <c r="Z72" s="41" t="s">
        <v>19</v>
      </c>
      <c r="AA72" s="1"/>
      <c r="AB72" s="1"/>
    </row>
    <row r="73" spans="1:28" ht="12.75">
      <c r="A73" s="1" t="s">
        <v>5</v>
      </c>
      <c r="B73" s="5">
        <f>+'FC-LandUses'!$B$8</f>
        <v>5597</v>
      </c>
      <c r="C73" s="76">
        <f>B73*'FC-LandUses'!$B$45</f>
        <v>61.217187499999994</v>
      </c>
      <c r="D73" s="71">
        <f>C73*'FC-LandUses'!$B$74</f>
        <v>30608593749.999996</v>
      </c>
      <c r="E73" s="72">
        <f>D73/B73</f>
        <v>5468749.999999999</v>
      </c>
      <c r="F73" s="5">
        <f>F67</f>
        <v>139</v>
      </c>
      <c r="G73" s="8">
        <f>F73*'FC-LandUses'!$F$57</f>
        <v>1495424272000</v>
      </c>
      <c r="H73" s="8">
        <f>G73*365</f>
        <v>545829859280000</v>
      </c>
      <c r="I73" s="8">
        <f>H73*'FC-Manure Application'!K17</f>
        <v>6822873241000</v>
      </c>
      <c r="J73" s="8">
        <f>I73/31</f>
        <v>220092685193.5484</v>
      </c>
      <c r="K73" s="73">
        <f>J73/B73</f>
        <v>39323331.28346407</v>
      </c>
      <c r="L73" s="5">
        <f>L67</f>
        <v>165</v>
      </c>
      <c r="M73" s="5">
        <f>M67</f>
        <v>0</v>
      </c>
      <c r="N73" s="8">
        <f>L73*'FC-LandUses'!$F$56</f>
        <v>30264748799999.996</v>
      </c>
      <c r="O73" s="8">
        <f>M73*'FC-LandUses'!$F$55</f>
        <v>0</v>
      </c>
      <c r="P73" s="8">
        <f>(N73*365)+(O73*(365-'FC-Cattle Farming'!$B$45))</f>
        <v>11046633311999998</v>
      </c>
      <c r="Q73" s="8">
        <f>(N73*365)*'FC-Manure Application'!K29+(O73*(365-'FC-Cattle Farming'!$B$45))*'FC-Manure Application'!K41</f>
        <v>621373123799999.9</v>
      </c>
      <c r="R73" s="8">
        <f>Q73/31</f>
        <v>20044294316129.027</v>
      </c>
      <c r="S73" s="73">
        <f>R73*('FC-LandUses'!B8/('FC-LandUses'!B8)/'FC-LandUses'!B8)</f>
        <v>3581256801.1665225</v>
      </c>
      <c r="T73" s="74">
        <f>T67</f>
        <v>0</v>
      </c>
      <c r="U73" s="8">
        <f>T73*'FC-LandUses'!$H$59</f>
        <v>0</v>
      </c>
      <c r="V73" s="8">
        <f>U73*365</f>
        <v>0</v>
      </c>
      <c r="W73" s="8">
        <f>V73*'FC-Manure Application'!K41</f>
        <v>0</v>
      </c>
      <c r="X73" s="8">
        <f>W73/31</f>
        <v>0</v>
      </c>
      <c r="Y73" s="73">
        <f>X73/B73</f>
        <v>0</v>
      </c>
      <c r="Z73" s="75">
        <f>E73+K73+S73+Y73</f>
        <v>3626048882.4499865</v>
      </c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67" t="s">
        <v>12</v>
      </c>
      <c r="D76" s="68"/>
      <c r="E76" s="16"/>
      <c r="F76" s="67" t="s">
        <v>63</v>
      </c>
      <c r="G76" s="68"/>
      <c r="H76" s="68"/>
      <c r="I76" s="68"/>
      <c r="J76" s="68"/>
      <c r="K76" s="16"/>
      <c r="L76" s="67" t="s">
        <v>64</v>
      </c>
      <c r="M76" s="67"/>
      <c r="N76" s="68"/>
      <c r="O76" s="68"/>
      <c r="P76" s="68"/>
      <c r="Q76" s="68"/>
      <c r="R76" s="68"/>
      <c r="S76" s="16"/>
      <c r="T76" s="67" t="s">
        <v>60</v>
      </c>
      <c r="U76" s="68"/>
      <c r="V76" s="68"/>
      <c r="W76" s="68"/>
      <c r="X76" s="1"/>
      <c r="Y76" s="69"/>
      <c r="Z76" s="40" t="s">
        <v>6</v>
      </c>
      <c r="AA76" s="1"/>
      <c r="AB76" s="1"/>
    </row>
    <row r="77" spans="1:28" ht="12.75">
      <c r="A77" s="1"/>
      <c r="B77" s="1"/>
      <c r="C77" s="9"/>
      <c r="D77" s="10" t="s">
        <v>16</v>
      </c>
      <c r="E77" s="11" t="s">
        <v>17</v>
      </c>
      <c r="F77" s="10"/>
      <c r="G77" s="10" t="s">
        <v>16</v>
      </c>
      <c r="H77" s="10" t="s">
        <v>39</v>
      </c>
      <c r="I77" s="10" t="s">
        <v>73</v>
      </c>
      <c r="J77" s="10" t="s">
        <v>53</v>
      </c>
      <c r="K77" s="11" t="s">
        <v>17</v>
      </c>
      <c r="L77" s="10"/>
      <c r="M77" s="10"/>
      <c r="N77" s="10" t="s">
        <v>58</v>
      </c>
      <c r="O77" s="10" t="s">
        <v>59</v>
      </c>
      <c r="P77" s="10" t="s">
        <v>39</v>
      </c>
      <c r="Q77" s="10" t="s">
        <v>73</v>
      </c>
      <c r="R77" s="10" t="s">
        <v>53</v>
      </c>
      <c r="S77" s="11" t="s">
        <v>17</v>
      </c>
      <c r="T77" s="17" t="s">
        <v>65</v>
      </c>
      <c r="U77" s="10" t="s">
        <v>61</v>
      </c>
      <c r="V77" s="10" t="s">
        <v>62</v>
      </c>
      <c r="W77" s="10" t="s">
        <v>73</v>
      </c>
      <c r="X77" s="10" t="s">
        <v>53</v>
      </c>
      <c r="Y77" s="11" t="s">
        <v>17</v>
      </c>
      <c r="Z77" s="41" t="s">
        <v>17</v>
      </c>
      <c r="AA77" s="1"/>
      <c r="AB77" s="1"/>
    </row>
    <row r="78" spans="1:28" ht="12.75">
      <c r="A78" s="70" t="s">
        <v>49</v>
      </c>
      <c r="B78" s="2" t="s">
        <v>15</v>
      </c>
      <c r="C78" s="12" t="s">
        <v>20</v>
      </c>
      <c r="D78" s="13" t="s">
        <v>18</v>
      </c>
      <c r="E78" s="14" t="s">
        <v>19</v>
      </c>
      <c r="F78" s="12" t="s">
        <v>38</v>
      </c>
      <c r="G78" s="13" t="s">
        <v>18</v>
      </c>
      <c r="H78" s="13" t="s">
        <v>40</v>
      </c>
      <c r="I78" s="13" t="s">
        <v>52</v>
      </c>
      <c r="J78" s="13" t="s">
        <v>54</v>
      </c>
      <c r="K78" s="14" t="s">
        <v>19</v>
      </c>
      <c r="L78" s="12" t="s">
        <v>56</v>
      </c>
      <c r="M78" s="13" t="s">
        <v>57</v>
      </c>
      <c r="N78" s="13" t="s">
        <v>18</v>
      </c>
      <c r="O78" s="13" t="s">
        <v>18</v>
      </c>
      <c r="P78" s="13" t="s">
        <v>40</v>
      </c>
      <c r="Q78" s="13" t="s">
        <v>52</v>
      </c>
      <c r="R78" s="13" t="s">
        <v>54</v>
      </c>
      <c r="S78" s="14" t="s">
        <v>19</v>
      </c>
      <c r="T78" s="13"/>
      <c r="U78" s="13" t="s">
        <v>18</v>
      </c>
      <c r="V78" s="13" t="s">
        <v>40</v>
      </c>
      <c r="W78" s="13" t="s">
        <v>52</v>
      </c>
      <c r="X78" s="13" t="s">
        <v>54</v>
      </c>
      <c r="Y78" s="14" t="s">
        <v>19</v>
      </c>
      <c r="Z78" s="41" t="s">
        <v>19</v>
      </c>
      <c r="AA78" s="1"/>
      <c r="AB78" s="1"/>
    </row>
    <row r="79" spans="1:28" ht="12.75">
      <c r="A79" s="1" t="s">
        <v>5</v>
      </c>
      <c r="B79" s="5">
        <f>+'FC-LandUses'!$B$8</f>
        <v>5597</v>
      </c>
      <c r="C79" s="76">
        <f>B79*'FC-LandUses'!$B$45</f>
        <v>61.217187499999994</v>
      </c>
      <c r="D79" s="71">
        <f>C79*'FC-LandUses'!$B$74</f>
        <v>30608593749.999996</v>
      </c>
      <c r="E79" s="72">
        <f>D79/B79</f>
        <v>5468749.999999999</v>
      </c>
      <c r="F79" s="5">
        <f>F73</f>
        <v>139</v>
      </c>
      <c r="G79" s="8">
        <f>F79*'FC-LandUses'!$F$57</f>
        <v>1495424272000</v>
      </c>
      <c r="H79" s="8">
        <f>G79*365</f>
        <v>545829859280000</v>
      </c>
      <c r="I79" s="8">
        <f>H79*'FC-Manure Application'!L17</f>
        <v>6822873241000</v>
      </c>
      <c r="J79" s="8">
        <f>I79/30</f>
        <v>227429108033.33334</v>
      </c>
      <c r="K79" s="73">
        <f>J79/B79</f>
        <v>40634108.99291287</v>
      </c>
      <c r="L79" s="5">
        <f>L73</f>
        <v>165</v>
      </c>
      <c r="M79" s="5">
        <f>M73</f>
        <v>0</v>
      </c>
      <c r="N79" s="8">
        <f>L79*'FC-LandUses'!$F$56</f>
        <v>30264748799999.996</v>
      </c>
      <c r="O79" s="8">
        <f>M79*'FC-LandUses'!$F$55</f>
        <v>0</v>
      </c>
      <c r="P79" s="8">
        <f>(N79*365)+(O79*(365-'FC-Cattle Farming'!$B$45))</f>
        <v>11046633311999998</v>
      </c>
      <c r="Q79" s="8">
        <f>(N79*365)*'FC-Manure Application'!L29+(O79*(365-'FC-Cattle Farming'!$B$45))*'FC-Manure Application'!L41</f>
        <v>0</v>
      </c>
      <c r="R79" s="8">
        <f>Q79/30</f>
        <v>0</v>
      </c>
      <c r="S79" s="73">
        <f>R79*('FC-LandUses'!B8/('FC-LandUses'!B8)/'FC-LandUses'!B8)</f>
        <v>0</v>
      </c>
      <c r="T79" s="74">
        <f>T73</f>
        <v>0</v>
      </c>
      <c r="U79" s="8">
        <f>T79*'FC-LandUses'!$H$59</f>
        <v>0</v>
      </c>
      <c r="V79" s="8">
        <f>U79*365</f>
        <v>0</v>
      </c>
      <c r="W79" s="8">
        <f>V79*'FC-Manure Application'!L41</f>
        <v>0</v>
      </c>
      <c r="X79" s="8">
        <f>W79/30</f>
        <v>0</v>
      </c>
      <c r="Y79" s="73">
        <f>X79/B79</f>
        <v>0</v>
      </c>
      <c r="Z79" s="75">
        <f>E79+K79+S79+Y79</f>
        <v>46102858.99291287</v>
      </c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67" t="s">
        <v>12</v>
      </c>
      <c r="D82" s="68"/>
      <c r="E82" s="16"/>
      <c r="F82" s="67" t="s">
        <v>63</v>
      </c>
      <c r="G82" s="68"/>
      <c r="H82" s="68"/>
      <c r="I82" s="68"/>
      <c r="J82" s="68"/>
      <c r="K82" s="16"/>
      <c r="L82" s="67" t="s">
        <v>64</v>
      </c>
      <c r="M82" s="67"/>
      <c r="N82" s="68"/>
      <c r="O82" s="68"/>
      <c r="P82" s="68"/>
      <c r="Q82" s="68"/>
      <c r="R82" s="68"/>
      <c r="S82" s="16"/>
      <c r="T82" s="67" t="s">
        <v>60</v>
      </c>
      <c r="U82" s="68"/>
      <c r="V82" s="68"/>
      <c r="W82" s="68"/>
      <c r="X82" s="1"/>
      <c r="Y82" s="69"/>
      <c r="Z82" s="40" t="s">
        <v>6</v>
      </c>
      <c r="AA82" s="1"/>
      <c r="AB82" s="1"/>
    </row>
    <row r="83" spans="1:28" ht="12.75">
      <c r="A83" s="1"/>
      <c r="B83" s="1"/>
      <c r="C83" s="9"/>
      <c r="D83" s="10" t="s">
        <v>16</v>
      </c>
      <c r="E83" s="11" t="s">
        <v>17</v>
      </c>
      <c r="F83" s="10"/>
      <c r="G83" s="10" t="s">
        <v>16</v>
      </c>
      <c r="H83" s="10" t="s">
        <v>39</v>
      </c>
      <c r="I83" s="10" t="s">
        <v>73</v>
      </c>
      <c r="J83" s="10" t="s">
        <v>53</v>
      </c>
      <c r="K83" s="11" t="s">
        <v>17</v>
      </c>
      <c r="L83" s="10"/>
      <c r="M83" s="10"/>
      <c r="N83" s="10" t="s">
        <v>58</v>
      </c>
      <c r="O83" s="10" t="s">
        <v>59</v>
      </c>
      <c r="P83" s="10" t="s">
        <v>39</v>
      </c>
      <c r="Q83" s="10" t="s">
        <v>73</v>
      </c>
      <c r="R83" s="10" t="s">
        <v>53</v>
      </c>
      <c r="S83" s="11" t="s">
        <v>17</v>
      </c>
      <c r="T83" s="17" t="s">
        <v>65</v>
      </c>
      <c r="U83" s="10" t="s">
        <v>61</v>
      </c>
      <c r="V83" s="10" t="s">
        <v>62</v>
      </c>
      <c r="W83" s="10" t="s">
        <v>73</v>
      </c>
      <c r="X83" s="10" t="s">
        <v>53</v>
      </c>
      <c r="Y83" s="11" t="s">
        <v>17</v>
      </c>
      <c r="Z83" s="41" t="s">
        <v>17</v>
      </c>
      <c r="AA83" s="1"/>
      <c r="AB83" s="1"/>
    </row>
    <row r="84" spans="1:28" ht="12.75">
      <c r="A84" s="70" t="s">
        <v>50</v>
      </c>
      <c r="B84" s="2" t="s">
        <v>15</v>
      </c>
      <c r="C84" s="12" t="s">
        <v>20</v>
      </c>
      <c r="D84" s="13" t="s">
        <v>18</v>
      </c>
      <c r="E84" s="14" t="s">
        <v>19</v>
      </c>
      <c r="F84" s="12" t="s">
        <v>38</v>
      </c>
      <c r="G84" s="13" t="s">
        <v>18</v>
      </c>
      <c r="H84" s="13" t="s">
        <v>40</v>
      </c>
      <c r="I84" s="13" t="s">
        <v>52</v>
      </c>
      <c r="J84" s="13" t="s">
        <v>54</v>
      </c>
      <c r="K84" s="14" t="s">
        <v>19</v>
      </c>
      <c r="L84" s="12" t="s">
        <v>56</v>
      </c>
      <c r="M84" s="13" t="s">
        <v>57</v>
      </c>
      <c r="N84" s="13" t="s">
        <v>18</v>
      </c>
      <c r="O84" s="13" t="s">
        <v>18</v>
      </c>
      <c r="P84" s="13" t="s">
        <v>40</v>
      </c>
      <c r="Q84" s="13" t="s">
        <v>52</v>
      </c>
      <c r="R84" s="13" t="s">
        <v>54</v>
      </c>
      <c r="S84" s="14" t="s">
        <v>19</v>
      </c>
      <c r="T84" s="13"/>
      <c r="U84" s="13" t="s">
        <v>18</v>
      </c>
      <c r="V84" s="13" t="s">
        <v>40</v>
      </c>
      <c r="W84" s="13" t="s">
        <v>52</v>
      </c>
      <c r="X84" s="13" t="s">
        <v>54</v>
      </c>
      <c r="Y84" s="14" t="s">
        <v>19</v>
      </c>
      <c r="Z84" s="41" t="s">
        <v>19</v>
      </c>
      <c r="AA84" s="1"/>
      <c r="AB84" s="1"/>
    </row>
    <row r="85" spans="1:28" ht="12.75">
      <c r="A85" s="1" t="s">
        <v>5</v>
      </c>
      <c r="B85" s="5">
        <f>+'FC-LandUses'!$B$8</f>
        <v>5597</v>
      </c>
      <c r="C85" s="76">
        <f>B85*'FC-LandUses'!$B$45</f>
        <v>61.217187499999994</v>
      </c>
      <c r="D85" s="71">
        <f>C85*'FC-LandUses'!$B$74</f>
        <v>30608593749.999996</v>
      </c>
      <c r="E85" s="72">
        <f>D85/B85</f>
        <v>5468749.999999999</v>
      </c>
      <c r="F85" s="5">
        <f>F79</f>
        <v>139</v>
      </c>
      <c r="G85" s="8">
        <f>F85*'FC-LandUses'!$F$57</f>
        <v>1495424272000</v>
      </c>
      <c r="H85" s="8">
        <f>G85*365</f>
        <v>545829859280000</v>
      </c>
      <c r="I85" s="8">
        <f>H85*'FC-Manure Application'!M17</f>
        <v>6822873241000</v>
      </c>
      <c r="J85" s="8">
        <f>I85/31</f>
        <v>220092685193.5484</v>
      </c>
      <c r="K85" s="73">
        <f>J85/B85</f>
        <v>39323331.28346407</v>
      </c>
      <c r="L85" s="5">
        <f>L79</f>
        <v>165</v>
      </c>
      <c r="M85" s="5">
        <f>M79</f>
        <v>0</v>
      </c>
      <c r="N85" s="8">
        <f>L85*'FC-LandUses'!$F$56</f>
        <v>30264748799999.996</v>
      </c>
      <c r="O85" s="8">
        <f>M85*'FC-LandUses'!$F$55</f>
        <v>0</v>
      </c>
      <c r="P85" s="8">
        <f>(N85*365)+(O85*(365-'FC-Cattle Farming'!$B$45))</f>
        <v>11046633311999998</v>
      </c>
      <c r="Q85" s="8">
        <f>(N85*365)*'FC-Manure Application'!M29+(O85*(365-'FC-Cattle Farming'!$B$45))*'FC-Manure Application'!M41</f>
        <v>0</v>
      </c>
      <c r="R85" s="8">
        <f>Q85/31</f>
        <v>0</v>
      </c>
      <c r="S85" s="73">
        <f>R85*('FC-LandUses'!B8/('FC-LandUses'!B8)/'FC-LandUses'!B8)</f>
        <v>0</v>
      </c>
      <c r="T85" s="74">
        <f>T79</f>
        <v>0</v>
      </c>
      <c r="U85" s="8">
        <f>T85*'FC-LandUses'!$H$59</f>
        <v>0</v>
      </c>
      <c r="V85" s="8">
        <f>U85*365</f>
        <v>0</v>
      </c>
      <c r="W85" s="8">
        <f>V85*'FC-Manure Application'!M41</f>
        <v>0</v>
      </c>
      <c r="X85" s="8">
        <f>W85/31</f>
        <v>0</v>
      </c>
      <c r="Y85" s="73">
        <f>X85/B85</f>
        <v>0</v>
      </c>
      <c r="Z85" s="75">
        <f>E85+K85+S85+Y85</f>
        <v>44792081.28346407</v>
      </c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8"/>
      <c r="J88" s="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</sheetData>
  <printOptions/>
  <pageMargins left="0.5" right="0.5" top="0.25" bottom="0.25" header="0.5" footer="0.5"/>
  <pageSetup horizontalDpi="300" verticalDpi="300" orientation="landscape" scale="75" r:id="rId1"/>
  <rowBreaks count="3" manualBreakCount="3">
    <brk id="33" max="25" man="1"/>
    <brk id="51" max="25" man="1"/>
    <brk id="69" max="25" man="1"/>
  </rowBreaks>
  <colBreaks count="1" manualBreakCount="1">
    <brk id="19" min="2" max="18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24"/>
  <sheetViews>
    <sheetView showGridLines="0" workbookViewId="0" topLeftCell="A1">
      <selection activeCell="D17" sqref="D17"/>
    </sheetView>
  </sheetViews>
  <sheetFormatPr defaultColWidth="9.140625" defaultRowHeight="12.75"/>
  <cols>
    <col min="1" max="1" width="14.57421875" style="19" customWidth="1"/>
    <col min="2" max="2" width="12.421875" style="19" customWidth="1"/>
    <col min="3" max="3" width="15.7109375" style="19" customWidth="1"/>
    <col min="4" max="4" width="18.28125" style="19" customWidth="1"/>
    <col min="5" max="5" width="19.00390625" style="19" customWidth="1"/>
    <col min="6" max="6" width="11.28125" style="19" customWidth="1"/>
    <col min="7" max="9" width="9.140625" style="19" customWidth="1"/>
  </cols>
  <sheetData>
    <row r="1" spans="1:10" s="196" customFormat="1" ht="23.25" thickBot="1">
      <c r="A1" s="226" t="s">
        <v>498</v>
      </c>
      <c r="B1" s="226"/>
      <c r="C1" s="226"/>
      <c r="D1" s="226"/>
      <c r="E1" s="226"/>
      <c r="F1" s="226"/>
      <c r="G1" s="226"/>
      <c r="H1" s="226"/>
      <c r="I1" s="226"/>
      <c r="J1" s="226"/>
    </row>
    <row r="4" spans="1:6" s="149" customFormat="1" ht="18" thickBot="1">
      <c r="A4" s="151" t="s">
        <v>499</v>
      </c>
      <c r="B4" s="151"/>
      <c r="C4" s="151"/>
      <c r="D4" s="151"/>
      <c r="E4" s="151"/>
      <c r="F4" s="151"/>
    </row>
    <row r="5" ht="12.75">
      <c r="A5" s="23" t="s">
        <v>101</v>
      </c>
    </row>
    <row r="7" spans="1:6" s="128" customFormat="1" ht="40.5" customHeight="1">
      <c r="A7" s="128" t="s">
        <v>516</v>
      </c>
      <c r="B7" s="143"/>
      <c r="C7" s="143" t="s">
        <v>12</v>
      </c>
      <c r="D7" s="143" t="s">
        <v>501</v>
      </c>
      <c r="E7" s="143" t="s">
        <v>500</v>
      </c>
      <c r="F7" s="143" t="s">
        <v>502</v>
      </c>
    </row>
    <row r="8" spans="1:6" ht="13.5" thickBot="1">
      <c r="A8" s="153"/>
      <c r="B8" s="225" t="s">
        <v>15</v>
      </c>
      <c r="C8" s="236" t="s">
        <v>20</v>
      </c>
      <c r="D8" s="236" t="s">
        <v>18</v>
      </c>
      <c r="E8" s="236" t="s">
        <v>19</v>
      </c>
      <c r="F8" s="236" t="s">
        <v>19</v>
      </c>
    </row>
    <row r="9" spans="1:6" ht="13.5" thickTop="1">
      <c r="A9" s="87"/>
      <c r="B9" s="238">
        <f>'FC-LandUses'!C8</f>
        <v>2117</v>
      </c>
      <c r="C9" s="277">
        <f>B9*'FC-LandUses'!$B$47</f>
        <v>36.385937500000004</v>
      </c>
      <c r="D9" s="278">
        <f>C9*'FC-LandUses'!$B$74</f>
        <v>18192968750.000004</v>
      </c>
      <c r="E9" s="277">
        <f>IF(D9&lt;&gt;0,D9/B9,0)</f>
        <v>8593750.000000002</v>
      </c>
      <c r="F9" s="242">
        <f>E9</f>
        <v>8593750.000000002</v>
      </c>
    </row>
    <row r="10" spans="1:2" ht="12.75">
      <c r="A10"/>
      <c r="B10" s="21">
        <f>SUM(B9:B9)</f>
        <v>2117</v>
      </c>
    </row>
    <row r="11" spans="1:9" ht="12.75">
      <c r="A11" s="21"/>
      <c r="I11"/>
    </row>
    <row r="12" spans="1:9" ht="12.75">
      <c r="A12" s="21"/>
      <c r="I12"/>
    </row>
    <row r="14" spans="1:10" s="149" customFormat="1" ht="18" thickBot="1">
      <c r="A14" s="151" t="s">
        <v>504</v>
      </c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1" ht="12.75">
      <c r="A15" s="23" t="s">
        <v>102</v>
      </c>
      <c r="J15" s="19"/>
      <c r="K15" s="19"/>
    </row>
    <row r="16" spans="1:11" ht="12.75">
      <c r="A16" s="26" t="s">
        <v>503</v>
      </c>
      <c r="J16" s="19"/>
      <c r="K16" s="19"/>
    </row>
    <row r="17" spans="1:10" s="26" customFormat="1" ht="12.75">
      <c r="A17" s="26" t="s">
        <v>515</v>
      </c>
      <c r="J17"/>
    </row>
    <row r="18" s="26" customFormat="1" ht="12.75"/>
    <row r="19" spans="1:11" ht="12.75">
      <c r="A19" s="51"/>
      <c r="B19" s="279" t="s">
        <v>183</v>
      </c>
      <c r="C19" s="280"/>
      <c r="D19" s="279" t="s">
        <v>179</v>
      </c>
      <c r="E19" s="280"/>
      <c r="F19" s="51"/>
      <c r="G19" s="280"/>
      <c r="H19" s="279"/>
      <c r="I19" s="280"/>
      <c r="J19" s="17" t="s">
        <v>6</v>
      </c>
      <c r="K19" s="1"/>
    </row>
    <row r="20" spans="1:10" s="1" customFormat="1" ht="9.75">
      <c r="A20" s="51" t="s">
        <v>516</v>
      </c>
      <c r="B20" s="279" t="s">
        <v>184</v>
      </c>
      <c r="C20" s="17" t="s">
        <v>17</v>
      </c>
      <c r="D20" s="279" t="s">
        <v>180</v>
      </c>
      <c r="E20" s="17" t="s">
        <v>17</v>
      </c>
      <c r="F20" s="279" t="s">
        <v>170</v>
      </c>
      <c r="G20" s="17" t="s">
        <v>17</v>
      </c>
      <c r="H20" s="279" t="s">
        <v>182</v>
      </c>
      <c r="I20" s="17" t="s">
        <v>17</v>
      </c>
      <c r="J20" s="17" t="s">
        <v>17</v>
      </c>
    </row>
    <row r="21" spans="1:10" ht="13.5" thickBot="1">
      <c r="A21" s="281" t="s">
        <v>216</v>
      </c>
      <c r="B21" s="54" t="s">
        <v>15</v>
      </c>
      <c r="C21" s="282" t="s">
        <v>19</v>
      </c>
      <c r="D21" s="54" t="s">
        <v>15</v>
      </c>
      <c r="E21" s="282" t="s">
        <v>19</v>
      </c>
      <c r="F21" s="54" t="s">
        <v>15</v>
      </c>
      <c r="G21" s="282" t="s">
        <v>19</v>
      </c>
      <c r="H21" s="54" t="s">
        <v>181</v>
      </c>
      <c r="I21" s="282" t="s">
        <v>19</v>
      </c>
      <c r="J21" s="282" t="s">
        <v>19</v>
      </c>
    </row>
    <row r="22" spans="1:10" s="1" customFormat="1" ht="10.5" thickTop="1">
      <c r="A22" s="283"/>
      <c r="B22" s="284">
        <f>+'FC-LandUses'!C17</f>
        <v>0</v>
      </c>
      <c r="C22" s="285">
        <f>IF(B22&lt;&gt;0,'FC-LandUses'!$D$29,0)</f>
        <v>0</v>
      </c>
      <c r="D22" s="284">
        <f>+'FC-LandUses'!C18</f>
        <v>181</v>
      </c>
      <c r="E22" s="285">
        <f>IF(D22&lt;&gt;0,AVERAGE('FC-LandUses'!$D$28,'FC-LandUses'!$D$29,'FC-LandUses'!$D$30,'FC-LandUses'!$D$31,'FC-LandUses'!$D$32),0)</f>
        <v>11327009.751473254</v>
      </c>
      <c r="F22" s="284">
        <f>+'FC-LandUses'!C19</f>
        <v>0</v>
      </c>
      <c r="G22" s="285">
        <f>IF(F22&lt;&gt;0,AVERAGE('FC-LandUses'!$D$30,'FC-LandUses'!$D$31,'FC-LandUses'!$D$32),0)</f>
        <v>0</v>
      </c>
      <c r="H22" s="284">
        <f>+'FC-LandUses'!C20</f>
        <v>0</v>
      </c>
      <c r="I22" s="285">
        <f>IF(H22&lt;&gt;0,'FC-LandUses'!$D$28,0)</f>
        <v>0</v>
      </c>
      <c r="J22" s="285">
        <f>IF((B22+D22+F22+H22)=0,0,((B22*C22+D22*E22+F22*G22+H22*I22)/(B22+D22+F22+H22)))</f>
        <v>11327009.751473254</v>
      </c>
    </row>
    <row r="23" spans="1:11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1"/>
    </row>
    <row r="24" spans="10:11" ht="12.75">
      <c r="J24" s="19"/>
      <c r="K24" s="19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91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11.7109375" style="0" customWidth="1"/>
    <col min="2" max="2" width="4.7109375" style="0" customWidth="1"/>
    <col min="3" max="3" width="5.7109375" style="0" customWidth="1"/>
    <col min="6" max="6" width="5.7109375" style="0" customWidth="1"/>
    <col min="7" max="8" width="6.7109375" style="0" customWidth="1"/>
    <col min="9" max="10" width="8.7109375" style="0" customWidth="1"/>
    <col min="11" max="11" width="6.7109375" style="0" customWidth="1"/>
    <col min="12" max="12" width="9.7109375" style="0" customWidth="1"/>
    <col min="14" max="15" width="9.7109375" style="0" customWidth="1"/>
    <col min="17" max="17" width="8.7109375" style="0" customWidth="1"/>
    <col min="20" max="20" width="8.7109375" style="0" customWidth="1"/>
    <col min="21" max="23" width="7.7109375" style="0" customWidth="1"/>
    <col min="24" max="24" width="8.7109375" style="0" customWidth="1"/>
    <col min="25" max="25" width="7.7109375" style="0" customWidth="1"/>
    <col min="26" max="26" width="11.7109375" style="0" customWidth="1"/>
    <col min="27" max="27" width="10.7109375" style="0" customWidth="1"/>
    <col min="28" max="29" width="7.7109375" style="0" customWidth="1"/>
    <col min="30" max="30" width="8.7109375" style="0" customWidth="1"/>
    <col min="31" max="31" width="9.7109375" style="0" customWidth="1"/>
  </cols>
  <sheetData>
    <row r="1" spans="1:12" s="196" customFormat="1" ht="23.25" thickBot="1">
      <c r="A1" s="226" t="s">
        <v>534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3" spans="2:32" ht="12.75">
      <c r="B3" s="53" t="s">
        <v>123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12.75">
      <c r="B4" s="5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12.75">
      <c r="B5" s="28" t="s">
        <v>185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2.75">
      <c r="B6" s="28" t="s">
        <v>117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2.75">
      <c r="B7" s="28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12.75">
      <c r="B8" s="28" t="s">
        <v>127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12.75">
      <c r="B9" s="28" t="s">
        <v>126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12.75">
      <c r="B10" s="28" t="s">
        <v>128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12.75">
      <c r="B11" s="28" t="s">
        <v>131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61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 t="s">
        <v>212</v>
      </c>
      <c r="R13" s="1"/>
      <c r="S13" s="1"/>
      <c r="T13" s="1"/>
      <c r="U13" s="1"/>
      <c r="V13" s="1"/>
      <c r="W13" s="1" t="s">
        <v>216</v>
      </c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t="s">
        <v>213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"/>
      <c r="B15" s="1"/>
      <c r="C15" s="67" t="s">
        <v>12</v>
      </c>
      <c r="D15" s="68"/>
      <c r="E15" s="16"/>
      <c r="F15" s="67" t="s">
        <v>41</v>
      </c>
      <c r="G15" s="68"/>
      <c r="H15" s="68"/>
      <c r="I15" s="68"/>
      <c r="J15" s="68"/>
      <c r="K15" s="16"/>
      <c r="L15" s="67" t="s">
        <v>55</v>
      </c>
      <c r="M15" s="67"/>
      <c r="N15" s="68"/>
      <c r="O15" s="68"/>
      <c r="P15" s="68"/>
      <c r="Q15" s="68"/>
      <c r="R15" s="68"/>
      <c r="S15" s="16"/>
      <c r="T15" s="67" t="s">
        <v>125</v>
      </c>
      <c r="U15" s="67"/>
      <c r="V15" s="67"/>
      <c r="W15" s="68"/>
      <c r="X15" s="16"/>
      <c r="Y15" s="67" t="s">
        <v>60</v>
      </c>
      <c r="Z15" s="68"/>
      <c r="AA15" s="68"/>
      <c r="AB15" s="68"/>
      <c r="AC15" s="1"/>
      <c r="AD15" s="69"/>
      <c r="AE15" s="40" t="s">
        <v>6</v>
      </c>
      <c r="AF15" s="1"/>
    </row>
    <row r="16" spans="1:32" ht="12.75">
      <c r="A16" s="1"/>
      <c r="B16" s="1" t="s">
        <v>189</v>
      </c>
      <c r="C16" s="9"/>
      <c r="D16" s="10" t="s">
        <v>16</v>
      </c>
      <c r="E16" s="11" t="s">
        <v>17</v>
      </c>
      <c r="F16" s="10"/>
      <c r="G16" s="10" t="s">
        <v>16</v>
      </c>
      <c r="H16" s="10" t="s">
        <v>39</v>
      </c>
      <c r="I16" s="10" t="s">
        <v>51</v>
      </c>
      <c r="J16" s="10" t="s">
        <v>53</v>
      </c>
      <c r="K16" s="11" t="s">
        <v>17</v>
      </c>
      <c r="L16" s="10"/>
      <c r="M16" s="10"/>
      <c r="N16" s="10" t="s">
        <v>58</v>
      </c>
      <c r="O16" s="10" t="s">
        <v>59</v>
      </c>
      <c r="P16" s="10" t="s">
        <v>116</v>
      </c>
      <c r="Q16" s="10" t="s">
        <v>73</v>
      </c>
      <c r="R16" s="10" t="s">
        <v>53</v>
      </c>
      <c r="S16" s="11" t="s">
        <v>17</v>
      </c>
      <c r="T16" s="9"/>
      <c r="U16" s="17"/>
      <c r="V16" s="17" t="s">
        <v>186</v>
      </c>
      <c r="W16" s="10" t="s">
        <v>16</v>
      </c>
      <c r="X16" s="11" t="s">
        <v>17</v>
      </c>
      <c r="Y16" s="17" t="s">
        <v>65</v>
      </c>
      <c r="Z16" s="10" t="s">
        <v>61</v>
      </c>
      <c r="AA16" s="10" t="s">
        <v>62</v>
      </c>
      <c r="AB16" s="10" t="s">
        <v>51</v>
      </c>
      <c r="AC16" s="10" t="s">
        <v>53</v>
      </c>
      <c r="AD16" s="11" t="s">
        <v>17</v>
      </c>
      <c r="AE16" s="41" t="s">
        <v>17</v>
      </c>
      <c r="AF16" s="1"/>
    </row>
    <row r="17" spans="1:32" ht="12.75">
      <c r="A17" s="70" t="s">
        <v>14</v>
      </c>
      <c r="B17" s="1" t="s">
        <v>190</v>
      </c>
      <c r="C17" s="12" t="s">
        <v>20</v>
      </c>
      <c r="D17" s="13" t="s">
        <v>18</v>
      </c>
      <c r="E17" s="14" t="s">
        <v>19</v>
      </c>
      <c r="F17" s="12" t="s">
        <v>38</v>
      </c>
      <c r="G17" s="13" t="s">
        <v>18</v>
      </c>
      <c r="H17" s="13" t="s">
        <v>40</v>
      </c>
      <c r="I17" s="13" t="s">
        <v>52</v>
      </c>
      <c r="J17" s="13" t="s">
        <v>54</v>
      </c>
      <c r="K17" s="14" t="s">
        <v>19</v>
      </c>
      <c r="L17" s="12" t="s">
        <v>192</v>
      </c>
      <c r="M17" s="13" t="s">
        <v>57</v>
      </c>
      <c r="N17" s="13" t="s">
        <v>18</v>
      </c>
      <c r="O17" s="13" t="s">
        <v>18</v>
      </c>
      <c r="P17" s="13" t="s">
        <v>40</v>
      </c>
      <c r="Q17" s="13" t="s">
        <v>52</v>
      </c>
      <c r="R17" s="13" t="s">
        <v>54</v>
      </c>
      <c r="S17" s="14" t="s">
        <v>19</v>
      </c>
      <c r="T17" s="12" t="s">
        <v>57</v>
      </c>
      <c r="U17" s="13" t="s">
        <v>122</v>
      </c>
      <c r="V17" s="13" t="s">
        <v>187</v>
      </c>
      <c r="W17" s="13" t="s">
        <v>18</v>
      </c>
      <c r="X17" s="14" t="s">
        <v>19</v>
      </c>
      <c r="Y17" s="13"/>
      <c r="Z17" s="13" t="s">
        <v>18</v>
      </c>
      <c r="AA17" s="13" t="s">
        <v>40</v>
      </c>
      <c r="AB17" s="13" t="s">
        <v>52</v>
      </c>
      <c r="AC17" s="13" t="s">
        <v>54</v>
      </c>
      <c r="AD17" s="14" t="s">
        <v>19</v>
      </c>
      <c r="AE17" s="41" t="s">
        <v>19</v>
      </c>
      <c r="AF17" s="1"/>
    </row>
    <row r="18" spans="1:32" ht="12.75">
      <c r="A18" s="1" t="s">
        <v>5</v>
      </c>
      <c r="B18" s="5">
        <f>'FC-LandUses'!E8</f>
        <v>2160</v>
      </c>
      <c r="C18" s="80">
        <f>B18*'FC-LandUses'!$B$45</f>
        <v>23.625</v>
      </c>
      <c r="D18" s="71">
        <f>C18*'FC-LandUses'!$B$74</f>
        <v>11812500000</v>
      </c>
      <c r="E18" s="72">
        <f>D18/B18</f>
        <v>5468750</v>
      </c>
      <c r="F18" s="5"/>
      <c r="G18" s="8"/>
      <c r="H18" s="8"/>
      <c r="I18" s="8"/>
      <c r="J18" s="8"/>
      <c r="K18" s="69"/>
      <c r="L18" s="5">
        <v>0</v>
      </c>
      <c r="M18" s="5">
        <f>'FC-LandUses'!A39</f>
        <v>220</v>
      </c>
      <c r="N18" s="8">
        <f>L18*'FC-LandUses'!$F$56</f>
        <v>0</v>
      </c>
      <c r="O18" s="8">
        <f>M18*'FC-LandUses'!$F$55</f>
        <v>25124000000000</v>
      </c>
      <c r="P18" s="8">
        <f>(N18*365)+(O18*(365-'FC-Cattle Farming'!$B$45))</f>
        <v>0</v>
      </c>
      <c r="Q18" s="8">
        <f>(N18*365)*'FC-Manure Application'!B29+(O18*(365-'FC-Cattle Farming'!$B$45))*'FC-Manure Application'!B41</f>
        <v>0</v>
      </c>
      <c r="R18" s="8">
        <f>Q18/31</f>
        <v>0</v>
      </c>
      <c r="S18" s="77">
        <f>R18*('FC-LandUses'!E8/('FC-LandUses'!E8)/'FC-LandUses'!E8)</f>
        <v>0</v>
      </c>
      <c r="T18" s="78">
        <f>'FC-LandUses'!A39</f>
        <v>220</v>
      </c>
      <c r="U18" s="78">
        <f>+T18*'FC-Cattle Farming'!$B$17</f>
        <v>220</v>
      </c>
      <c r="V18" s="79">
        <f>+(1-'FC-Cattle Farming'!$C$17)</f>
        <v>1</v>
      </c>
      <c r="W18" s="71">
        <f>(1-'OPT-Decisions'!$C$36)*U18*V18*'FC-LandUses'!$F$55</f>
        <v>25124000000000</v>
      </c>
      <c r="X18" s="72">
        <f>W18/B18</f>
        <v>11631481481.481482</v>
      </c>
      <c r="Y18" s="74"/>
      <c r="Z18" s="8"/>
      <c r="AA18" s="8"/>
      <c r="AB18" s="8"/>
      <c r="AC18" s="8"/>
      <c r="AD18" s="73"/>
      <c r="AE18" s="75">
        <f>E18+K18+S18+X18+AD18</f>
        <v>11636950231.481482</v>
      </c>
      <c r="AF18" s="1"/>
    </row>
    <row r="19" spans="1:3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/>
      <c r="B20" s="1"/>
      <c r="C20" s="67" t="s">
        <v>12</v>
      </c>
      <c r="D20" s="68"/>
      <c r="E20" s="16"/>
      <c r="F20" s="67" t="s">
        <v>41</v>
      </c>
      <c r="G20" s="68"/>
      <c r="H20" s="68"/>
      <c r="I20" s="68"/>
      <c r="J20" s="68"/>
      <c r="K20" s="16"/>
      <c r="L20" s="67" t="s">
        <v>55</v>
      </c>
      <c r="M20" s="67"/>
      <c r="N20" s="68"/>
      <c r="O20" s="68"/>
      <c r="P20" s="68"/>
      <c r="Q20" s="68"/>
      <c r="R20" s="68"/>
      <c r="S20" s="16"/>
      <c r="T20" s="67" t="s">
        <v>66</v>
      </c>
      <c r="U20" s="67"/>
      <c r="V20" s="67"/>
      <c r="W20" s="68"/>
      <c r="X20" s="16"/>
      <c r="Y20" s="67" t="s">
        <v>60</v>
      </c>
      <c r="Z20" s="68"/>
      <c r="AA20" s="68"/>
      <c r="AB20" s="68"/>
      <c r="AC20" s="1"/>
      <c r="AD20" s="69"/>
      <c r="AE20" s="40" t="s">
        <v>6</v>
      </c>
      <c r="AF20" s="1"/>
    </row>
    <row r="21" spans="1:32" ht="12.75">
      <c r="A21" s="1"/>
      <c r="B21" s="1" t="s">
        <v>191</v>
      </c>
      <c r="C21" s="9"/>
      <c r="D21" s="10" t="s">
        <v>16</v>
      </c>
      <c r="E21" s="11" t="s">
        <v>17</v>
      </c>
      <c r="F21" s="10"/>
      <c r="G21" s="10" t="s">
        <v>16</v>
      </c>
      <c r="H21" s="10" t="s">
        <v>39</v>
      </c>
      <c r="I21" s="10" t="s">
        <v>51</v>
      </c>
      <c r="J21" s="10" t="s">
        <v>53</v>
      </c>
      <c r="K21" s="11" t="s">
        <v>17</v>
      </c>
      <c r="L21" s="10"/>
      <c r="M21" s="10"/>
      <c r="N21" s="10" t="s">
        <v>58</v>
      </c>
      <c r="O21" s="10" t="s">
        <v>59</v>
      </c>
      <c r="P21" s="10" t="s">
        <v>39</v>
      </c>
      <c r="Q21" s="10" t="s">
        <v>73</v>
      </c>
      <c r="R21" s="10" t="s">
        <v>53</v>
      </c>
      <c r="S21" s="11" t="s">
        <v>17</v>
      </c>
      <c r="T21" s="9"/>
      <c r="U21" s="17"/>
      <c r="V21" s="17" t="s">
        <v>188</v>
      </c>
      <c r="W21" s="10" t="s">
        <v>16</v>
      </c>
      <c r="X21" s="11" t="s">
        <v>17</v>
      </c>
      <c r="Y21" s="17" t="s">
        <v>65</v>
      </c>
      <c r="Z21" s="10" t="s">
        <v>61</v>
      </c>
      <c r="AA21" s="10" t="s">
        <v>62</v>
      </c>
      <c r="AB21" s="10" t="s">
        <v>51</v>
      </c>
      <c r="AC21" s="10" t="s">
        <v>53</v>
      </c>
      <c r="AD21" s="11" t="s">
        <v>17</v>
      </c>
      <c r="AE21" s="41" t="s">
        <v>17</v>
      </c>
      <c r="AF21" s="1"/>
    </row>
    <row r="22" spans="1:32" ht="12.75">
      <c r="A22" s="70" t="s">
        <v>42</v>
      </c>
      <c r="B22" s="1" t="s">
        <v>190</v>
      </c>
      <c r="C22" s="12" t="s">
        <v>20</v>
      </c>
      <c r="D22" s="13" t="s">
        <v>18</v>
      </c>
      <c r="E22" s="14" t="s">
        <v>19</v>
      </c>
      <c r="F22" s="12" t="s">
        <v>38</v>
      </c>
      <c r="G22" s="13" t="s">
        <v>18</v>
      </c>
      <c r="H22" s="13" t="s">
        <v>40</v>
      </c>
      <c r="I22" s="13" t="s">
        <v>52</v>
      </c>
      <c r="J22" s="13" t="s">
        <v>54</v>
      </c>
      <c r="K22" s="14" t="s">
        <v>19</v>
      </c>
      <c r="L22" s="12" t="s">
        <v>56</v>
      </c>
      <c r="M22" s="13" t="s">
        <v>57</v>
      </c>
      <c r="N22" s="13" t="s">
        <v>18</v>
      </c>
      <c r="O22" s="13" t="s">
        <v>18</v>
      </c>
      <c r="P22" s="13" t="s">
        <v>40</v>
      </c>
      <c r="Q22" s="13" t="s">
        <v>52</v>
      </c>
      <c r="R22" s="13" t="s">
        <v>54</v>
      </c>
      <c r="S22" s="14" t="s">
        <v>19</v>
      </c>
      <c r="T22" s="12" t="s">
        <v>57</v>
      </c>
      <c r="U22" s="13" t="s">
        <v>122</v>
      </c>
      <c r="V22" s="13" t="s">
        <v>187</v>
      </c>
      <c r="W22" s="13" t="s">
        <v>18</v>
      </c>
      <c r="X22" s="14" t="s">
        <v>19</v>
      </c>
      <c r="Y22" s="13"/>
      <c r="Z22" s="13" t="s">
        <v>18</v>
      </c>
      <c r="AA22" s="13" t="s">
        <v>40</v>
      </c>
      <c r="AB22" s="13" t="s">
        <v>52</v>
      </c>
      <c r="AC22" s="13" t="s">
        <v>54</v>
      </c>
      <c r="AD22" s="14" t="s">
        <v>19</v>
      </c>
      <c r="AE22" s="41" t="s">
        <v>19</v>
      </c>
      <c r="AF22" s="1"/>
    </row>
    <row r="23" spans="1:32" ht="12.75">
      <c r="A23" s="1" t="s">
        <v>5</v>
      </c>
      <c r="B23" s="5">
        <f>B18</f>
        <v>2160</v>
      </c>
      <c r="C23" s="80">
        <f>B23*'FC-LandUses'!$B$45</f>
        <v>23.625</v>
      </c>
      <c r="D23" s="71">
        <f>C23*'FC-LandUses'!$B$74</f>
        <v>11812500000</v>
      </c>
      <c r="E23" s="72">
        <f>D23/B23</f>
        <v>5468750</v>
      </c>
      <c r="F23" s="5"/>
      <c r="G23" s="8"/>
      <c r="H23" s="8"/>
      <c r="I23" s="8"/>
      <c r="J23" s="8"/>
      <c r="K23" s="69"/>
      <c r="L23" s="5">
        <f>L18</f>
        <v>0</v>
      </c>
      <c r="M23" s="5">
        <f>M18</f>
        <v>220</v>
      </c>
      <c r="N23" s="8">
        <f>L23*'FC-LandUses'!$F$56</f>
        <v>0</v>
      </c>
      <c r="O23" s="8">
        <f>M23*'FC-LandUses'!$F$55</f>
        <v>25124000000000</v>
      </c>
      <c r="P23" s="8">
        <f>(N23*365)+(O23*(365-'FC-Cattle Farming'!$B$45))</f>
        <v>0</v>
      </c>
      <c r="Q23" s="8">
        <f>(N23*365)*'FC-Manure Application'!C29+(O23*(365-'FC-Cattle Farming'!$B$45))*'FC-Manure Application'!C41</f>
        <v>0</v>
      </c>
      <c r="R23" s="8">
        <f>Q23/28</f>
        <v>0</v>
      </c>
      <c r="S23" s="77">
        <f>R23*('FC-LandUses'!E8/('FC-LandUses'!E8)/'FC-LandUses'!E8)</f>
        <v>0</v>
      </c>
      <c r="T23" s="78">
        <f>T18</f>
        <v>220</v>
      </c>
      <c r="U23" s="78">
        <f>+T23*'FC-Cattle Farming'!$B$18</f>
        <v>220</v>
      </c>
      <c r="V23" s="79">
        <f>+(1-'FC-Cattle Farming'!$C$18)</f>
        <v>1</v>
      </c>
      <c r="W23" s="71">
        <f>(1-'OPT-Decisions'!$C$36)*U23*V23*'FC-LandUses'!$F$55</f>
        <v>25124000000000</v>
      </c>
      <c r="X23" s="72">
        <f>W23/B23</f>
        <v>11631481481.481482</v>
      </c>
      <c r="Y23" s="74"/>
      <c r="Z23" s="8"/>
      <c r="AA23" s="8"/>
      <c r="AB23" s="8"/>
      <c r="AC23" s="8"/>
      <c r="AD23" s="73"/>
      <c r="AE23" s="75">
        <f>E23+K23+S23+X23+AD23</f>
        <v>11636950231.481482</v>
      </c>
      <c r="AF23" s="1"/>
    </row>
    <row r="24" spans="1:3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/>
      <c r="B26" s="1"/>
      <c r="C26" s="67" t="s">
        <v>12</v>
      </c>
      <c r="D26" s="68"/>
      <c r="E26" s="16"/>
      <c r="F26" s="67" t="s">
        <v>41</v>
      </c>
      <c r="G26" s="68"/>
      <c r="H26" s="68"/>
      <c r="I26" s="68"/>
      <c r="J26" s="68"/>
      <c r="K26" s="16"/>
      <c r="L26" s="67" t="s">
        <v>55</v>
      </c>
      <c r="M26" s="67"/>
      <c r="N26" s="68"/>
      <c r="O26" s="68"/>
      <c r="P26" s="68"/>
      <c r="Q26" s="68"/>
      <c r="R26" s="68"/>
      <c r="S26" s="16"/>
      <c r="T26" s="67" t="s">
        <v>66</v>
      </c>
      <c r="U26" s="67"/>
      <c r="V26" s="67"/>
      <c r="W26" s="68"/>
      <c r="X26" s="16"/>
      <c r="Y26" s="67" t="s">
        <v>60</v>
      </c>
      <c r="Z26" s="68"/>
      <c r="AA26" s="68"/>
      <c r="AB26" s="68"/>
      <c r="AC26" s="1"/>
      <c r="AD26" s="69"/>
      <c r="AE26" s="40" t="s">
        <v>6</v>
      </c>
      <c r="AF26" s="1"/>
    </row>
    <row r="27" spans="1:32" ht="12.75">
      <c r="A27" s="1"/>
      <c r="B27" s="1" t="s">
        <v>189</v>
      </c>
      <c r="C27" s="9"/>
      <c r="D27" s="10" t="s">
        <v>16</v>
      </c>
      <c r="E27" s="11" t="s">
        <v>17</v>
      </c>
      <c r="F27" s="10"/>
      <c r="G27" s="10" t="s">
        <v>16</v>
      </c>
      <c r="H27" s="10" t="s">
        <v>39</v>
      </c>
      <c r="I27" s="10" t="s">
        <v>51</v>
      </c>
      <c r="J27" s="10" t="s">
        <v>53</v>
      </c>
      <c r="K27" s="11" t="s">
        <v>17</v>
      </c>
      <c r="L27" s="10"/>
      <c r="M27" s="10"/>
      <c r="N27" s="10" t="s">
        <v>58</v>
      </c>
      <c r="O27" s="10" t="s">
        <v>59</v>
      </c>
      <c r="P27" s="10" t="s">
        <v>39</v>
      </c>
      <c r="Q27" s="10" t="s">
        <v>73</v>
      </c>
      <c r="R27" s="10" t="s">
        <v>53</v>
      </c>
      <c r="S27" s="11" t="s">
        <v>17</v>
      </c>
      <c r="T27" s="9"/>
      <c r="U27" s="17"/>
      <c r="V27" s="17" t="s">
        <v>186</v>
      </c>
      <c r="W27" s="10" t="s">
        <v>16</v>
      </c>
      <c r="X27" s="11" t="s">
        <v>17</v>
      </c>
      <c r="Y27" s="17" t="s">
        <v>65</v>
      </c>
      <c r="Z27" s="10" t="s">
        <v>61</v>
      </c>
      <c r="AA27" s="10" t="s">
        <v>62</v>
      </c>
      <c r="AB27" s="10" t="s">
        <v>51</v>
      </c>
      <c r="AC27" s="10" t="s">
        <v>53</v>
      </c>
      <c r="AD27" s="11" t="s">
        <v>17</v>
      </c>
      <c r="AE27" s="41" t="s">
        <v>17</v>
      </c>
      <c r="AF27" s="1"/>
    </row>
    <row r="28" spans="1:32" ht="12.75">
      <c r="A28" s="70" t="s">
        <v>43</v>
      </c>
      <c r="B28" s="1" t="s">
        <v>190</v>
      </c>
      <c r="C28" s="12" t="s">
        <v>20</v>
      </c>
      <c r="D28" s="13" t="s">
        <v>18</v>
      </c>
      <c r="E28" s="14" t="s">
        <v>19</v>
      </c>
      <c r="F28" s="12" t="s">
        <v>38</v>
      </c>
      <c r="G28" s="13" t="s">
        <v>18</v>
      </c>
      <c r="H28" s="13" t="s">
        <v>40</v>
      </c>
      <c r="I28" s="13" t="s">
        <v>52</v>
      </c>
      <c r="J28" s="13" t="s">
        <v>54</v>
      </c>
      <c r="K28" s="14" t="s">
        <v>19</v>
      </c>
      <c r="L28" s="12" t="s">
        <v>56</v>
      </c>
      <c r="M28" s="13" t="s">
        <v>57</v>
      </c>
      <c r="N28" s="13" t="s">
        <v>18</v>
      </c>
      <c r="O28" s="13" t="s">
        <v>18</v>
      </c>
      <c r="P28" s="13" t="s">
        <v>40</v>
      </c>
      <c r="Q28" s="13" t="s">
        <v>52</v>
      </c>
      <c r="R28" s="13" t="s">
        <v>54</v>
      </c>
      <c r="S28" s="14" t="s">
        <v>19</v>
      </c>
      <c r="T28" s="12" t="s">
        <v>57</v>
      </c>
      <c r="U28" s="13" t="s">
        <v>122</v>
      </c>
      <c r="V28" s="13" t="s">
        <v>187</v>
      </c>
      <c r="W28" s="13" t="s">
        <v>18</v>
      </c>
      <c r="X28" s="14" t="s">
        <v>19</v>
      </c>
      <c r="Y28" s="13"/>
      <c r="Z28" s="13" t="s">
        <v>18</v>
      </c>
      <c r="AA28" s="13" t="s">
        <v>40</v>
      </c>
      <c r="AB28" s="13" t="s">
        <v>52</v>
      </c>
      <c r="AC28" s="13" t="s">
        <v>54</v>
      </c>
      <c r="AD28" s="14" t="s">
        <v>19</v>
      </c>
      <c r="AE28" s="41" t="s">
        <v>19</v>
      </c>
      <c r="AF28" s="1"/>
    </row>
    <row r="29" spans="1:32" ht="12.75">
      <c r="A29" s="1" t="s">
        <v>5</v>
      </c>
      <c r="B29" s="5">
        <f>B23</f>
        <v>2160</v>
      </c>
      <c r="C29" s="80">
        <f>B29*'FC-LandUses'!$B$45</f>
        <v>23.625</v>
      </c>
      <c r="D29" s="71">
        <f>C29*'FC-LandUses'!$B$74</f>
        <v>11812500000</v>
      </c>
      <c r="E29" s="72">
        <f>D29/B29</f>
        <v>5468750</v>
      </c>
      <c r="F29" s="5"/>
      <c r="G29" s="8"/>
      <c r="H29" s="8"/>
      <c r="I29" s="8"/>
      <c r="J29" s="8"/>
      <c r="K29" s="69"/>
      <c r="L29" s="5">
        <f>L23</f>
        <v>0</v>
      </c>
      <c r="M29" s="5">
        <f>M23</f>
        <v>220</v>
      </c>
      <c r="N29" s="8">
        <f>L29*'FC-LandUses'!$F$56</f>
        <v>0</v>
      </c>
      <c r="O29" s="8">
        <f>M29*'FC-LandUses'!$F$55</f>
        <v>25124000000000</v>
      </c>
      <c r="P29" s="8">
        <f>(N29*365)+(O29*(365-'FC-Cattle Farming'!$B$45))</f>
        <v>0</v>
      </c>
      <c r="Q29" s="8">
        <f>(N29*365)*'FC-Manure Application'!D29+(O29*(365-'FC-Cattle Farming'!$B$45))*'FC-Manure Application'!D41</f>
        <v>0</v>
      </c>
      <c r="R29" s="8">
        <f>Q29/31</f>
        <v>0</v>
      </c>
      <c r="S29" s="77">
        <f>R29*('FC-LandUses'!E8/('FC-LandUses'!E8)/'FC-LandUses'!E8)</f>
        <v>0</v>
      </c>
      <c r="T29" s="78">
        <f>T23</f>
        <v>220</v>
      </c>
      <c r="U29" s="78">
        <f>+T29*'FC-Cattle Farming'!$B$19</f>
        <v>220</v>
      </c>
      <c r="V29" s="79">
        <f>+(1-'FC-Cattle Farming'!$C$19)</f>
        <v>1</v>
      </c>
      <c r="W29" s="71">
        <f>(1-'OPT-Decisions'!$C$36)*U29*V29*'FC-LandUses'!$F$55</f>
        <v>25124000000000</v>
      </c>
      <c r="X29" s="72">
        <f>W29/B29</f>
        <v>11631481481.481482</v>
      </c>
      <c r="Y29" s="74"/>
      <c r="Z29" s="8"/>
      <c r="AA29" s="8"/>
      <c r="AB29" s="8"/>
      <c r="AC29" s="8"/>
      <c r="AD29" s="73"/>
      <c r="AE29" s="75">
        <f>E29+K29+S29+X29+AD29</f>
        <v>11636950231.481482</v>
      </c>
      <c r="AF29" s="1"/>
    </row>
    <row r="30" spans="1:3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/>
      <c r="B32" s="1"/>
      <c r="C32" s="67" t="s">
        <v>12</v>
      </c>
      <c r="D32" s="68"/>
      <c r="E32" s="16"/>
      <c r="F32" s="67" t="s">
        <v>41</v>
      </c>
      <c r="G32" s="68"/>
      <c r="H32" s="68"/>
      <c r="I32" s="68"/>
      <c r="J32" s="68"/>
      <c r="K32" s="16"/>
      <c r="L32" s="67" t="s">
        <v>55</v>
      </c>
      <c r="M32" s="67"/>
      <c r="N32" s="68"/>
      <c r="O32" s="68"/>
      <c r="P32" s="68"/>
      <c r="Q32" s="68"/>
      <c r="R32" s="68"/>
      <c r="S32" s="16"/>
      <c r="T32" s="67" t="s">
        <v>66</v>
      </c>
      <c r="U32" s="67"/>
      <c r="V32" s="67"/>
      <c r="W32" s="68"/>
      <c r="X32" s="16"/>
      <c r="Y32" s="67" t="s">
        <v>60</v>
      </c>
      <c r="Z32" s="68"/>
      <c r="AA32" s="68"/>
      <c r="AB32" s="68"/>
      <c r="AC32" s="1"/>
      <c r="AD32" s="69"/>
      <c r="AE32" s="40" t="s">
        <v>6</v>
      </c>
      <c r="AF32" s="1"/>
    </row>
    <row r="33" spans="1:32" ht="12.75">
      <c r="A33" s="1"/>
      <c r="B33" s="1" t="s">
        <v>189</v>
      </c>
      <c r="C33" s="9"/>
      <c r="D33" s="10" t="s">
        <v>16</v>
      </c>
      <c r="E33" s="11" t="s">
        <v>17</v>
      </c>
      <c r="F33" s="10"/>
      <c r="G33" s="10" t="s">
        <v>16</v>
      </c>
      <c r="H33" s="10" t="s">
        <v>39</v>
      </c>
      <c r="I33" s="10" t="s">
        <v>51</v>
      </c>
      <c r="J33" s="10" t="s">
        <v>53</v>
      </c>
      <c r="K33" s="11" t="s">
        <v>17</v>
      </c>
      <c r="L33" s="10"/>
      <c r="M33" s="10"/>
      <c r="N33" s="10" t="s">
        <v>58</v>
      </c>
      <c r="O33" s="10" t="s">
        <v>59</v>
      </c>
      <c r="P33" s="10" t="s">
        <v>39</v>
      </c>
      <c r="Q33" s="10" t="s">
        <v>73</v>
      </c>
      <c r="R33" s="10" t="s">
        <v>53</v>
      </c>
      <c r="S33" s="11" t="s">
        <v>17</v>
      </c>
      <c r="T33" s="9"/>
      <c r="U33" s="17"/>
      <c r="V33" s="17" t="s">
        <v>188</v>
      </c>
      <c r="W33" s="10" t="s">
        <v>16</v>
      </c>
      <c r="X33" s="11" t="s">
        <v>17</v>
      </c>
      <c r="Y33" s="17" t="s">
        <v>65</v>
      </c>
      <c r="Z33" s="10" t="s">
        <v>61</v>
      </c>
      <c r="AA33" s="10" t="s">
        <v>62</v>
      </c>
      <c r="AB33" s="10" t="s">
        <v>51</v>
      </c>
      <c r="AC33" s="10" t="s">
        <v>53</v>
      </c>
      <c r="AD33" s="11" t="s">
        <v>17</v>
      </c>
      <c r="AE33" s="41" t="s">
        <v>17</v>
      </c>
      <c r="AF33" s="1"/>
    </row>
    <row r="34" spans="1:32" ht="12.75">
      <c r="A34" s="70" t="s">
        <v>44</v>
      </c>
      <c r="B34" s="1" t="s">
        <v>190</v>
      </c>
      <c r="C34" s="12" t="s">
        <v>20</v>
      </c>
      <c r="D34" s="13" t="s">
        <v>18</v>
      </c>
      <c r="E34" s="14" t="s">
        <v>19</v>
      </c>
      <c r="F34" s="12" t="s">
        <v>38</v>
      </c>
      <c r="G34" s="13" t="s">
        <v>18</v>
      </c>
      <c r="H34" s="13" t="s">
        <v>40</v>
      </c>
      <c r="I34" s="13" t="s">
        <v>52</v>
      </c>
      <c r="J34" s="13" t="s">
        <v>54</v>
      </c>
      <c r="K34" s="14" t="s">
        <v>19</v>
      </c>
      <c r="L34" s="12" t="s">
        <v>56</v>
      </c>
      <c r="M34" s="13" t="s">
        <v>57</v>
      </c>
      <c r="N34" s="13" t="s">
        <v>18</v>
      </c>
      <c r="O34" s="13" t="s">
        <v>18</v>
      </c>
      <c r="P34" s="13" t="s">
        <v>40</v>
      </c>
      <c r="Q34" s="13" t="s">
        <v>52</v>
      </c>
      <c r="R34" s="13" t="s">
        <v>54</v>
      </c>
      <c r="S34" s="14" t="s">
        <v>19</v>
      </c>
      <c r="T34" s="12" t="s">
        <v>57</v>
      </c>
      <c r="U34" s="13" t="s">
        <v>122</v>
      </c>
      <c r="V34" s="13" t="s">
        <v>187</v>
      </c>
      <c r="W34" s="13" t="s">
        <v>18</v>
      </c>
      <c r="X34" s="14" t="s">
        <v>19</v>
      </c>
      <c r="Y34" s="13"/>
      <c r="Z34" s="13" t="s">
        <v>18</v>
      </c>
      <c r="AA34" s="13" t="s">
        <v>40</v>
      </c>
      <c r="AB34" s="13" t="s">
        <v>52</v>
      </c>
      <c r="AC34" s="13" t="s">
        <v>54</v>
      </c>
      <c r="AD34" s="14" t="s">
        <v>19</v>
      </c>
      <c r="AE34" s="41" t="s">
        <v>19</v>
      </c>
      <c r="AF34" s="1"/>
    </row>
    <row r="35" spans="1:32" ht="12.75">
      <c r="A35" s="1" t="s">
        <v>5</v>
      </c>
      <c r="B35" s="5">
        <f>B29</f>
        <v>2160</v>
      </c>
      <c r="C35" s="76">
        <f>B35*'FC-LandUses'!$B$45</f>
        <v>23.625</v>
      </c>
      <c r="D35" s="71">
        <f>C35*'FC-LandUses'!$B$74</f>
        <v>11812500000</v>
      </c>
      <c r="E35" s="72">
        <f>D35/B35</f>
        <v>5468750</v>
      </c>
      <c r="F35" s="5"/>
      <c r="G35" s="8"/>
      <c r="H35" s="8"/>
      <c r="I35" s="8"/>
      <c r="J35" s="8"/>
      <c r="K35" s="69"/>
      <c r="L35" s="5">
        <f>L29</f>
        <v>0</v>
      </c>
      <c r="M35" s="5">
        <f>M29</f>
        <v>220</v>
      </c>
      <c r="N35" s="8">
        <f>L35*'FC-LandUses'!$F$56</f>
        <v>0</v>
      </c>
      <c r="O35" s="8">
        <f>M35*'FC-LandUses'!$F$55</f>
        <v>25124000000000</v>
      </c>
      <c r="P35" s="8">
        <f>(N35*365)+(O35*(365-'FC-Cattle Farming'!$B$45))</f>
        <v>0</v>
      </c>
      <c r="Q35" s="8">
        <f>(N35*365)*'FC-Manure Application'!E29+(O35*(365-'FC-Cattle Farming'!$B$45))*'FC-Manure Application'!E41</f>
        <v>0</v>
      </c>
      <c r="R35" s="8">
        <f>Q35/30</f>
        <v>0</v>
      </c>
      <c r="S35" s="77">
        <f>R35*('FC-LandUses'!E8/('FC-LandUses'!E8)/'FC-LandUses'!E8)</f>
        <v>0</v>
      </c>
      <c r="T35" s="78">
        <f>T29</f>
        <v>220</v>
      </c>
      <c r="U35" s="78">
        <f>+T35*'FC-Cattle Farming'!$B$20</f>
        <v>220</v>
      </c>
      <c r="V35" s="79">
        <f>+(1-'FC-Cattle Farming'!$C$20)</f>
        <v>0.999</v>
      </c>
      <c r="W35" s="71">
        <f>(1-'OPT-Decisions'!$C$36)*U35*V35*'FC-LandUses'!$F$55</f>
        <v>25098876000000</v>
      </c>
      <c r="X35" s="72">
        <f>W35/B35</f>
        <v>11619850000</v>
      </c>
      <c r="Y35" s="74"/>
      <c r="Z35" s="8"/>
      <c r="AA35" s="8"/>
      <c r="AB35" s="8"/>
      <c r="AC35" s="8"/>
      <c r="AD35" s="73"/>
      <c r="AE35" s="75">
        <f>E35+K35+S35+X35+AD35</f>
        <v>11625318750</v>
      </c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"/>
      <c r="B38" s="1"/>
      <c r="C38" s="67" t="s">
        <v>12</v>
      </c>
      <c r="D38" s="68"/>
      <c r="E38" s="16"/>
      <c r="F38" s="67" t="s">
        <v>41</v>
      </c>
      <c r="G38" s="68"/>
      <c r="H38" s="68"/>
      <c r="I38" s="68"/>
      <c r="J38" s="68"/>
      <c r="K38" s="16"/>
      <c r="L38" s="67" t="s">
        <v>55</v>
      </c>
      <c r="M38" s="67"/>
      <c r="N38" s="68"/>
      <c r="O38" s="68"/>
      <c r="P38" s="68"/>
      <c r="Q38" s="68"/>
      <c r="R38" s="68"/>
      <c r="S38" s="16"/>
      <c r="T38" s="67" t="s">
        <v>66</v>
      </c>
      <c r="U38" s="67"/>
      <c r="V38" s="67"/>
      <c r="W38" s="68"/>
      <c r="X38" s="16"/>
      <c r="Y38" s="67" t="s">
        <v>60</v>
      </c>
      <c r="Z38" s="68"/>
      <c r="AA38" s="68"/>
      <c r="AB38" s="68"/>
      <c r="AC38" s="1"/>
      <c r="AD38" s="69"/>
      <c r="AE38" s="40" t="s">
        <v>6</v>
      </c>
      <c r="AF38" s="1"/>
    </row>
    <row r="39" spans="1:32" ht="12.75">
      <c r="A39" s="1"/>
      <c r="B39" s="1" t="s">
        <v>189</v>
      </c>
      <c r="C39" s="9"/>
      <c r="D39" s="10" t="s">
        <v>16</v>
      </c>
      <c r="E39" s="11" t="s">
        <v>17</v>
      </c>
      <c r="F39" s="10"/>
      <c r="G39" s="10" t="s">
        <v>16</v>
      </c>
      <c r="H39" s="10" t="s">
        <v>39</v>
      </c>
      <c r="I39" s="10" t="s">
        <v>51</v>
      </c>
      <c r="J39" s="10" t="s">
        <v>53</v>
      </c>
      <c r="K39" s="11" t="s">
        <v>17</v>
      </c>
      <c r="L39" s="10"/>
      <c r="M39" s="10"/>
      <c r="N39" s="10" t="s">
        <v>58</v>
      </c>
      <c r="O39" s="10" t="s">
        <v>59</v>
      </c>
      <c r="P39" s="10" t="s">
        <v>39</v>
      </c>
      <c r="Q39" s="10" t="s">
        <v>73</v>
      </c>
      <c r="R39" s="10" t="s">
        <v>53</v>
      </c>
      <c r="S39" s="11" t="s">
        <v>17</v>
      </c>
      <c r="T39" s="9"/>
      <c r="U39" s="17"/>
      <c r="V39" s="17" t="s">
        <v>188</v>
      </c>
      <c r="W39" s="10" t="s">
        <v>16</v>
      </c>
      <c r="X39" s="11" t="s">
        <v>17</v>
      </c>
      <c r="Y39" s="17" t="s">
        <v>65</v>
      </c>
      <c r="Z39" s="10" t="s">
        <v>61</v>
      </c>
      <c r="AA39" s="10" t="s">
        <v>62</v>
      </c>
      <c r="AB39" s="10" t="s">
        <v>51</v>
      </c>
      <c r="AC39" s="10" t="s">
        <v>53</v>
      </c>
      <c r="AD39" s="11" t="s">
        <v>17</v>
      </c>
      <c r="AE39" s="41" t="s">
        <v>17</v>
      </c>
      <c r="AF39" s="1"/>
    </row>
    <row r="40" spans="1:32" ht="12.75">
      <c r="A40" s="70" t="s">
        <v>45</v>
      </c>
      <c r="B40" s="1" t="s">
        <v>190</v>
      </c>
      <c r="C40" s="12" t="s">
        <v>20</v>
      </c>
      <c r="D40" s="13" t="s">
        <v>18</v>
      </c>
      <c r="E40" s="14" t="s">
        <v>19</v>
      </c>
      <c r="F40" s="12" t="s">
        <v>38</v>
      </c>
      <c r="G40" s="13" t="s">
        <v>18</v>
      </c>
      <c r="H40" s="13" t="s">
        <v>40</v>
      </c>
      <c r="I40" s="13" t="s">
        <v>52</v>
      </c>
      <c r="J40" s="13" t="s">
        <v>54</v>
      </c>
      <c r="K40" s="14" t="s">
        <v>19</v>
      </c>
      <c r="L40" s="12" t="s">
        <v>56</v>
      </c>
      <c r="M40" s="13" t="s">
        <v>57</v>
      </c>
      <c r="N40" s="13" t="s">
        <v>18</v>
      </c>
      <c r="O40" s="13" t="s">
        <v>18</v>
      </c>
      <c r="P40" s="13" t="s">
        <v>40</v>
      </c>
      <c r="Q40" s="13" t="s">
        <v>52</v>
      </c>
      <c r="R40" s="13" t="s">
        <v>54</v>
      </c>
      <c r="S40" s="14" t="s">
        <v>19</v>
      </c>
      <c r="T40" s="12" t="s">
        <v>57</v>
      </c>
      <c r="U40" s="13" t="s">
        <v>122</v>
      </c>
      <c r="V40" s="13" t="s">
        <v>187</v>
      </c>
      <c r="W40" s="13" t="s">
        <v>18</v>
      </c>
      <c r="X40" s="14" t="s">
        <v>19</v>
      </c>
      <c r="Y40" s="13"/>
      <c r="Z40" s="13" t="s">
        <v>18</v>
      </c>
      <c r="AA40" s="13" t="s">
        <v>40</v>
      </c>
      <c r="AB40" s="13" t="s">
        <v>52</v>
      </c>
      <c r="AC40" s="13" t="s">
        <v>54</v>
      </c>
      <c r="AD40" s="14" t="s">
        <v>19</v>
      </c>
      <c r="AE40" s="41" t="s">
        <v>19</v>
      </c>
      <c r="AF40" s="1"/>
    </row>
    <row r="41" spans="1:32" ht="12.75">
      <c r="A41" s="1" t="s">
        <v>5</v>
      </c>
      <c r="B41" s="5">
        <f>B35</f>
        <v>2160</v>
      </c>
      <c r="C41" s="76">
        <f>B41*'FC-LandUses'!$B$45</f>
        <v>23.625</v>
      </c>
      <c r="D41" s="71">
        <f>C41*'FC-LandUses'!$B$74</f>
        <v>11812500000</v>
      </c>
      <c r="E41" s="72">
        <f>D41/B41</f>
        <v>5468750</v>
      </c>
      <c r="F41" s="5"/>
      <c r="G41" s="8"/>
      <c r="H41" s="8"/>
      <c r="I41" s="8"/>
      <c r="J41" s="8"/>
      <c r="K41" s="69"/>
      <c r="L41" s="5">
        <f>L35</f>
        <v>0</v>
      </c>
      <c r="M41" s="5">
        <f>M35</f>
        <v>220</v>
      </c>
      <c r="N41" s="8">
        <f>L41*'FC-LandUses'!$F$56</f>
        <v>0</v>
      </c>
      <c r="O41" s="8">
        <f>M41*'FC-LandUses'!$F$55</f>
        <v>25124000000000</v>
      </c>
      <c r="P41" s="8">
        <f>(N41*365)+(O41*(365-'FC-Cattle Farming'!$B$45))</f>
        <v>0</v>
      </c>
      <c r="Q41" s="8">
        <f>(N41*365)*'FC-Manure Application'!F29+(O41*(365-'FC-Cattle Farming'!$B$45))*'FC-Manure Application'!F41</f>
        <v>0</v>
      </c>
      <c r="R41" s="8">
        <f>Q41/31</f>
        <v>0</v>
      </c>
      <c r="S41" s="73">
        <f>R41/'FC-LandUses'!E8</f>
        <v>0</v>
      </c>
      <c r="T41" s="78">
        <f>T35</f>
        <v>220</v>
      </c>
      <c r="U41" s="78">
        <f>+T41*'FC-Cattle Farming'!$B$21</f>
        <v>220</v>
      </c>
      <c r="V41" s="79">
        <f>+(1-'FC-Cattle Farming'!$C$21)</f>
        <v>0.999</v>
      </c>
      <c r="W41" s="71">
        <f>(1-'OPT-Decisions'!$C$36)*U41*V41*'FC-LandUses'!$F$55</f>
        <v>25098876000000</v>
      </c>
      <c r="X41" s="72">
        <f>W41/B41</f>
        <v>11619850000</v>
      </c>
      <c r="Y41" s="74"/>
      <c r="Z41" s="8"/>
      <c r="AA41" s="8"/>
      <c r="AB41" s="8"/>
      <c r="AC41" s="8"/>
      <c r="AD41" s="73"/>
      <c r="AE41" s="75">
        <f>E41+K41+S41+X41+AD41</f>
        <v>11625318750</v>
      </c>
      <c r="AF41" s="1"/>
    </row>
    <row r="42" spans="1:3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1"/>
      <c r="B44" s="1"/>
      <c r="C44" s="67" t="s">
        <v>12</v>
      </c>
      <c r="D44" s="68"/>
      <c r="E44" s="16"/>
      <c r="F44" s="67" t="s">
        <v>41</v>
      </c>
      <c r="G44" s="68"/>
      <c r="H44" s="68"/>
      <c r="I44" s="68"/>
      <c r="J44" s="68"/>
      <c r="K44" s="16"/>
      <c r="L44" s="67" t="s">
        <v>55</v>
      </c>
      <c r="M44" s="67"/>
      <c r="N44" s="68"/>
      <c r="O44" s="68"/>
      <c r="P44" s="68"/>
      <c r="Q44" s="68"/>
      <c r="R44" s="68"/>
      <c r="S44" s="16"/>
      <c r="T44" s="67" t="s">
        <v>66</v>
      </c>
      <c r="U44" s="67"/>
      <c r="V44" s="67"/>
      <c r="W44" s="68"/>
      <c r="X44" s="16"/>
      <c r="Y44" s="67" t="s">
        <v>60</v>
      </c>
      <c r="Z44" s="68"/>
      <c r="AA44" s="68"/>
      <c r="AB44" s="68"/>
      <c r="AC44" s="1"/>
      <c r="AD44" s="69"/>
      <c r="AE44" s="40" t="s">
        <v>6</v>
      </c>
      <c r="AF44" s="1"/>
    </row>
    <row r="45" spans="1:32" ht="12.75">
      <c r="A45" s="1"/>
      <c r="B45" s="1" t="s">
        <v>189</v>
      </c>
      <c r="C45" s="9"/>
      <c r="D45" s="10" t="s">
        <v>16</v>
      </c>
      <c r="E45" s="11" t="s">
        <v>17</v>
      </c>
      <c r="F45" s="10"/>
      <c r="G45" s="10" t="s">
        <v>16</v>
      </c>
      <c r="H45" s="10" t="s">
        <v>39</v>
      </c>
      <c r="I45" s="10" t="s">
        <v>51</v>
      </c>
      <c r="J45" s="10" t="s">
        <v>53</v>
      </c>
      <c r="K45" s="11" t="s">
        <v>17</v>
      </c>
      <c r="L45" s="10"/>
      <c r="M45" s="10"/>
      <c r="N45" s="10" t="s">
        <v>58</v>
      </c>
      <c r="O45" s="10" t="s">
        <v>59</v>
      </c>
      <c r="P45" s="10" t="s">
        <v>39</v>
      </c>
      <c r="Q45" s="10" t="s">
        <v>73</v>
      </c>
      <c r="R45" s="10" t="s">
        <v>53</v>
      </c>
      <c r="S45" s="11" t="s">
        <v>17</v>
      </c>
      <c r="T45" s="9"/>
      <c r="U45" s="17"/>
      <c r="V45" s="17" t="s">
        <v>186</v>
      </c>
      <c r="W45" s="10" t="s">
        <v>16</v>
      </c>
      <c r="X45" s="11" t="s">
        <v>17</v>
      </c>
      <c r="Y45" s="17" t="s">
        <v>65</v>
      </c>
      <c r="Z45" s="10" t="s">
        <v>61</v>
      </c>
      <c r="AA45" s="10" t="s">
        <v>62</v>
      </c>
      <c r="AB45" s="10" t="s">
        <v>51</v>
      </c>
      <c r="AC45" s="10" t="s">
        <v>53</v>
      </c>
      <c r="AD45" s="11" t="s">
        <v>17</v>
      </c>
      <c r="AE45" s="41" t="s">
        <v>17</v>
      </c>
      <c r="AF45" s="1"/>
    </row>
    <row r="46" spans="1:32" ht="12.75">
      <c r="A46" s="70" t="s">
        <v>46</v>
      </c>
      <c r="B46" s="1" t="s">
        <v>190</v>
      </c>
      <c r="C46" s="12" t="s">
        <v>20</v>
      </c>
      <c r="D46" s="13" t="s">
        <v>18</v>
      </c>
      <c r="E46" s="14" t="s">
        <v>19</v>
      </c>
      <c r="F46" s="12" t="s">
        <v>38</v>
      </c>
      <c r="G46" s="13" t="s">
        <v>18</v>
      </c>
      <c r="H46" s="13" t="s">
        <v>40</v>
      </c>
      <c r="I46" s="13" t="s">
        <v>52</v>
      </c>
      <c r="J46" s="13" t="s">
        <v>54</v>
      </c>
      <c r="K46" s="14" t="s">
        <v>19</v>
      </c>
      <c r="L46" s="12" t="s">
        <v>56</v>
      </c>
      <c r="M46" s="13" t="s">
        <v>57</v>
      </c>
      <c r="N46" s="13" t="s">
        <v>18</v>
      </c>
      <c r="O46" s="13" t="s">
        <v>18</v>
      </c>
      <c r="P46" s="13" t="s">
        <v>40</v>
      </c>
      <c r="Q46" s="13" t="s">
        <v>52</v>
      </c>
      <c r="R46" s="13" t="s">
        <v>54</v>
      </c>
      <c r="S46" s="14" t="s">
        <v>19</v>
      </c>
      <c r="T46" s="12" t="s">
        <v>57</v>
      </c>
      <c r="U46" s="13" t="s">
        <v>122</v>
      </c>
      <c r="V46" s="13" t="s">
        <v>187</v>
      </c>
      <c r="W46" s="13" t="s">
        <v>18</v>
      </c>
      <c r="X46" s="14" t="s">
        <v>19</v>
      </c>
      <c r="Y46" s="13"/>
      <c r="Z46" s="13" t="s">
        <v>18</v>
      </c>
      <c r="AA46" s="13" t="s">
        <v>40</v>
      </c>
      <c r="AB46" s="13" t="s">
        <v>52</v>
      </c>
      <c r="AC46" s="13" t="s">
        <v>54</v>
      </c>
      <c r="AD46" s="14" t="s">
        <v>19</v>
      </c>
      <c r="AE46" s="41" t="s">
        <v>19</v>
      </c>
      <c r="AF46" s="1"/>
    </row>
    <row r="47" spans="1:32" ht="12.75">
      <c r="A47" s="1" t="s">
        <v>5</v>
      </c>
      <c r="B47" s="5">
        <f>B41</f>
        <v>2160</v>
      </c>
      <c r="C47" s="76">
        <f>B47*'FC-LandUses'!$B$45</f>
        <v>23.625</v>
      </c>
      <c r="D47" s="71">
        <f>C47*'FC-LandUses'!$B$74</f>
        <v>11812500000</v>
      </c>
      <c r="E47" s="72">
        <f>D47/B47</f>
        <v>5468750</v>
      </c>
      <c r="F47" s="5"/>
      <c r="G47" s="8"/>
      <c r="H47" s="8"/>
      <c r="I47" s="8"/>
      <c r="J47" s="8"/>
      <c r="K47" s="69"/>
      <c r="L47" s="5">
        <f>L41</f>
        <v>0</v>
      </c>
      <c r="M47" s="5">
        <f>M41</f>
        <v>220</v>
      </c>
      <c r="N47" s="8">
        <f>L47*'FC-LandUses'!$F$56</f>
        <v>0</v>
      </c>
      <c r="O47" s="8">
        <f>M47*'FC-LandUses'!$F$55</f>
        <v>25124000000000</v>
      </c>
      <c r="P47" s="8">
        <f>(N47*365)+(O47*(365-'FC-Cattle Farming'!$B$45))</f>
        <v>0</v>
      </c>
      <c r="Q47" s="8">
        <f>(N47*365)*'FC-Manure Application'!G29+(O47*(365-'FC-Cattle Farming'!$B$45))*'FC-Manure Application'!G41</f>
        <v>0</v>
      </c>
      <c r="R47" s="8">
        <f>Q47/30</f>
        <v>0</v>
      </c>
      <c r="S47" s="73">
        <f>R47/'FC-LandUses'!E8</f>
        <v>0</v>
      </c>
      <c r="T47" s="78">
        <f>T41</f>
        <v>220</v>
      </c>
      <c r="U47" s="78">
        <f>+T47*'FC-Cattle Farming'!$B$22</f>
        <v>220</v>
      </c>
      <c r="V47" s="79">
        <f>+(1-'FC-Cattle Farming'!$C$22)</f>
        <v>1</v>
      </c>
      <c r="W47" s="71">
        <f>(1-'OPT-Decisions'!$C$36)*U47*V47*'FC-LandUses'!$F$55</f>
        <v>25124000000000</v>
      </c>
      <c r="X47" s="72">
        <f>W47/B47</f>
        <v>11631481481.481482</v>
      </c>
      <c r="Y47" s="74"/>
      <c r="Z47" s="8"/>
      <c r="AA47" s="8"/>
      <c r="AB47" s="8"/>
      <c r="AC47" s="8"/>
      <c r="AD47" s="73"/>
      <c r="AE47" s="75">
        <f>E47+K47+S47+X47+AD47</f>
        <v>11636950231.481482</v>
      </c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67" t="s">
        <v>12</v>
      </c>
      <c r="D50" s="68"/>
      <c r="E50" s="16"/>
      <c r="F50" s="67" t="s">
        <v>41</v>
      </c>
      <c r="G50" s="68"/>
      <c r="H50" s="68"/>
      <c r="I50" s="68"/>
      <c r="J50" s="68"/>
      <c r="K50" s="16"/>
      <c r="L50" s="67" t="s">
        <v>55</v>
      </c>
      <c r="M50" s="67"/>
      <c r="N50" s="68"/>
      <c r="O50" s="68"/>
      <c r="P50" s="68"/>
      <c r="Q50" s="68"/>
      <c r="R50" s="68"/>
      <c r="S50" s="16"/>
      <c r="T50" s="67" t="s">
        <v>66</v>
      </c>
      <c r="U50" s="67"/>
      <c r="V50" s="67"/>
      <c r="W50" s="68"/>
      <c r="X50" s="16"/>
      <c r="Y50" s="67" t="s">
        <v>60</v>
      </c>
      <c r="Z50" s="68"/>
      <c r="AA50" s="68"/>
      <c r="AB50" s="68"/>
      <c r="AC50" s="1"/>
      <c r="AD50" s="69"/>
      <c r="AE50" s="40" t="s">
        <v>6</v>
      </c>
      <c r="AF50" s="1"/>
    </row>
    <row r="51" spans="1:32" ht="12.75">
      <c r="A51" s="1"/>
      <c r="B51" s="1" t="s">
        <v>189</v>
      </c>
      <c r="C51" s="9"/>
      <c r="D51" s="10" t="s">
        <v>16</v>
      </c>
      <c r="E51" s="11" t="s">
        <v>17</v>
      </c>
      <c r="F51" s="10"/>
      <c r="G51" s="10" t="s">
        <v>16</v>
      </c>
      <c r="H51" s="10" t="s">
        <v>39</v>
      </c>
      <c r="I51" s="10" t="s">
        <v>51</v>
      </c>
      <c r="J51" s="10" t="s">
        <v>53</v>
      </c>
      <c r="K51" s="11" t="s">
        <v>17</v>
      </c>
      <c r="L51" s="10"/>
      <c r="M51" s="10"/>
      <c r="N51" s="10" t="s">
        <v>58</v>
      </c>
      <c r="O51" s="10" t="s">
        <v>59</v>
      </c>
      <c r="P51" s="10" t="s">
        <v>39</v>
      </c>
      <c r="Q51" s="10" t="s">
        <v>73</v>
      </c>
      <c r="R51" s="10" t="s">
        <v>53</v>
      </c>
      <c r="S51" s="11" t="s">
        <v>17</v>
      </c>
      <c r="T51" s="9"/>
      <c r="U51" s="17"/>
      <c r="V51" s="17" t="s">
        <v>188</v>
      </c>
      <c r="W51" s="10" t="s">
        <v>16</v>
      </c>
      <c r="X51" s="11" t="s">
        <v>17</v>
      </c>
      <c r="Y51" s="17" t="s">
        <v>65</v>
      </c>
      <c r="Z51" s="10" t="s">
        <v>61</v>
      </c>
      <c r="AA51" s="10" t="s">
        <v>62</v>
      </c>
      <c r="AB51" s="10" t="s">
        <v>51</v>
      </c>
      <c r="AC51" s="10" t="s">
        <v>53</v>
      </c>
      <c r="AD51" s="11" t="s">
        <v>17</v>
      </c>
      <c r="AE51" s="41" t="s">
        <v>17</v>
      </c>
      <c r="AF51" s="1"/>
    </row>
    <row r="52" spans="1:32" ht="12.75">
      <c r="A52" s="70" t="s">
        <v>69</v>
      </c>
      <c r="B52" s="1" t="s">
        <v>190</v>
      </c>
      <c r="C52" s="12" t="s">
        <v>20</v>
      </c>
      <c r="D52" s="13" t="s">
        <v>18</v>
      </c>
      <c r="E52" s="14" t="s">
        <v>19</v>
      </c>
      <c r="F52" s="12" t="s">
        <v>38</v>
      </c>
      <c r="G52" s="13" t="s">
        <v>18</v>
      </c>
      <c r="H52" s="13" t="s">
        <v>40</v>
      </c>
      <c r="I52" s="13" t="s">
        <v>52</v>
      </c>
      <c r="J52" s="13" t="s">
        <v>54</v>
      </c>
      <c r="K52" s="14" t="s">
        <v>19</v>
      </c>
      <c r="L52" s="12" t="s">
        <v>56</v>
      </c>
      <c r="M52" s="13" t="s">
        <v>57</v>
      </c>
      <c r="N52" s="13" t="s">
        <v>18</v>
      </c>
      <c r="O52" s="13" t="s">
        <v>18</v>
      </c>
      <c r="P52" s="13" t="s">
        <v>40</v>
      </c>
      <c r="Q52" s="13" t="s">
        <v>52</v>
      </c>
      <c r="R52" s="13" t="s">
        <v>54</v>
      </c>
      <c r="S52" s="14" t="s">
        <v>19</v>
      </c>
      <c r="T52" s="12" t="s">
        <v>57</v>
      </c>
      <c r="U52" s="13" t="s">
        <v>122</v>
      </c>
      <c r="V52" s="13" t="s">
        <v>187</v>
      </c>
      <c r="W52" s="13" t="s">
        <v>18</v>
      </c>
      <c r="X52" s="14" t="s">
        <v>19</v>
      </c>
      <c r="Y52" s="13"/>
      <c r="Z52" s="13" t="s">
        <v>18</v>
      </c>
      <c r="AA52" s="13" t="s">
        <v>40</v>
      </c>
      <c r="AB52" s="13" t="s">
        <v>52</v>
      </c>
      <c r="AC52" s="13" t="s">
        <v>54</v>
      </c>
      <c r="AD52" s="14" t="s">
        <v>19</v>
      </c>
      <c r="AE52" s="41" t="s">
        <v>19</v>
      </c>
      <c r="AF52" s="1"/>
    </row>
    <row r="53" spans="1:32" ht="12.75">
      <c r="A53" s="1" t="s">
        <v>5</v>
      </c>
      <c r="B53" s="5">
        <f>B47</f>
        <v>2160</v>
      </c>
      <c r="C53" s="76">
        <f>B53*'FC-LandUses'!$B$45</f>
        <v>23.625</v>
      </c>
      <c r="D53" s="71">
        <f>C53*'FC-LandUses'!$B$74</f>
        <v>11812500000</v>
      </c>
      <c r="E53" s="72">
        <f>D53/B53</f>
        <v>5468750</v>
      </c>
      <c r="F53" s="5"/>
      <c r="G53" s="8"/>
      <c r="H53" s="8"/>
      <c r="I53" s="8"/>
      <c r="J53" s="8"/>
      <c r="K53" s="69"/>
      <c r="L53" s="5">
        <f>L47</f>
        <v>0</v>
      </c>
      <c r="M53" s="5">
        <f>M47</f>
        <v>220</v>
      </c>
      <c r="N53" s="8">
        <f>L53*'FC-LandUses'!$F$56</f>
        <v>0</v>
      </c>
      <c r="O53" s="8">
        <f>M53*'FC-LandUses'!$F$55</f>
        <v>25124000000000</v>
      </c>
      <c r="P53" s="8">
        <f>(N53*365)+(O53*(365-'FC-Cattle Farming'!$B$45))</f>
        <v>0</v>
      </c>
      <c r="Q53" s="8">
        <f>(N53*365)*'FC-Manure Application'!H29+(O53*(365-'FC-Cattle Farming'!$B$45))*'FC-Manure Application'!H41</f>
        <v>0</v>
      </c>
      <c r="R53" s="8">
        <f>Q53/31</f>
        <v>0</v>
      </c>
      <c r="S53" s="73">
        <f>R53/'FC-LandUses'!E8</f>
        <v>0</v>
      </c>
      <c r="T53" s="78">
        <f>T47</f>
        <v>220</v>
      </c>
      <c r="U53" s="78">
        <f>+T53*'FC-Cattle Farming'!$B$23</f>
        <v>220</v>
      </c>
      <c r="V53" s="79">
        <f>+(1-'FC-Cattle Farming'!$C$23)</f>
        <v>1</v>
      </c>
      <c r="W53" s="71">
        <f>(1-'OPT-Decisions'!$C$36)*U53*V53*'FC-LandUses'!$F$55</f>
        <v>25124000000000</v>
      </c>
      <c r="X53" s="72">
        <f>W53/B53</f>
        <v>11631481481.481482</v>
      </c>
      <c r="Y53" s="74"/>
      <c r="Z53" s="8"/>
      <c r="AA53" s="8"/>
      <c r="AB53" s="8"/>
      <c r="AC53" s="8"/>
      <c r="AD53" s="73"/>
      <c r="AE53" s="75">
        <f>E53+K53+S53+X53+AD53</f>
        <v>11636950231.481482</v>
      </c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67" t="s">
        <v>12</v>
      </c>
      <c r="D56" s="68"/>
      <c r="E56" s="16"/>
      <c r="F56" s="67" t="s">
        <v>41</v>
      </c>
      <c r="G56" s="68"/>
      <c r="H56" s="68"/>
      <c r="I56" s="68"/>
      <c r="J56" s="68"/>
      <c r="K56" s="16"/>
      <c r="L56" s="67" t="s">
        <v>55</v>
      </c>
      <c r="M56" s="67"/>
      <c r="N56" s="68"/>
      <c r="O56" s="68"/>
      <c r="P56" s="68"/>
      <c r="Q56" s="68"/>
      <c r="R56" s="68"/>
      <c r="S56" s="16"/>
      <c r="T56" s="67" t="s">
        <v>66</v>
      </c>
      <c r="U56" s="67"/>
      <c r="V56" s="67"/>
      <c r="W56" s="68"/>
      <c r="X56" s="16"/>
      <c r="Y56" s="67" t="s">
        <v>60</v>
      </c>
      <c r="Z56" s="68"/>
      <c r="AA56" s="68"/>
      <c r="AB56" s="68"/>
      <c r="AC56" s="1"/>
      <c r="AD56" s="69"/>
      <c r="AE56" s="40" t="s">
        <v>6</v>
      </c>
      <c r="AF56" s="1"/>
    </row>
    <row r="57" spans="1:32" ht="12.75">
      <c r="A57" s="1"/>
      <c r="B57" s="1" t="s">
        <v>191</v>
      </c>
      <c r="C57" s="9"/>
      <c r="D57" s="10" t="s">
        <v>16</v>
      </c>
      <c r="E57" s="11" t="s">
        <v>17</v>
      </c>
      <c r="F57" s="10"/>
      <c r="G57" s="10" t="s">
        <v>16</v>
      </c>
      <c r="H57" s="10" t="s">
        <v>39</v>
      </c>
      <c r="I57" s="10" t="s">
        <v>51</v>
      </c>
      <c r="J57" s="10" t="s">
        <v>53</v>
      </c>
      <c r="K57" s="11" t="s">
        <v>17</v>
      </c>
      <c r="L57" s="10"/>
      <c r="M57" s="10"/>
      <c r="N57" s="10" t="s">
        <v>58</v>
      </c>
      <c r="O57" s="10" t="s">
        <v>59</v>
      </c>
      <c r="P57" s="10" t="s">
        <v>39</v>
      </c>
      <c r="Q57" s="10" t="s">
        <v>73</v>
      </c>
      <c r="R57" s="10" t="s">
        <v>53</v>
      </c>
      <c r="S57" s="11" t="s">
        <v>17</v>
      </c>
      <c r="T57" s="9"/>
      <c r="U57" s="17"/>
      <c r="V57" s="17" t="s">
        <v>188</v>
      </c>
      <c r="W57" s="10" t="s">
        <v>16</v>
      </c>
      <c r="X57" s="11" t="s">
        <v>17</v>
      </c>
      <c r="Y57" s="17" t="s">
        <v>65</v>
      </c>
      <c r="Z57" s="10" t="s">
        <v>61</v>
      </c>
      <c r="AA57" s="10" t="s">
        <v>62</v>
      </c>
      <c r="AB57" s="10" t="s">
        <v>51</v>
      </c>
      <c r="AC57" s="10" t="s">
        <v>53</v>
      </c>
      <c r="AD57" s="11" t="s">
        <v>17</v>
      </c>
      <c r="AE57" s="41" t="s">
        <v>17</v>
      </c>
      <c r="AF57" s="1"/>
    </row>
    <row r="58" spans="1:32" ht="12.75">
      <c r="A58" s="70" t="s">
        <v>47</v>
      </c>
      <c r="B58" s="1" t="s">
        <v>190</v>
      </c>
      <c r="C58" s="12" t="s">
        <v>20</v>
      </c>
      <c r="D58" s="13" t="s">
        <v>18</v>
      </c>
      <c r="E58" s="14" t="s">
        <v>19</v>
      </c>
      <c r="F58" s="12" t="s">
        <v>38</v>
      </c>
      <c r="G58" s="13" t="s">
        <v>18</v>
      </c>
      <c r="H58" s="13" t="s">
        <v>40</v>
      </c>
      <c r="I58" s="13" t="s">
        <v>52</v>
      </c>
      <c r="J58" s="13" t="s">
        <v>54</v>
      </c>
      <c r="K58" s="14" t="s">
        <v>19</v>
      </c>
      <c r="L58" s="12" t="s">
        <v>56</v>
      </c>
      <c r="M58" s="13" t="s">
        <v>57</v>
      </c>
      <c r="N58" s="13" t="s">
        <v>18</v>
      </c>
      <c r="O58" s="13" t="s">
        <v>18</v>
      </c>
      <c r="P58" s="13" t="s">
        <v>40</v>
      </c>
      <c r="Q58" s="13" t="s">
        <v>52</v>
      </c>
      <c r="R58" s="13" t="s">
        <v>54</v>
      </c>
      <c r="S58" s="14" t="s">
        <v>19</v>
      </c>
      <c r="T58" s="12" t="s">
        <v>57</v>
      </c>
      <c r="U58" s="13" t="s">
        <v>122</v>
      </c>
      <c r="V58" s="13" t="s">
        <v>187</v>
      </c>
      <c r="W58" s="13" t="s">
        <v>18</v>
      </c>
      <c r="X58" s="14" t="s">
        <v>19</v>
      </c>
      <c r="Y58" s="13"/>
      <c r="Z58" s="13" t="s">
        <v>18</v>
      </c>
      <c r="AA58" s="13" t="s">
        <v>40</v>
      </c>
      <c r="AB58" s="13" t="s">
        <v>52</v>
      </c>
      <c r="AC58" s="13" t="s">
        <v>54</v>
      </c>
      <c r="AD58" s="14" t="s">
        <v>19</v>
      </c>
      <c r="AE58" s="41" t="s">
        <v>19</v>
      </c>
      <c r="AF58" s="1"/>
    </row>
    <row r="59" spans="1:32" ht="12.75">
      <c r="A59" s="1" t="s">
        <v>5</v>
      </c>
      <c r="B59" s="5">
        <f>B53</f>
        <v>2160</v>
      </c>
      <c r="C59" s="76">
        <f>B59*'FC-LandUses'!$B$45</f>
        <v>23.625</v>
      </c>
      <c r="D59" s="71">
        <f>C59*'FC-LandUses'!$B$74</f>
        <v>11812500000</v>
      </c>
      <c r="E59" s="72">
        <f>D59/B59</f>
        <v>5468750</v>
      </c>
      <c r="F59" s="5"/>
      <c r="G59" s="8"/>
      <c r="H59" s="8"/>
      <c r="I59" s="8"/>
      <c r="J59" s="8"/>
      <c r="K59" s="69"/>
      <c r="L59" s="5">
        <f>L53</f>
        <v>0</v>
      </c>
      <c r="M59" s="5">
        <f>M53</f>
        <v>220</v>
      </c>
      <c r="N59" s="8">
        <f>L59*'FC-LandUses'!$F$56</f>
        <v>0</v>
      </c>
      <c r="O59" s="8">
        <f>M59*'FC-LandUses'!$F$55</f>
        <v>25124000000000</v>
      </c>
      <c r="P59" s="8">
        <f>(N59*365)+(O59*(365-'FC-Cattle Farming'!$B$45))</f>
        <v>0</v>
      </c>
      <c r="Q59" s="8">
        <f>(N59*365)*'FC-Manure Application'!I29+(O59*(365-'FC-Cattle Farming'!$B$45))*'FC-Manure Application'!I41</f>
        <v>0</v>
      </c>
      <c r="R59" s="8">
        <f>Q59/31</f>
        <v>0</v>
      </c>
      <c r="S59" s="73">
        <f>R59/'FC-LandUses'!E8</f>
        <v>0</v>
      </c>
      <c r="T59" s="78">
        <f>T53</f>
        <v>220</v>
      </c>
      <c r="U59" s="78">
        <f>+T59*'FC-Cattle Farming'!$B$24</f>
        <v>220</v>
      </c>
      <c r="V59" s="79">
        <f>+(1-'FC-Cattle Farming'!$C$24)</f>
        <v>1</v>
      </c>
      <c r="W59" s="71">
        <f>(1-'OPT-Decisions'!$C$36)*U59*V59*'FC-LandUses'!$F$55</f>
        <v>25124000000000</v>
      </c>
      <c r="X59" s="72">
        <f>W59/B59</f>
        <v>11631481481.481482</v>
      </c>
      <c r="Y59" s="74"/>
      <c r="Z59" s="8"/>
      <c r="AA59" s="8"/>
      <c r="AB59" s="8"/>
      <c r="AC59" s="8"/>
      <c r="AD59" s="73"/>
      <c r="AE59" s="75">
        <f>E59+K59+S59+X59+AD59</f>
        <v>11636950231.481482</v>
      </c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67" t="s">
        <v>12</v>
      </c>
      <c r="D62" s="68"/>
      <c r="E62" s="16"/>
      <c r="F62" s="67" t="s">
        <v>41</v>
      </c>
      <c r="G62" s="68"/>
      <c r="H62" s="68"/>
      <c r="I62" s="68"/>
      <c r="J62" s="68"/>
      <c r="K62" s="16"/>
      <c r="L62" s="67" t="s">
        <v>55</v>
      </c>
      <c r="M62" s="67"/>
      <c r="N62" s="68"/>
      <c r="O62" s="68"/>
      <c r="P62" s="68"/>
      <c r="Q62" s="68"/>
      <c r="R62" s="68"/>
      <c r="S62" s="16"/>
      <c r="T62" s="67" t="s">
        <v>66</v>
      </c>
      <c r="U62" s="67"/>
      <c r="V62" s="67"/>
      <c r="W62" s="68"/>
      <c r="X62" s="16"/>
      <c r="Y62" s="67" t="s">
        <v>60</v>
      </c>
      <c r="Z62" s="68"/>
      <c r="AA62" s="68"/>
      <c r="AB62" s="68"/>
      <c r="AC62" s="1"/>
      <c r="AD62" s="69"/>
      <c r="AE62" s="40" t="s">
        <v>6</v>
      </c>
      <c r="AF62" s="1"/>
    </row>
    <row r="63" spans="1:32" ht="12.75">
      <c r="A63" s="1"/>
      <c r="B63" s="1" t="s">
        <v>189</v>
      </c>
      <c r="C63" s="9"/>
      <c r="D63" s="10" t="s">
        <v>16</v>
      </c>
      <c r="E63" s="11" t="s">
        <v>17</v>
      </c>
      <c r="F63" s="10"/>
      <c r="G63" s="10" t="s">
        <v>16</v>
      </c>
      <c r="H63" s="10" t="s">
        <v>39</v>
      </c>
      <c r="I63" s="10" t="s">
        <v>51</v>
      </c>
      <c r="J63" s="10" t="s">
        <v>53</v>
      </c>
      <c r="K63" s="11" t="s">
        <v>17</v>
      </c>
      <c r="L63" s="10"/>
      <c r="M63" s="10"/>
      <c r="N63" s="10" t="s">
        <v>58</v>
      </c>
      <c r="O63" s="10" t="s">
        <v>59</v>
      </c>
      <c r="P63" s="10" t="s">
        <v>39</v>
      </c>
      <c r="Q63" s="10" t="s">
        <v>73</v>
      </c>
      <c r="R63" s="10" t="s">
        <v>53</v>
      </c>
      <c r="S63" s="11" t="s">
        <v>17</v>
      </c>
      <c r="T63" s="9"/>
      <c r="U63" s="17"/>
      <c r="V63" s="17" t="s">
        <v>188</v>
      </c>
      <c r="W63" s="10" t="s">
        <v>16</v>
      </c>
      <c r="X63" s="11" t="s">
        <v>17</v>
      </c>
      <c r="Y63" s="17" t="s">
        <v>65</v>
      </c>
      <c r="Z63" s="10" t="s">
        <v>61</v>
      </c>
      <c r="AA63" s="10" t="s">
        <v>62</v>
      </c>
      <c r="AB63" s="10" t="s">
        <v>51</v>
      </c>
      <c r="AC63" s="10" t="s">
        <v>53</v>
      </c>
      <c r="AD63" s="11" t="s">
        <v>17</v>
      </c>
      <c r="AE63" s="41" t="s">
        <v>17</v>
      </c>
      <c r="AF63" s="1"/>
    </row>
    <row r="64" spans="1:32" ht="12.75">
      <c r="A64" s="70" t="s">
        <v>70</v>
      </c>
      <c r="B64" s="1" t="s">
        <v>190</v>
      </c>
      <c r="C64" s="12" t="s">
        <v>20</v>
      </c>
      <c r="D64" s="13" t="s">
        <v>18</v>
      </c>
      <c r="E64" s="14" t="s">
        <v>19</v>
      </c>
      <c r="F64" s="12" t="s">
        <v>38</v>
      </c>
      <c r="G64" s="13" t="s">
        <v>18</v>
      </c>
      <c r="H64" s="13" t="s">
        <v>40</v>
      </c>
      <c r="I64" s="13" t="s">
        <v>52</v>
      </c>
      <c r="J64" s="13" t="s">
        <v>54</v>
      </c>
      <c r="K64" s="14" t="s">
        <v>19</v>
      </c>
      <c r="L64" s="12" t="s">
        <v>56</v>
      </c>
      <c r="M64" s="13" t="s">
        <v>57</v>
      </c>
      <c r="N64" s="13" t="s">
        <v>18</v>
      </c>
      <c r="O64" s="13" t="s">
        <v>18</v>
      </c>
      <c r="P64" s="13" t="s">
        <v>40</v>
      </c>
      <c r="Q64" s="13" t="s">
        <v>52</v>
      </c>
      <c r="R64" s="13" t="s">
        <v>54</v>
      </c>
      <c r="S64" s="14" t="s">
        <v>19</v>
      </c>
      <c r="T64" s="12" t="s">
        <v>57</v>
      </c>
      <c r="U64" s="13" t="s">
        <v>122</v>
      </c>
      <c r="V64" s="13" t="s">
        <v>187</v>
      </c>
      <c r="W64" s="13" t="s">
        <v>18</v>
      </c>
      <c r="X64" s="14" t="s">
        <v>19</v>
      </c>
      <c r="Y64" s="13"/>
      <c r="Z64" s="13" t="s">
        <v>18</v>
      </c>
      <c r="AA64" s="13" t="s">
        <v>40</v>
      </c>
      <c r="AB64" s="13" t="s">
        <v>52</v>
      </c>
      <c r="AC64" s="13" t="s">
        <v>54</v>
      </c>
      <c r="AD64" s="14" t="s">
        <v>19</v>
      </c>
      <c r="AE64" s="41" t="s">
        <v>19</v>
      </c>
      <c r="AF64" s="1"/>
    </row>
    <row r="65" spans="1:32" ht="12.75">
      <c r="A65" s="1" t="s">
        <v>5</v>
      </c>
      <c r="B65" s="5">
        <f>B59</f>
        <v>2160</v>
      </c>
      <c r="C65" s="76">
        <f>B65*'FC-LandUses'!$B$45</f>
        <v>23.625</v>
      </c>
      <c r="D65" s="71">
        <f>C65*'FC-LandUses'!$B$74</f>
        <v>11812500000</v>
      </c>
      <c r="E65" s="72">
        <f>D65/B65</f>
        <v>5468750</v>
      </c>
      <c r="F65" s="5"/>
      <c r="G65" s="8"/>
      <c r="H65" s="8"/>
      <c r="I65" s="8"/>
      <c r="J65" s="8"/>
      <c r="K65" s="69"/>
      <c r="L65" s="5">
        <f>L59</f>
        <v>0</v>
      </c>
      <c r="M65" s="5">
        <f>M59</f>
        <v>220</v>
      </c>
      <c r="N65" s="8">
        <f>L65*'FC-LandUses'!$F$56</f>
        <v>0</v>
      </c>
      <c r="O65" s="8">
        <f>M65*'FC-LandUses'!$F$55</f>
        <v>25124000000000</v>
      </c>
      <c r="P65" s="8">
        <f>(N65*365)+(O65*(365-'FC-Cattle Farming'!$B$45))</f>
        <v>0</v>
      </c>
      <c r="Q65" s="8">
        <f>(N65*365)*'FC-Manure Application'!J29+(O65*(365-'FC-Cattle Farming'!$B$45))*'FC-Manure Application'!J41</f>
        <v>0</v>
      </c>
      <c r="R65" s="8">
        <f>Q65/30</f>
        <v>0</v>
      </c>
      <c r="S65" s="73">
        <f>R65/'FC-LandUses'!E8</f>
        <v>0</v>
      </c>
      <c r="T65" s="78">
        <f>T59</f>
        <v>220</v>
      </c>
      <c r="U65" s="78">
        <f>+T65*'FC-Cattle Farming'!$B$25</f>
        <v>220</v>
      </c>
      <c r="V65" s="79">
        <f>+(1-'FC-Cattle Farming'!$C$25)</f>
        <v>1</v>
      </c>
      <c r="W65" s="71">
        <f>(1-'OPT-Decisions'!$C$36)*U65*V65*'FC-LandUses'!$F$55</f>
        <v>25124000000000</v>
      </c>
      <c r="X65" s="72">
        <f>W65/B65</f>
        <v>11631481481.481482</v>
      </c>
      <c r="Y65" s="74"/>
      <c r="Z65" s="8"/>
      <c r="AA65" s="8"/>
      <c r="AB65" s="8"/>
      <c r="AC65" s="8"/>
      <c r="AD65" s="73"/>
      <c r="AE65" s="75">
        <f>E65+K65+S65+X65+AD65</f>
        <v>11636950231.481482</v>
      </c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1"/>
      <c r="C68" s="67" t="s">
        <v>12</v>
      </c>
      <c r="D68" s="68"/>
      <c r="E68" s="16"/>
      <c r="F68" s="67" t="s">
        <v>41</v>
      </c>
      <c r="G68" s="68"/>
      <c r="H68" s="68"/>
      <c r="I68" s="68"/>
      <c r="J68" s="68"/>
      <c r="K68" s="16"/>
      <c r="L68" s="67" t="s">
        <v>55</v>
      </c>
      <c r="M68" s="67"/>
      <c r="N68" s="68"/>
      <c r="O68" s="68"/>
      <c r="P68" s="68"/>
      <c r="Q68" s="68"/>
      <c r="R68" s="68"/>
      <c r="S68" s="16"/>
      <c r="T68" s="67" t="s">
        <v>66</v>
      </c>
      <c r="U68" s="67"/>
      <c r="V68" s="67"/>
      <c r="W68" s="68"/>
      <c r="X68" s="16"/>
      <c r="Y68" s="67" t="s">
        <v>60</v>
      </c>
      <c r="Z68" s="68"/>
      <c r="AA68" s="68"/>
      <c r="AB68" s="68"/>
      <c r="AC68" s="1"/>
      <c r="AD68" s="69"/>
      <c r="AE68" s="40" t="s">
        <v>6</v>
      </c>
      <c r="AF68" s="1"/>
    </row>
    <row r="69" spans="1:32" ht="12.75">
      <c r="A69" s="1"/>
      <c r="B69" s="1" t="s">
        <v>189</v>
      </c>
      <c r="C69" s="9"/>
      <c r="D69" s="10" t="s">
        <v>16</v>
      </c>
      <c r="E69" s="11" t="s">
        <v>17</v>
      </c>
      <c r="F69" s="10"/>
      <c r="G69" s="10" t="s">
        <v>16</v>
      </c>
      <c r="H69" s="10" t="s">
        <v>39</v>
      </c>
      <c r="I69" s="10" t="s">
        <v>51</v>
      </c>
      <c r="J69" s="10" t="s">
        <v>53</v>
      </c>
      <c r="K69" s="11" t="s">
        <v>17</v>
      </c>
      <c r="L69" s="10"/>
      <c r="M69" s="10"/>
      <c r="N69" s="10" t="s">
        <v>58</v>
      </c>
      <c r="O69" s="10" t="s">
        <v>59</v>
      </c>
      <c r="P69" s="10" t="s">
        <v>39</v>
      </c>
      <c r="Q69" s="10" t="s">
        <v>73</v>
      </c>
      <c r="R69" s="10" t="s">
        <v>53</v>
      </c>
      <c r="S69" s="11" t="s">
        <v>17</v>
      </c>
      <c r="T69" s="9"/>
      <c r="U69" s="17"/>
      <c r="V69" s="17" t="s">
        <v>188</v>
      </c>
      <c r="W69" s="10" t="s">
        <v>16</v>
      </c>
      <c r="X69" s="11" t="s">
        <v>17</v>
      </c>
      <c r="Y69" s="17" t="s">
        <v>65</v>
      </c>
      <c r="Z69" s="10" t="s">
        <v>61</v>
      </c>
      <c r="AA69" s="10" t="s">
        <v>62</v>
      </c>
      <c r="AB69" s="10" t="s">
        <v>51</v>
      </c>
      <c r="AC69" s="10" t="s">
        <v>53</v>
      </c>
      <c r="AD69" s="11" t="s">
        <v>17</v>
      </c>
      <c r="AE69" s="41" t="s">
        <v>17</v>
      </c>
      <c r="AF69" s="1"/>
    </row>
    <row r="70" spans="1:32" ht="12.75">
      <c r="A70" s="70" t="s">
        <v>48</v>
      </c>
      <c r="B70" s="1" t="s">
        <v>190</v>
      </c>
      <c r="C70" s="12" t="s">
        <v>20</v>
      </c>
      <c r="D70" s="13" t="s">
        <v>18</v>
      </c>
      <c r="E70" s="14" t="s">
        <v>19</v>
      </c>
      <c r="F70" s="12" t="s">
        <v>38</v>
      </c>
      <c r="G70" s="13" t="s">
        <v>18</v>
      </c>
      <c r="H70" s="13" t="s">
        <v>40</v>
      </c>
      <c r="I70" s="13" t="s">
        <v>52</v>
      </c>
      <c r="J70" s="13" t="s">
        <v>54</v>
      </c>
      <c r="K70" s="14" t="s">
        <v>19</v>
      </c>
      <c r="L70" s="12" t="s">
        <v>56</v>
      </c>
      <c r="M70" s="13" t="s">
        <v>57</v>
      </c>
      <c r="N70" s="13" t="s">
        <v>18</v>
      </c>
      <c r="O70" s="13" t="s">
        <v>18</v>
      </c>
      <c r="P70" s="13" t="s">
        <v>40</v>
      </c>
      <c r="Q70" s="13" t="s">
        <v>52</v>
      </c>
      <c r="R70" s="13" t="s">
        <v>54</v>
      </c>
      <c r="S70" s="14" t="s">
        <v>19</v>
      </c>
      <c r="T70" s="12" t="s">
        <v>57</v>
      </c>
      <c r="U70" s="13" t="s">
        <v>122</v>
      </c>
      <c r="V70" s="13" t="s">
        <v>187</v>
      </c>
      <c r="W70" s="13" t="s">
        <v>18</v>
      </c>
      <c r="X70" s="14" t="s">
        <v>19</v>
      </c>
      <c r="Y70" s="13"/>
      <c r="Z70" s="13" t="s">
        <v>18</v>
      </c>
      <c r="AA70" s="13" t="s">
        <v>40</v>
      </c>
      <c r="AB70" s="13" t="s">
        <v>52</v>
      </c>
      <c r="AC70" s="13" t="s">
        <v>54</v>
      </c>
      <c r="AD70" s="14" t="s">
        <v>19</v>
      </c>
      <c r="AE70" s="41" t="s">
        <v>19</v>
      </c>
      <c r="AF70" s="1"/>
    </row>
    <row r="71" spans="1:32" ht="12.75">
      <c r="A71" s="1" t="s">
        <v>5</v>
      </c>
      <c r="B71" s="5">
        <f>B65</f>
        <v>2160</v>
      </c>
      <c r="C71" s="76">
        <f>B71*'FC-LandUses'!$B$45</f>
        <v>23.625</v>
      </c>
      <c r="D71" s="71">
        <f>C71*'FC-LandUses'!$B$74</f>
        <v>11812500000</v>
      </c>
      <c r="E71" s="72">
        <f>D71/B71</f>
        <v>5468750</v>
      </c>
      <c r="F71" s="5"/>
      <c r="G71" s="8"/>
      <c r="H71" s="8"/>
      <c r="I71" s="8"/>
      <c r="J71" s="8"/>
      <c r="K71" s="69"/>
      <c r="L71" s="5">
        <f>L65</f>
        <v>0</v>
      </c>
      <c r="M71" s="5">
        <f>M65</f>
        <v>220</v>
      </c>
      <c r="N71" s="8">
        <f>L71*'FC-LandUses'!$F$56</f>
        <v>0</v>
      </c>
      <c r="O71" s="8">
        <f>M71*'FC-LandUses'!$F$55</f>
        <v>25124000000000</v>
      </c>
      <c r="P71" s="8">
        <f>(N71*365)+(O71*(365-'FC-Cattle Farming'!$B$45))</f>
        <v>0</v>
      </c>
      <c r="Q71" s="8">
        <f>(N71*365)*'FC-Manure Application'!K29+(O71*(365-'FC-Cattle Farming'!$B$45))*'FC-Manure Application'!K41</f>
        <v>0</v>
      </c>
      <c r="R71" s="8">
        <f>Q71/31</f>
        <v>0</v>
      </c>
      <c r="S71" s="77">
        <f>R71*('FC-LandUses'!E8/('FC-LandUses'!E8)/'FC-LandUses'!E8)</f>
        <v>0</v>
      </c>
      <c r="T71" s="78">
        <f>T65</f>
        <v>220</v>
      </c>
      <c r="U71" s="78">
        <f>+T71*'FC-Cattle Farming'!$B$26</f>
        <v>220</v>
      </c>
      <c r="V71" s="79">
        <f>+(1-'FC-Cattle Farming'!$C$26)</f>
        <v>1</v>
      </c>
      <c r="W71" s="71">
        <f>(1-'OPT-Decisions'!$C$36)*U71*V71*'FC-LandUses'!$F$55</f>
        <v>25124000000000</v>
      </c>
      <c r="X71" s="72">
        <f>W71/B71</f>
        <v>11631481481.481482</v>
      </c>
      <c r="Y71" s="74"/>
      <c r="Z71" s="8"/>
      <c r="AA71" s="8"/>
      <c r="AB71" s="8"/>
      <c r="AC71" s="8"/>
      <c r="AD71" s="73"/>
      <c r="AE71" s="75">
        <f>E71+K71+S71+X71+AD71</f>
        <v>11636950231.481482</v>
      </c>
      <c r="AF71" s="1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1"/>
      <c r="C74" s="67" t="s">
        <v>12</v>
      </c>
      <c r="D74" s="68"/>
      <c r="E74" s="16"/>
      <c r="F74" s="67" t="s">
        <v>41</v>
      </c>
      <c r="G74" s="68"/>
      <c r="H74" s="68"/>
      <c r="I74" s="68"/>
      <c r="J74" s="68"/>
      <c r="K74" s="16"/>
      <c r="L74" s="67" t="s">
        <v>55</v>
      </c>
      <c r="M74" s="67"/>
      <c r="N74" s="68"/>
      <c r="O74" s="68"/>
      <c r="P74" s="68"/>
      <c r="Q74" s="68"/>
      <c r="R74" s="68"/>
      <c r="S74" s="16"/>
      <c r="T74" s="67" t="s">
        <v>66</v>
      </c>
      <c r="U74" s="67"/>
      <c r="V74" s="67"/>
      <c r="W74" s="68"/>
      <c r="X74" s="16"/>
      <c r="Y74" s="67" t="s">
        <v>60</v>
      </c>
      <c r="Z74" s="68"/>
      <c r="AA74" s="68"/>
      <c r="AB74" s="68"/>
      <c r="AC74" s="1"/>
      <c r="AD74" s="69"/>
      <c r="AE74" s="40" t="s">
        <v>6</v>
      </c>
      <c r="AF74" s="1"/>
    </row>
    <row r="75" spans="1:32" ht="12.75">
      <c r="A75" s="1"/>
      <c r="B75" s="1" t="s">
        <v>189</v>
      </c>
      <c r="C75" s="9"/>
      <c r="D75" s="10" t="s">
        <v>16</v>
      </c>
      <c r="E75" s="11" t="s">
        <v>17</v>
      </c>
      <c r="F75" s="10"/>
      <c r="G75" s="10" t="s">
        <v>16</v>
      </c>
      <c r="H75" s="10" t="s">
        <v>39</v>
      </c>
      <c r="I75" s="10" t="s">
        <v>51</v>
      </c>
      <c r="J75" s="10" t="s">
        <v>53</v>
      </c>
      <c r="K75" s="11" t="s">
        <v>17</v>
      </c>
      <c r="L75" s="10"/>
      <c r="M75" s="10"/>
      <c r="N75" s="10" t="s">
        <v>58</v>
      </c>
      <c r="O75" s="10" t="s">
        <v>59</v>
      </c>
      <c r="P75" s="10" t="s">
        <v>39</v>
      </c>
      <c r="Q75" s="10" t="s">
        <v>73</v>
      </c>
      <c r="R75" s="10" t="s">
        <v>53</v>
      </c>
      <c r="S75" s="11" t="s">
        <v>17</v>
      </c>
      <c r="T75" s="9"/>
      <c r="U75" s="17"/>
      <c r="V75" s="17" t="s">
        <v>188</v>
      </c>
      <c r="W75" s="10" t="s">
        <v>16</v>
      </c>
      <c r="X75" s="11" t="s">
        <v>17</v>
      </c>
      <c r="Y75" s="17" t="s">
        <v>65</v>
      </c>
      <c r="Z75" s="10" t="s">
        <v>61</v>
      </c>
      <c r="AA75" s="10" t="s">
        <v>62</v>
      </c>
      <c r="AB75" s="10" t="s">
        <v>51</v>
      </c>
      <c r="AC75" s="10" t="s">
        <v>53</v>
      </c>
      <c r="AD75" s="11" t="s">
        <v>17</v>
      </c>
      <c r="AE75" s="41" t="s">
        <v>17</v>
      </c>
      <c r="AF75" s="1"/>
    </row>
    <row r="76" spans="1:32" ht="12.75">
      <c r="A76" s="70" t="s">
        <v>49</v>
      </c>
      <c r="B76" s="1" t="s">
        <v>190</v>
      </c>
      <c r="C76" s="12" t="s">
        <v>20</v>
      </c>
      <c r="D76" s="13" t="s">
        <v>18</v>
      </c>
      <c r="E76" s="14" t="s">
        <v>19</v>
      </c>
      <c r="F76" s="12" t="s">
        <v>38</v>
      </c>
      <c r="G76" s="13" t="s">
        <v>18</v>
      </c>
      <c r="H76" s="13" t="s">
        <v>40</v>
      </c>
      <c r="I76" s="13" t="s">
        <v>52</v>
      </c>
      <c r="J76" s="13" t="s">
        <v>54</v>
      </c>
      <c r="K76" s="14" t="s">
        <v>19</v>
      </c>
      <c r="L76" s="12" t="s">
        <v>56</v>
      </c>
      <c r="M76" s="13" t="s">
        <v>57</v>
      </c>
      <c r="N76" s="13" t="s">
        <v>18</v>
      </c>
      <c r="O76" s="13" t="s">
        <v>18</v>
      </c>
      <c r="P76" s="13" t="s">
        <v>40</v>
      </c>
      <c r="Q76" s="13" t="s">
        <v>52</v>
      </c>
      <c r="R76" s="13" t="s">
        <v>54</v>
      </c>
      <c r="S76" s="14" t="s">
        <v>19</v>
      </c>
      <c r="T76" s="12" t="s">
        <v>57</v>
      </c>
      <c r="U76" s="13" t="s">
        <v>122</v>
      </c>
      <c r="V76" s="13" t="s">
        <v>187</v>
      </c>
      <c r="W76" s="13" t="s">
        <v>18</v>
      </c>
      <c r="X76" s="14" t="s">
        <v>19</v>
      </c>
      <c r="Y76" s="13"/>
      <c r="Z76" s="13" t="s">
        <v>18</v>
      </c>
      <c r="AA76" s="13" t="s">
        <v>40</v>
      </c>
      <c r="AB76" s="13" t="s">
        <v>52</v>
      </c>
      <c r="AC76" s="13" t="s">
        <v>54</v>
      </c>
      <c r="AD76" s="14" t="s">
        <v>19</v>
      </c>
      <c r="AE76" s="41" t="s">
        <v>19</v>
      </c>
      <c r="AF76" s="1"/>
    </row>
    <row r="77" spans="1:32" ht="12.75">
      <c r="A77" s="1" t="s">
        <v>5</v>
      </c>
      <c r="B77" s="5">
        <f>B71</f>
        <v>2160</v>
      </c>
      <c r="C77" s="76">
        <f>B77*'FC-LandUses'!$B$45</f>
        <v>23.625</v>
      </c>
      <c r="D77" s="71">
        <f>C77*'FC-LandUses'!$B$74</f>
        <v>11812500000</v>
      </c>
      <c r="E77" s="72">
        <f>D77/B77</f>
        <v>5468750</v>
      </c>
      <c r="F77" s="5"/>
      <c r="G77" s="8"/>
      <c r="H77" s="8"/>
      <c r="I77" s="8"/>
      <c r="J77" s="8"/>
      <c r="K77" s="69"/>
      <c r="L77" s="5">
        <f>L71</f>
        <v>0</v>
      </c>
      <c r="M77" s="5">
        <f>M71</f>
        <v>220</v>
      </c>
      <c r="N77" s="8">
        <f>L77*'FC-LandUses'!$F$56</f>
        <v>0</v>
      </c>
      <c r="O77" s="8">
        <f>M77*'FC-LandUses'!$F$55</f>
        <v>25124000000000</v>
      </c>
      <c r="P77" s="8">
        <f>(N77*365)+(O77*(365-'FC-Cattle Farming'!$B$45))</f>
        <v>0</v>
      </c>
      <c r="Q77" s="8">
        <f>(N77*365)*'FC-Manure Application'!L29+(O77*(365-'FC-Cattle Farming'!$B$45))*'FC-Manure Application'!L41</f>
        <v>0</v>
      </c>
      <c r="R77" s="8">
        <f>Q77/30</f>
        <v>0</v>
      </c>
      <c r="S77" s="77">
        <f>R77*('FC-LandUses'!E8/('FC-LandUses'!E8)/'FC-LandUses'!E8)</f>
        <v>0</v>
      </c>
      <c r="T77" s="78">
        <f>T71</f>
        <v>220</v>
      </c>
      <c r="U77" s="78">
        <f>+T77*'FC-Cattle Farming'!$B$27</f>
        <v>220</v>
      </c>
      <c r="V77" s="79">
        <f>+(1-'FC-Cattle Farming'!$C$27)</f>
        <v>1</v>
      </c>
      <c r="W77" s="71">
        <f>(1-'OPT-Decisions'!$C$36)*U77*V77*'FC-LandUses'!$F$55</f>
        <v>25124000000000</v>
      </c>
      <c r="X77" s="72">
        <f>W77/B77</f>
        <v>11631481481.481482</v>
      </c>
      <c r="Y77" s="74"/>
      <c r="Z77" s="8"/>
      <c r="AA77" s="8"/>
      <c r="AB77" s="8"/>
      <c r="AC77" s="8"/>
      <c r="AD77" s="73"/>
      <c r="AE77" s="75">
        <f>E77+K77+S77+X77+AD77</f>
        <v>11636950231.481482</v>
      </c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67" t="s">
        <v>12</v>
      </c>
      <c r="D80" s="68"/>
      <c r="E80" s="16"/>
      <c r="F80" s="67" t="s">
        <v>41</v>
      </c>
      <c r="G80" s="68"/>
      <c r="H80" s="68"/>
      <c r="I80" s="68"/>
      <c r="J80" s="68"/>
      <c r="K80" s="16"/>
      <c r="L80" s="67" t="s">
        <v>55</v>
      </c>
      <c r="M80" s="67"/>
      <c r="N80" s="68"/>
      <c r="O80" s="68"/>
      <c r="P80" s="68"/>
      <c r="Q80" s="68"/>
      <c r="R80" s="68"/>
      <c r="S80" s="16"/>
      <c r="T80" s="67" t="s">
        <v>66</v>
      </c>
      <c r="U80" s="67"/>
      <c r="V80" s="67"/>
      <c r="W80" s="68"/>
      <c r="X80" s="16"/>
      <c r="Y80" s="67" t="s">
        <v>60</v>
      </c>
      <c r="Z80" s="68"/>
      <c r="AA80" s="68"/>
      <c r="AB80" s="68"/>
      <c r="AC80" s="1"/>
      <c r="AD80" s="69"/>
      <c r="AE80" s="40" t="s">
        <v>6</v>
      </c>
      <c r="AF80" s="1"/>
    </row>
    <row r="81" spans="1:32" ht="12.75">
      <c r="A81" s="1"/>
      <c r="B81" s="1" t="s">
        <v>189</v>
      </c>
      <c r="C81" s="9"/>
      <c r="D81" s="10" t="s">
        <v>16</v>
      </c>
      <c r="E81" s="11" t="s">
        <v>17</v>
      </c>
      <c r="F81" s="10"/>
      <c r="G81" s="10" t="s">
        <v>16</v>
      </c>
      <c r="H81" s="10" t="s">
        <v>39</v>
      </c>
      <c r="I81" s="10" t="s">
        <v>51</v>
      </c>
      <c r="J81" s="10" t="s">
        <v>53</v>
      </c>
      <c r="K81" s="11" t="s">
        <v>17</v>
      </c>
      <c r="L81" s="10"/>
      <c r="M81" s="10"/>
      <c r="N81" s="10" t="s">
        <v>58</v>
      </c>
      <c r="O81" s="10" t="s">
        <v>59</v>
      </c>
      <c r="P81" s="10" t="s">
        <v>39</v>
      </c>
      <c r="Q81" s="10" t="s">
        <v>73</v>
      </c>
      <c r="R81" s="10" t="s">
        <v>53</v>
      </c>
      <c r="S81" s="11" t="s">
        <v>17</v>
      </c>
      <c r="T81" s="9"/>
      <c r="U81" s="17"/>
      <c r="V81" s="17" t="s">
        <v>188</v>
      </c>
      <c r="W81" s="10" t="s">
        <v>16</v>
      </c>
      <c r="X81" s="11" t="s">
        <v>17</v>
      </c>
      <c r="Y81" s="17" t="s">
        <v>65</v>
      </c>
      <c r="Z81" s="10" t="s">
        <v>61</v>
      </c>
      <c r="AA81" s="10" t="s">
        <v>62</v>
      </c>
      <c r="AB81" s="10" t="s">
        <v>51</v>
      </c>
      <c r="AC81" s="10" t="s">
        <v>53</v>
      </c>
      <c r="AD81" s="11" t="s">
        <v>17</v>
      </c>
      <c r="AE81" s="41" t="s">
        <v>17</v>
      </c>
      <c r="AF81" s="1"/>
    </row>
    <row r="82" spans="1:32" ht="12.75">
      <c r="A82" s="70" t="s">
        <v>50</v>
      </c>
      <c r="B82" s="1" t="s">
        <v>190</v>
      </c>
      <c r="C82" s="12" t="s">
        <v>20</v>
      </c>
      <c r="D82" s="13" t="s">
        <v>18</v>
      </c>
      <c r="E82" s="14" t="s">
        <v>19</v>
      </c>
      <c r="F82" s="12" t="s">
        <v>38</v>
      </c>
      <c r="G82" s="13" t="s">
        <v>18</v>
      </c>
      <c r="H82" s="13" t="s">
        <v>40</v>
      </c>
      <c r="I82" s="13" t="s">
        <v>52</v>
      </c>
      <c r="J82" s="13" t="s">
        <v>54</v>
      </c>
      <c r="K82" s="14" t="s">
        <v>19</v>
      </c>
      <c r="L82" s="12" t="s">
        <v>56</v>
      </c>
      <c r="M82" s="13" t="s">
        <v>57</v>
      </c>
      <c r="N82" s="13" t="s">
        <v>18</v>
      </c>
      <c r="O82" s="13" t="s">
        <v>18</v>
      </c>
      <c r="P82" s="13" t="s">
        <v>40</v>
      </c>
      <c r="Q82" s="13" t="s">
        <v>52</v>
      </c>
      <c r="R82" s="13" t="s">
        <v>54</v>
      </c>
      <c r="S82" s="14" t="s">
        <v>19</v>
      </c>
      <c r="T82" s="12" t="s">
        <v>57</v>
      </c>
      <c r="U82" s="13" t="s">
        <v>122</v>
      </c>
      <c r="V82" s="13" t="s">
        <v>187</v>
      </c>
      <c r="W82" s="13" t="s">
        <v>18</v>
      </c>
      <c r="X82" s="14" t="s">
        <v>19</v>
      </c>
      <c r="Y82" s="13"/>
      <c r="Z82" s="13" t="s">
        <v>18</v>
      </c>
      <c r="AA82" s="13" t="s">
        <v>40</v>
      </c>
      <c r="AB82" s="13" t="s">
        <v>52</v>
      </c>
      <c r="AC82" s="13" t="s">
        <v>54</v>
      </c>
      <c r="AD82" s="14" t="s">
        <v>19</v>
      </c>
      <c r="AE82" s="41" t="s">
        <v>19</v>
      </c>
      <c r="AF82" s="1"/>
    </row>
    <row r="83" spans="1:32" ht="12.75">
      <c r="A83" s="1" t="s">
        <v>5</v>
      </c>
      <c r="B83" s="5">
        <f>B77</f>
        <v>2160</v>
      </c>
      <c r="C83" s="76">
        <f>B83*'FC-LandUses'!$B$45</f>
        <v>23.625</v>
      </c>
      <c r="D83" s="71">
        <f>C83*'FC-LandUses'!$B$74</f>
        <v>11812500000</v>
      </c>
      <c r="E83" s="72">
        <f>D83/B83</f>
        <v>5468750</v>
      </c>
      <c r="F83" s="5"/>
      <c r="G83" s="8"/>
      <c r="H83" s="8"/>
      <c r="I83" s="8"/>
      <c r="J83" s="8"/>
      <c r="K83" s="69"/>
      <c r="L83" s="5">
        <f>L77</f>
        <v>0</v>
      </c>
      <c r="M83" s="5">
        <f>M77</f>
        <v>220</v>
      </c>
      <c r="N83" s="8">
        <f>L83*'FC-LandUses'!$F$56</f>
        <v>0</v>
      </c>
      <c r="O83" s="8">
        <f>M83*'FC-LandUses'!$F$55</f>
        <v>25124000000000</v>
      </c>
      <c r="P83" s="8">
        <f>(N83*365)+(O83*(365-'FC-Cattle Farming'!$B$45))</f>
        <v>0</v>
      </c>
      <c r="Q83" s="8">
        <f>(N83*365)*'FC-Manure Application'!M29+(O83*(365-'FC-Cattle Farming'!$B$45))*'FC-Manure Application'!M41</f>
        <v>0</v>
      </c>
      <c r="R83" s="8">
        <f>Q83/31</f>
        <v>0</v>
      </c>
      <c r="S83" s="77">
        <f>R83*('FC-LandUses'!E8/('FC-LandUses'!E8)/'FC-LandUses'!E8)</f>
        <v>0</v>
      </c>
      <c r="T83" s="78">
        <f>T77</f>
        <v>220</v>
      </c>
      <c r="U83" s="78">
        <f>+T83*'FC-Cattle Farming'!$B$28</f>
        <v>220</v>
      </c>
      <c r="V83" s="79">
        <f>+(1-'FC-Cattle Farming'!$C$28)</f>
        <v>1</v>
      </c>
      <c r="W83" s="71">
        <f>(1-'OPT-Decisions'!$C$36)*U83*V83*'FC-LandUses'!$F$55</f>
        <v>25124000000000</v>
      </c>
      <c r="X83" s="72">
        <f>W83/B83</f>
        <v>11631481481.481482</v>
      </c>
      <c r="Y83" s="74"/>
      <c r="Z83" s="8"/>
      <c r="AA83" s="8"/>
      <c r="AB83" s="8"/>
      <c r="AC83" s="8"/>
      <c r="AD83" s="73"/>
      <c r="AE83" s="75">
        <f>E83+K83+S83+X83+AD83</f>
        <v>11636950231.481482</v>
      </c>
      <c r="AF83" s="1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printOptions/>
  <pageMargins left="0.25" right="0.25" top="0.25" bottom="0.25" header="0.5" footer="0.5"/>
  <pageSetup horizontalDpi="600" verticalDpi="600" orientation="landscape" scale="70" r:id="rId1"/>
  <rowBreaks count="3" manualBreakCount="3">
    <brk id="31" max="255" man="1"/>
    <brk id="55" max="255" man="1"/>
    <brk id="7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Kratt</dc:creator>
  <cp:keywords/>
  <dc:description/>
  <cp:lastModifiedBy>user2</cp:lastModifiedBy>
  <cp:lastPrinted>2001-08-23T17:15:37Z</cp:lastPrinted>
  <dcterms:created xsi:type="dcterms:W3CDTF">1998-11-13T23:01:34Z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