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15" windowHeight="6915" tabRatio="807" activeTab="2"/>
  </bookViews>
  <sheets>
    <sheet name="Documentation" sheetId="1" r:id="rId1"/>
    <sheet name="Report" sheetId="2" r:id="rId2"/>
    <sheet name="Data Entry" sheetId="3" r:id="rId3"/>
    <sheet name="CIPM Air Density" sheetId="4" r:id="rId4"/>
    <sheet name="Calculations" sheetId="5" r:id="rId5"/>
    <sheet name="Uncertainty Analysis" sheetId="6" r:id="rId6"/>
    <sheet name="Standards" sheetId="7" r:id="rId7"/>
    <sheet name="Tables &amp; Lists" sheetId="8" r:id="rId8"/>
  </sheets>
  <externalReferences>
    <externalReference r:id="rId11"/>
    <externalReference r:id="rId12"/>
    <externalReference r:id="rId13"/>
  </externalReferences>
  <definedNames>
    <definedName name="__123Graph_A" hidden="1">'[1]H145LPG'!$I$99:$I$118</definedName>
    <definedName name="__123Graph_B" hidden="1">'[1]H145LPG'!$J$99:$J$118</definedName>
    <definedName name="__123Graph_LBL_A" hidden="1">'[1]H145LPG'!$I$120:$I$120</definedName>
    <definedName name="__123Graph_LBL_B" hidden="1">'[1]H145LPG'!$J$120:$J$120</definedName>
    <definedName name="__123Graph_X" hidden="1">'[1]H145LPG'!$G$99:$G$118</definedName>
    <definedName name="_Fill" hidden="1">'[1]H145LPG'!$F$67:$F$73</definedName>
    <definedName name="_Table1_In1" localSheetId="5" hidden="1">'[2]2 Liter'!$B$33</definedName>
    <definedName name="_Table1_In1" hidden="1">#REF!</definedName>
    <definedName name="_Table1_Out" localSheetId="5" hidden="1">'[2]2 Liter'!$B$33</definedName>
    <definedName name="_Table1_Out" hidden="1">#REF!</definedName>
    <definedName name="_Table2_In1" localSheetId="0" hidden="1">'[3]2 Liter'!$B$33</definedName>
    <definedName name="_Table2_In1" localSheetId="1" hidden="1">'[3]2 Liter'!$B$33</definedName>
    <definedName name="_Table2_In1" hidden="1">'[2]2 Liter'!$B$33</definedName>
    <definedName name="_Table2_Out" localSheetId="0" hidden="1">'[3]2 Liter'!$B$33</definedName>
    <definedName name="_Table2_Out" localSheetId="1" hidden="1">'[3]2 Liter'!$B$33</definedName>
    <definedName name="_Table2_Out" hidden="1">'[2]2 Liter'!$B$33</definedName>
    <definedName name="a">'Data Entry'!$D$13</definedName>
    <definedName name="ASTME1272">'Tables &amp; Lists'!$AB$6:$AD$15</definedName>
    <definedName name="ASTME288">'Tables &amp; Lists'!$V$6:$Z$15</definedName>
    <definedName name="Balance">'Standards'!$A$15:$C$15</definedName>
    <definedName name="Balance.List">'Standards'!$B$15:$B$15</definedName>
    <definedName name="BalUnits">'Data Entry'!$J$20</definedName>
    <definedName name="bias">'Data Entry'!#REF!</definedName>
    <definedName name="biasUnit">'Data Entry'!#REF!</definedName>
    <definedName name="Bus.Name">'Data Entry'!$C$4</definedName>
    <definedName name="Cal_Date">'Data Entry'!$D$19</definedName>
    <definedName name="CCE">'Tables &amp; Lists'!$S$5:$T$14</definedName>
    <definedName name="CIPM_Pa1">'CIPM Air Density'!$D$8</definedName>
    <definedName name="CIPM_Pa2">'CIPM Air Density'!$D$14</definedName>
    <definedName name="Condition">'Data Entry'!$C$14</definedName>
    <definedName name="Cs_1">'Data Entry'!$D$31</definedName>
    <definedName name="Cs_2">'Data Entry'!$D$35</definedName>
    <definedName name="Description">'Data Entry'!$C$10</definedName>
    <definedName name="Description.list">'Tables &amp; Lists'!$G$16:$G$21</definedName>
    <definedName name="dup_sets">'Data Entry'!$I$21</definedName>
    <definedName name="Enviro.Stds">'Standards'!$A$11:$I$11</definedName>
    <definedName name="Interval">'Data Entry'!$J$16</definedName>
    <definedName name="IntervalQ">'Data Entry'!$F$16</definedName>
    <definedName name="k_Ms1">'Data Entry'!$H$31</definedName>
    <definedName name="k_Ms2">'Data Entry'!$H$35</definedName>
    <definedName name="Material">'Data Entry'!$C$12</definedName>
    <definedName name="Material.List">'Tables &amp; Lists'!$S$5:$S$14</definedName>
    <definedName name="MFG">'Data Entry'!$C$11</definedName>
    <definedName name="Ms_1">'Calculations'!$C$12</definedName>
    <definedName name="Ms_2">'Calculations'!$C$13</definedName>
    <definedName name="Ms1_nom">'Data Entry'!$C$31</definedName>
    <definedName name="Ms2_nom">'Data Entry'!$C$35</definedName>
    <definedName name="NIST105_2">'Tables &amp; Lists'!$AK$5:$AL$16</definedName>
    <definedName name="NIST105_3">'Tables &amp; Lists'!$AP$5:$AQ$24</definedName>
    <definedName name="Nom_Val.List">'Tables &amp; Lists'!$I$5:$I$12</definedName>
    <definedName name="NomVal">'Data Entry'!$I$11</definedName>
    <definedName name="NomValueUnit">'Data Entry'!$F$11</definedName>
    <definedName name="NVLAP">'Data Entry'!$I$22</definedName>
    <definedName name="Obs1">'Data Entry'!$I$53</definedName>
    <definedName name="Obs1_Run2">'Data Entry'!$I$75</definedName>
    <definedName name="Obs2">'Data Entry'!$I$55</definedName>
    <definedName name="Obs2_Run2">'Data Entry'!$I$77</definedName>
    <definedName name="Obs3">'Data Entry'!$I$57</definedName>
    <definedName name="Obs3_Run2">'Data Entry'!$I$79</definedName>
    <definedName name="Obs4">'Data Entry'!$I$59</definedName>
    <definedName name="Obs4_Run2">'Data Entry'!$I$81</definedName>
    <definedName name="OIMLR43">'Tables &amp; Lists'!$AF$6:$AH$17</definedName>
    <definedName name="option">'Data Entry'!$I$23</definedName>
    <definedName name="Option.List">'Tables &amp; Lists'!$G$7:$G$8</definedName>
    <definedName name="P_1_end">'Data Entry'!$I$63</definedName>
    <definedName name="P_1_start">'Data Entry'!$I$49</definedName>
    <definedName name="P_2_end">'Data Entry'!$I$85</definedName>
    <definedName name="P_2_start">'Data Entry'!$I$71</definedName>
    <definedName name="P_corr">'Data Entry'!$E$42</definedName>
    <definedName name="P_Ms1">'Data Entry'!$I$31</definedName>
    <definedName name="P_Ms2">'Data Entry'!$I$35</definedName>
    <definedName name="Pa">'Calculations'!$C$4</definedName>
    <definedName name="Pa2">'Calculations'!$C$5</definedName>
    <definedName name="PO.Number">'Data Entry'!$I$4</definedName>
    <definedName name="POC.Name">'Data Entry'!$I$5</definedName>
    <definedName name="POC.Phone">'Data Entry'!$I$6</definedName>
    <definedName name="_xlnm.Print_Area" localSheetId="4">'Calculations'!$A$1:$H$38</definedName>
    <definedName name="_xlnm.Print_Area" localSheetId="3">'CIPM Air Density'!$A$1:$H$15</definedName>
    <definedName name="_xlnm.Print_Area" localSheetId="2">'Data Entry'!$A$1:$J$88</definedName>
    <definedName name="_xlnm.Print_Area" localSheetId="6">'Standards'!$A$1:$L$31</definedName>
    <definedName name="_xlnm.Print_Area" localSheetId="7">'Tables &amp; Lists'!$A$1:$G$39,'Tables &amp; Lists'!$I$1:$AT$24</definedName>
    <definedName name="_xlnm.Print_Area" localSheetId="5">'Uncertainty Analysis'!$A$1:$Q$186</definedName>
    <definedName name="_xlnm.Print_Titles" localSheetId="2">'Data Entry'!$1:$2</definedName>
    <definedName name="_xlnm.Print_Titles" localSheetId="1">'Report'!$1:$7</definedName>
    <definedName name="_xlnm.Print_Titles" localSheetId="6">'Standards'!$1:$1</definedName>
    <definedName name="_xlnm.Print_Titles" localSheetId="7">'Tables &amp; Lists'!$1:$2</definedName>
    <definedName name="_xlnm.Print_Titles" localSheetId="5">'Uncertainty Analysis'!$1:$2</definedName>
    <definedName name="Pw1">'Calculations'!$C$8</definedName>
    <definedName name="Pw2">'Calculations'!$C$9</definedName>
    <definedName name="Q.list">'Tables &amp; Lists'!$G$13:$G$14</definedName>
    <definedName name="Ref_Temp.List">'Tables &amp; Lists'!$G$4:$G$5</definedName>
    <definedName name="RefTemp">'Data Entry'!$I$14</definedName>
    <definedName name="RefTempUnit">'Data Entry'!$F$14</definedName>
    <definedName name="ReportedUnc">'Uncertainty Analysis'!$F$151</definedName>
    <definedName name="Rmean">'Data Entry'!$D$21</definedName>
    <definedName name="Rnd.Table">'Tables &amp; Lists'!$A$4:$B$32</definedName>
    <definedName name="RptNo">'Data Entry'!$I$1</definedName>
    <definedName name="Slicker.Stmt">'Tables &amp; Lists'!$A$39</definedName>
    <definedName name="SN">'Data Entry'!$I$12</definedName>
    <definedName name="Spec">'Data Entry'!$H$13</definedName>
    <definedName name="Spec.List">'Tables &amp; Lists'!$AS$5:$AS$15</definedName>
    <definedName name="Stds.Table">'Standards'!$A$7:$L$7</definedName>
    <definedName name="t_air_corr">'Data Entry'!$E$41</definedName>
    <definedName name="t_air1_end">'Data Entry'!$I$62</definedName>
    <definedName name="t_air1_start">'Data Entry'!$I$48</definedName>
    <definedName name="t_air2_end">'Data Entry'!$I$84</definedName>
    <definedName name="t_air2_start">'Data Entry'!$I$70</definedName>
    <definedName name="t_water_corr">'Data Entry'!$E$40</definedName>
    <definedName name="Table_9.1">'Tables &amp; Lists'!$D$4:$E$34</definedName>
    <definedName name="Tech">'Data Entry'!$H$19</definedName>
    <definedName name="ToContain.Stmt">'Tables &amp; Lists'!$A$38</definedName>
    <definedName name="ToDeliver.Stmt">'Tables &amp; Lists'!$A$37</definedName>
    <definedName name="tolerance">'Tables &amp; Lists'!$AS$5:$AT$15</definedName>
    <definedName name="tw1">'Data Entry'!$I$61</definedName>
    <definedName name="tw2">'Data Entry'!$I$83</definedName>
    <definedName name="TypeCal">'Data Entry'!$I$15</definedName>
    <definedName name="TypeCal.List">'Tables &amp; Lists'!$G$10:$G$11</definedName>
    <definedName name="U_1_end">'Data Entry'!$I$64</definedName>
    <definedName name="U_1_start">'Data Entry'!$I$50</definedName>
    <definedName name="U_2_end">'Data Entry'!$I$86</definedName>
    <definedName name="U_2_start">'Data Entry'!$I$72</definedName>
    <definedName name="U_corr">'Data Entry'!$E$43</definedName>
    <definedName name="U_Ms1">'Data Entry'!$F$31</definedName>
    <definedName name="U_Ms2">'Data Entry'!$F$35</definedName>
    <definedName name="U_P_Ms1">'Data Entry'!$J$31</definedName>
    <definedName name="U_P_Ms2">'Data Entry'!$J$35</definedName>
    <definedName name="UncA">'Uncertainty Analysis'!$B$69</definedName>
    <definedName name="UncB">'Uncertainty Analysis'!$B$128</definedName>
    <definedName name="Up_reported">'Data Entry'!$G$42</definedName>
    <definedName name="Urh_reported">'Data Entry'!$G$43</definedName>
    <definedName name="Ut_air_reported">'Data Entry'!$G$41</definedName>
    <definedName name="Ut_water_reported">'Data Entry'!$G$40</definedName>
    <definedName name="VolTable">'Tables &amp; Lists'!$I$5:$Q$12</definedName>
    <definedName name="WODate">'Data Entry'!$I$10</definedName>
  </definedNames>
  <calcPr fullCalcOnLoad="1"/>
</workbook>
</file>

<file path=xl/comments3.xml><?xml version="1.0" encoding="utf-8"?>
<comments xmlns="http://schemas.openxmlformats.org/spreadsheetml/2006/main">
  <authors>
    <author>Dan Wright</author>
  </authors>
  <commentList>
    <comment ref="D39" authorId="0">
      <text>
        <r>
          <rPr>
            <b/>
            <sz val="10"/>
            <color indexed="61"/>
            <rFont val="Trebuchet MS"/>
            <family val="2"/>
          </rPr>
          <t>H1 - Humidity Probe SN: V3530001
H2 - Hygrometer SN: Q084229
H3 - Hygrometer SN: Q080537
P1 - Barometer SN: V3530001
P2 - Barometer SN: Y3250001
T1 - Digital Thermometer SN: 86270053
T2 - Temperature Probe SN: V3530001
T3 - Themometer, Liquid-in-Glass SN: 1V9658
T4 - Themometer, Liquid-in-Glass SN: 1V9649</t>
        </r>
      </text>
    </comment>
    <comment ref="B27" authorId="0">
      <text>
        <r>
          <rPr>
            <b/>
            <sz val="10"/>
            <color indexed="61"/>
            <rFont val="Trebuchet MS"/>
            <family val="2"/>
          </rPr>
          <t xml:space="preserve">A31 - 10 kg            W13 - 1 g
A32 - 20 kg            W14 - 2 g
A33 - 30 kg            W15 - 3 g
W01 - 1 mg            W16 - 5 g
W02 - 2 mg            W17 - 10 g
W03 - 3 mg            W18 - 20 g
W04 - 5 mg            W19 - 30 g
W05 - 10 mg          W20 - 50 g
W06 - 20 mg          W21 - 100 g
W07 - 30 mg          W22 - 200 g
W08 - 50 mg          W23 - 300 g
W09 - 100 mg        W24 - 500 g
W10 - 200 mg        W25 - 1 kg
W11 - 300 mg        W26 - 2 kg
W12 - 500 mg        W27 - 3 kg
                              W28 - 5 kg
</t>
        </r>
      </text>
    </comment>
    <comment ref="A20" authorId="0">
      <text>
        <r>
          <rPr>
            <b/>
            <sz val="10"/>
            <color indexed="61"/>
            <rFont val="Trebuchet MS"/>
            <family val="2"/>
          </rPr>
          <t>M3 - Mettler AT201
S1 - Sartorius CC50000 
S4 - Sartorius CC30002
S5 - Sartorius CC5001</t>
        </r>
      </text>
    </comment>
  </commentList>
</comments>
</file>

<file path=xl/sharedStrings.xml><?xml version="1.0" encoding="utf-8"?>
<sst xmlns="http://schemas.openxmlformats.org/spreadsheetml/2006/main" count="613" uniqueCount="384">
  <si>
    <t>Mass Standards Report Values</t>
  </si>
  <si>
    <t>g</t>
  </si>
  <si>
    <t>Customer Information</t>
  </si>
  <si>
    <t>Serial Number</t>
  </si>
  <si>
    <t>True Mass Correction (mg)</t>
  </si>
  <si>
    <t>k-factor</t>
  </si>
  <si>
    <t>ID Code</t>
  </si>
  <si>
    <t>Observations</t>
  </si>
  <si>
    <t>Pa</t>
  </si>
  <si>
    <t>Air Density Calculation Run 1</t>
  </si>
  <si>
    <t>Air Density Calculation Run 2</t>
  </si>
  <si>
    <t>Environmental Standard(s) Data</t>
  </si>
  <si>
    <t>Description</t>
  </si>
  <si>
    <t>Correction</t>
  </si>
  <si>
    <t>Type</t>
  </si>
  <si>
    <t>B</t>
  </si>
  <si>
    <t>A</t>
  </si>
  <si>
    <t>where</t>
  </si>
  <si>
    <t>Nominal Mass (g)</t>
  </si>
  <si>
    <t>31 to infinity</t>
  </si>
  <si>
    <t>Report Number</t>
  </si>
  <si>
    <t>Range of Trials =</t>
  </si>
  <si>
    <t>t =</t>
  </si>
  <si>
    <t>Measurement Information</t>
  </si>
  <si>
    <t>Starting Time and Environmental Conditions</t>
  </si>
  <si>
    <t>mL</t>
  </si>
  <si>
    <t>°K</t>
  </si>
  <si>
    <t>%</t>
  </si>
  <si>
    <t>Air Density Calculations, CIPM 1981/91 Formula, R. S. Davis</t>
  </si>
  <si>
    <t>Specify Procedure</t>
  </si>
  <si>
    <t>Specify Equation(s)</t>
  </si>
  <si>
    <t>Volume at reference temperature</t>
  </si>
  <si>
    <t>Result at measured temerature</t>
  </si>
  <si>
    <t>Water temperature</t>
  </si>
  <si>
    <t>Reference temperature</t>
  </si>
  <si>
    <t>Density of air (CIPM equation)</t>
  </si>
  <si>
    <t>Density of water (Patterson/Morris equation)</t>
  </si>
  <si>
    <t>Calculations</t>
  </si>
  <si>
    <t>Distribution</t>
  </si>
  <si>
    <t>Steel, Stainless</t>
  </si>
  <si>
    <t>Glass, Borosilicate (TICA)</t>
  </si>
  <si>
    <t>Glass, Borosilicate (TICB)</t>
  </si>
  <si>
    <t>Glass, Soda-Lime</t>
  </si>
  <si>
    <t>Artifact Information</t>
  </si>
  <si>
    <t>Trial 1</t>
  </si>
  <si>
    <t>Trial 2</t>
  </si>
  <si>
    <t>true mass of standard(s)</t>
  </si>
  <si>
    <t>TableError</t>
  </si>
  <si>
    <t>U (k=2) =</t>
  </si>
  <si>
    <t>Option A</t>
  </si>
  <si>
    <t>Option B</t>
  </si>
  <si>
    <t>NomValueUnit</t>
  </si>
  <si>
    <t>Vref</t>
  </si>
  <si>
    <t>U (k=2)</t>
  </si>
  <si>
    <t>RndFactor</t>
  </si>
  <si>
    <t>Vref Trial 1</t>
  </si>
  <si>
    <t>Vref Trial</t>
  </si>
  <si>
    <t>!!! Zero Balance Before Each Reading !!!</t>
  </si>
  <si>
    <t>!!! Zero Balance Before Each Observation !!!</t>
  </si>
  <si>
    <t>Artifact</t>
  </si>
  <si>
    <t>Submitted By</t>
  </si>
  <si>
    <t>Artifact Calibration Results</t>
  </si>
  <si>
    <t>Calibration Notes</t>
  </si>
  <si>
    <t>Calibration Conditions</t>
  </si>
  <si>
    <t>Date Calibrated</t>
  </si>
  <si>
    <t>Date Calibration Due</t>
  </si>
  <si>
    <t>Relevant Information</t>
  </si>
  <si>
    <t>●  The results listed in this report relate only to the artifacts described and extent of calibrations performed.</t>
  </si>
  <si>
    <t>Traceability Statement</t>
  </si>
  <si>
    <t>Uncertainty Statement</t>
  </si>
  <si>
    <t>Certification Statement</t>
  </si>
  <si>
    <r>
      <t>U</t>
    </r>
    <r>
      <rPr>
        <vertAlign val="subscript"/>
        <sz val="10"/>
        <rFont val="Trebuchet MS"/>
        <family val="2"/>
      </rPr>
      <t xml:space="preserve">s </t>
    </r>
    <r>
      <rPr>
        <sz val="10"/>
        <rFont val="Trebuchet MS"/>
        <family val="2"/>
      </rPr>
      <t>(mg)</t>
    </r>
  </si>
  <si>
    <r>
      <t xml:space="preserve">Name  and Address (use </t>
    </r>
    <r>
      <rPr>
        <i/>
        <sz val="10"/>
        <color indexed="10"/>
        <rFont val="Trebuchet MS"/>
        <family val="2"/>
      </rPr>
      <t>Alt+Enter</t>
    </r>
    <r>
      <rPr>
        <sz val="10"/>
        <rFont val="Trebuchet MS"/>
        <family val="2"/>
      </rPr>
      <t xml:space="preserve"> for line breaks)</t>
    </r>
  </si>
  <si>
    <t>PO#</t>
  </si>
  <si>
    <t>POC</t>
  </si>
  <si>
    <t>Phone</t>
  </si>
  <si>
    <t>Manufacture</t>
  </si>
  <si>
    <t>Material</t>
  </si>
  <si>
    <t>Nominal Value (cubic inch)</t>
  </si>
  <si>
    <t>Nominal Value (fluid ounce)</t>
  </si>
  <si>
    <t>Nominal Value (gallon)</t>
  </si>
  <si>
    <t>Nominal Value (gill)</t>
  </si>
  <si>
    <t>Nominal Value (liquid pint)</t>
  </si>
  <si>
    <t>Nominal Value (liquid quart)</t>
  </si>
  <si>
    <t>Nominal Value (liter)</t>
  </si>
  <si>
    <t>Nominal Value (milliliter)</t>
  </si>
  <si>
    <t>Balance</t>
  </si>
  <si>
    <t>Range Mean from CC (mL)</t>
  </si>
  <si>
    <t>No. of Duplicate Sets from CC</t>
  </si>
  <si>
    <t>Relative Humidity (% RH)</t>
  </si>
  <si>
    <t>Cubical Coefficient of Exp. (/ºC) =</t>
  </si>
  <si>
    <r>
      <t xml:space="preserve">Rounding Table
(Rnd.Table)
</t>
    </r>
    <r>
      <rPr>
        <sz val="11"/>
        <rFont val="Trebuchet MS"/>
        <family val="2"/>
      </rPr>
      <t>(Used to round the uncertainty to two significant digits, and rounds the as found/left values to the same number of decimal places that are in the uncertainty.)</t>
    </r>
  </si>
  <si>
    <r>
      <t xml:space="preserve">NISTIR 6969 Table 9.1
(Table_9.1)
</t>
    </r>
    <r>
      <rPr>
        <i/>
        <sz val="12"/>
        <rFont val="Trebuchet MS"/>
        <family val="2"/>
      </rPr>
      <t>Use of Range to Estimate Standard Deviation (two replicates)</t>
    </r>
  </si>
  <si>
    <t xml:space="preserve"> Pick Lists
for
Data Validation Cells</t>
  </si>
  <si>
    <t>gal</t>
  </si>
  <si>
    <t>in³</t>
  </si>
  <si>
    <t>Yes</t>
  </si>
  <si>
    <t>No</t>
  </si>
  <si>
    <t xml:space="preserve"> Barometric Pressure (mm Hg)</t>
  </si>
  <si>
    <t xml:space="preserve"> Temperature (ºC)</t>
  </si>
  <si>
    <t xml:space="preserve"> Relative Humidity (%)</t>
  </si>
  <si>
    <t xml:space="preserve"> Calculated Air Density (mg/cm3)</t>
  </si>
  <si>
    <t>Do not delete these cells!
They are used to calculate air density.</t>
  </si>
  <si>
    <r>
      <t>Trial 1 V</t>
    </r>
    <r>
      <rPr>
        <vertAlign val="subscript"/>
        <sz val="10"/>
        <rFont val="Trebuchet MS"/>
        <family val="2"/>
      </rPr>
      <t xml:space="preserve">t </t>
    </r>
    <r>
      <rPr>
        <sz val="10"/>
        <rFont val="Trebuchet MS"/>
        <family val="2"/>
      </rPr>
      <t>=</t>
    </r>
  </si>
  <si>
    <r>
      <t>Trial 2 V</t>
    </r>
    <r>
      <rPr>
        <vertAlign val="subscript"/>
        <sz val="10"/>
        <rFont val="Trebuchet MS"/>
        <family val="2"/>
      </rPr>
      <t xml:space="preserve">t </t>
    </r>
    <r>
      <rPr>
        <sz val="10"/>
        <rFont val="Trebuchet MS"/>
        <family val="2"/>
      </rPr>
      <t>=</t>
    </r>
  </si>
  <si>
    <r>
      <t>Run 1 ρ</t>
    </r>
    <r>
      <rPr>
        <vertAlign val="subscript"/>
        <sz val="10"/>
        <rFont val="Trebuchet MS"/>
        <family val="2"/>
      </rPr>
      <t xml:space="preserve">a </t>
    </r>
    <r>
      <rPr>
        <sz val="10"/>
        <rFont val="Trebuchet MS"/>
        <family val="2"/>
      </rPr>
      <t>=</t>
    </r>
  </si>
  <si>
    <r>
      <t>Run 2 ρ</t>
    </r>
    <r>
      <rPr>
        <vertAlign val="subscript"/>
        <sz val="10"/>
        <rFont val="Trebuchet MS"/>
        <family val="2"/>
      </rPr>
      <t xml:space="preserve">a </t>
    </r>
    <r>
      <rPr>
        <sz val="10"/>
        <rFont val="Trebuchet MS"/>
        <family val="2"/>
      </rPr>
      <t>=</t>
    </r>
  </si>
  <si>
    <r>
      <t>Run 1 ρ</t>
    </r>
    <r>
      <rPr>
        <vertAlign val="subscript"/>
        <sz val="10"/>
        <rFont val="Trebuchet MS"/>
        <family val="2"/>
      </rPr>
      <t xml:space="preserve">w </t>
    </r>
    <r>
      <rPr>
        <sz val="10"/>
        <rFont val="Trebuchet MS"/>
        <family val="2"/>
      </rPr>
      <t>=</t>
    </r>
  </si>
  <si>
    <r>
      <t>Run 2 ρ</t>
    </r>
    <r>
      <rPr>
        <vertAlign val="subscript"/>
        <sz val="10"/>
        <rFont val="Trebuchet MS"/>
        <family val="2"/>
      </rPr>
      <t xml:space="preserve">w </t>
    </r>
    <r>
      <rPr>
        <sz val="10"/>
        <rFont val="Trebuchet MS"/>
        <family val="2"/>
      </rPr>
      <t>=</t>
    </r>
  </si>
  <si>
    <r>
      <t>g/cm</t>
    </r>
    <r>
      <rPr>
        <vertAlign val="superscript"/>
        <sz val="10"/>
        <rFont val="Trebuchet MS"/>
        <family val="2"/>
      </rPr>
      <t>3</t>
    </r>
  </si>
  <si>
    <t>CIPM 1981/1991 Air Density Formula, R.S. Davis</t>
  </si>
  <si>
    <t>Patterson/Morris 1994 Water Density Formula</t>
  </si>
  <si>
    <t>Symbol</t>
  </si>
  <si>
    <t>fl oz</t>
  </si>
  <si>
    <t>gi</t>
  </si>
  <si>
    <t>pt</t>
  </si>
  <si>
    <t>qt</t>
  </si>
  <si>
    <t>L</t>
  </si>
  <si>
    <t>To Deliver</t>
  </si>
  <si>
    <t>To Contain</t>
  </si>
  <si>
    <t>Type of Volume Container (To Deliver - Wet Calibration or To Contain - Dry Calibration)</t>
  </si>
  <si>
    <t>Was a Calibration Interval Requested or is one Required?</t>
  </si>
  <si>
    <t>What is the Interval (months)?</t>
  </si>
  <si>
    <t>Calibration Report Statements</t>
  </si>
  <si>
    <t>Artifact Specifications</t>
  </si>
  <si>
    <r>
      <t xml:space="preserve">●  In-accordance-with ISO/IEC FDIS 17025, </t>
    </r>
    <r>
      <rPr>
        <i/>
        <sz val="10"/>
        <color indexed="8"/>
        <rFont val="Times New Roman"/>
        <family val="1"/>
      </rPr>
      <t xml:space="preserve">General Requirements for the Competence of Testing and Calibration
    Laboratories, </t>
    </r>
    <r>
      <rPr>
        <sz val="10"/>
        <color indexed="8"/>
        <rFont val="Times New Roman"/>
        <family val="1"/>
      </rPr>
      <t xml:space="preserve">paragraph 5.10.4.4 ‘A calibration certificate (or calibration label) shall not contain any
    recommendation on the calibration interval except where this has been agreed with the client. This requirement
    may be superseded by legal regulations.’ </t>
    </r>
  </si>
  <si>
    <t>Mass ID</t>
  </si>
  <si>
    <t>Enviro.Stds Vlookup Table</t>
  </si>
  <si>
    <t>ºC</t>
  </si>
  <si>
    <t>Temperature, Air</t>
  </si>
  <si>
    <t>Temperature, Water</t>
  </si>
  <si>
    <t>Barometric Pressure</t>
  </si>
  <si>
    <t>Humidity</t>
  </si>
  <si>
    <t>Parameter</t>
  </si>
  <si>
    <t>Laboratory Environmental Standard(s) Used</t>
  </si>
  <si>
    <t>Artifact Condition</t>
  </si>
  <si>
    <t>Technician</t>
  </si>
  <si>
    <t>Measurement Control</t>
  </si>
  <si>
    <t>Results Formatted For Calibration Report</t>
  </si>
  <si>
    <t>Stds.Table</t>
  </si>
  <si>
    <t>Density of mass standards</t>
  </si>
  <si>
    <t>α =</t>
  </si>
  <si>
    <r>
      <t>V</t>
    </r>
    <r>
      <rPr>
        <i/>
        <vertAlign val="subscript"/>
        <sz val="11"/>
        <rFont val="Tahoma"/>
        <family val="2"/>
      </rPr>
      <t>t</t>
    </r>
    <r>
      <rPr>
        <i/>
        <sz val="11"/>
        <rFont val="Tahoma"/>
        <family val="2"/>
      </rPr>
      <t xml:space="preserve"> =</t>
    </r>
  </si>
  <si>
    <r>
      <t>M</t>
    </r>
    <r>
      <rPr>
        <i/>
        <vertAlign val="subscript"/>
        <sz val="11"/>
        <rFont val="Tahoma"/>
        <family val="2"/>
      </rPr>
      <t>S</t>
    </r>
    <r>
      <rPr>
        <i/>
        <sz val="11"/>
        <rFont val="Tahoma"/>
        <family val="2"/>
      </rPr>
      <t xml:space="preserve"> =</t>
    </r>
  </si>
  <si>
    <r>
      <t>O</t>
    </r>
    <r>
      <rPr>
        <i/>
        <vertAlign val="subscript"/>
        <sz val="11"/>
        <rFont val="Tahoma"/>
        <family val="2"/>
      </rPr>
      <t>n</t>
    </r>
    <r>
      <rPr>
        <i/>
        <sz val="11"/>
        <rFont val="Tahoma"/>
        <family val="2"/>
      </rPr>
      <t xml:space="preserve"> =</t>
    </r>
  </si>
  <si>
    <r>
      <t>ρ</t>
    </r>
    <r>
      <rPr>
        <i/>
        <vertAlign val="subscript"/>
        <sz val="11"/>
        <rFont val="Tahoma"/>
        <family val="2"/>
      </rPr>
      <t>a</t>
    </r>
    <r>
      <rPr>
        <i/>
        <sz val="11"/>
        <rFont val="Tahoma"/>
        <family val="2"/>
      </rPr>
      <t xml:space="preserve"> =</t>
    </r>
  </si>
  <si>
    <r>
      <t>ρ</t>
    </r>
    <r>
      <rPr>
        <i/>
        <vertAlign val="subscript"/>
        <sz val="11"/>
        <rFont val="Tahoma"/>
        <family val="2"/>
      </rPr>
      <t>s</t>
    </r>
    <r>
      <rPr>
        <i/>
        <sz val="11"/>
        <rFont val="Tahoma"/>
        <family val="2"/>
      </rPr>
      <t xml:space="preserve"> =</t>
    </r>
  </si>
  <si>
    <r>
      <t>ρ</t>
    </r>
    <r>
      <rPr>
        <i/>
        <vertAlign val="subscript"/>
        <sz val="11"/>
        <rFont val="Tahoma"/>
        <family val="2"/>
      </rPr>
      <t>w</t>
    </r>
    <r>
      <rPr>
        <i/>
        <sz val="11"/>
        <rFont val="Tahoma"/>
        <family val="2"/>
      </rPr>
      <t xml:space="preserve"> =</t>
    </r>
  </si>
  <si>
    <r>
      <t>V</t>
    </r>
    <r>
      <rPr>
        <i/>
        <vertAlign val="subscript"/>
        <sz val="11"/>
        <rFont val="Tahoma"/>
        <family val="2"/>
      </rPr>
      <t>ref</t>
    </r>
    <r>
      <rPr>
        <i/>
        <sz val="11"/>
        <rFont val="Tahoma"/>
        <family val="2"/>
      </rPr>
      <t xml:space="preserve"> =</t>
    </r>
  </si>
  <si>
    <r>
      <t>t</t>
    </r>
    <r>
      <rPr>
        <i/>
        <vertAlign val="subscript"/>
        <sz val="11"/>
        <rFont val="Tahoma"/>
        <family val="2"/>
      </rPr>
      <t>ref</t>
    </r>
    <r>
      <rPr>
        <i/>
        <sz val="11"/>
        <rFont val="Tahoma"/>
        <family val="2"/>
      </rPr>
      <t xml:space="preserve"> =</t>
    </r>
  </si>
  <si>
    <t>g/cm³</t>
  </si>
  <si>
    <t>Air Temperature (ºC)</t>
  </si>
  <si>
    <t>Water Temperature (ºC)</t>
  </si>
  <si>
    <t>Barometric Pressure (mm Hg)</t>
  </si>
  <si>
    <r>
      <t>Density (g/cm</t>
    </r>
    <r>
      <rPr>
        <vertAlign val="superscript"/>
        <sz val="10"/>
        <rFont val="Trebuchet MS"/>
        <family val="2"/>
      </rPr>
      <t>3)</t>
    </r>
  </si>
  <si>
    <t>/ºC</t>
  </si>
  <si>
    <t>Volume at Reference Temperature</t>
  </si>
  <si>
    <t>Ending Time and Environmental Conditions</t>
  </si>
  <si>
    <t>Accuracy</t>
  </si>
  <si>
    <t>Laboratory Mass Standard(s) Used</t>
  </si>
  <si>
    <t>Data Entry</t>
  </si>
  <si>
    <t>Date Received</t>
  </si>
  <si>
    <t>Tables &amp; Lists</t>
  </si>
  <si>
    <t>CIPM Air Density</t>
  </si>
  <si>
    <t>Standards</t>
  </si>
  <si>
    <t>Uncertainty Analysis</t>
  </si>
  <si>
    <t>Documentation</t>
  </si>
  <si>
    <t>NIST HB 145, SOP 14, Gravimetric Calibration of Volumeteric Ware Using an Electronic Balance</t>
  </si>
  <si>
    <t>Measurement Option A</t>
  </si>
  <si>
    <t>Measurement Option B</t>
  </si>
  <si>
    <r>
      <t xml:space="preserve">Note: If ID Code cell turns </t>
    </r>
    <r>
      <rPr>
        <sz val="10"/>
        <color indexed="10"/>
        <rFont val="Trebuchet MS"/>
        <family val="2"/>
      </rPr>
      <t>RED</t>
    </r>
    <r>
      <rPr>
        <sz val="10"/>
        <rFont val="Trebuchet MS"/>
        <family val="2"/>
      </rPr>
      <t xml:space="preserve"> the standards calibration is void, calibrate before use.</t>
    </r>
  </si>
  <si>
    <r>
      <t xml:space="preserve">Note: If ID Code cell turns </t>
    </r>
    <r>
      <rPr>
        <sz val="10"/>
        <color indexed="10"/>
        <rFont val="Trebuchet MS"/>
        <family val="2"/>
      </rPr>
      <t>RED</t>
    </r>
    <r>
      <rPr>
        <sz val="10"/>
        <rFont val="Trebuchet MS"/>
        <family val="2"/>
      </rPr>
      <t xml:space="preserve"> the standard calibration is void, calibrate before use.</t>
    </r>
  </si>
  <si>
    <t>Rounding factor =</t>
  </si>
  <si>
    <t>Mass Standard(s) Data</t>
  </si>
  <si>
    <t>Air Density Determinations</t>
  </si>
  <si>
    <t>Water Density Determinations</t>
  </si>
  <si>
    <t>Volume Determinations</t>
  </si>
  <si>
    <t>trial 1 &amp; 2 volume at measured temperature</t>
  </si>
  <si>
    <t>trial 1 &amp; 2 volume at reference temperature</t>
  </si>
  <si>
    <t>average of trial 1 &amp; 2 at reference temp.</t>
  </si>
  <si>
    <t>Accredited (e.g. NVLAP, A2LA, etc.) Best Uncertainty for this Calibration (mL)</t>
  </si>
  <si>
    <t>Cubical Coefficient of Expansion Table
(CCE.Table)
&amp;
Material List
(Materal.List)</t>
  </si>
  <si>
    <t>Volume Conversion Table
(VolTable) &amp;
Nominal Value Unit
(Nom_Val.List)</t>
  </si>
  <si>
    <t>Report Number:</t>
  </si>
  <si>
    <t>Start Time (hh:mm)</t>
  </si>
  <si>
    <t>End Time (hh:mm)</t>
  </si>
  <si>
    <t>Procedure:  NIST HB 145, SOP 14</t>
  </si>
  <si>
    <t>●  The artifact described above was calibrated using ASTM Type III or IV Reagent Water.</t>
  </si>
  <si>
    <t>cm³/ºC</t>
  </si>
  <si>
    <t>Silica, Fused (Quartz)</t>
  </si>
  <si>
    <t>Plastic, Polypropylene</t>
  </si>
  <si>
    <t>Plastic, Polycarbonate</t>
  </si>
  <si>
    <t>Plastic, Polystyrene</t>
  </si>
  <si>
    <t>Balance Unit:</t>
  </si>
  <si>
    <t>Date of Calibration</t>
  </si>
  <si>
    <t>Measurement Option (A = three observations; B = four observations)</t>
  </si>
  <si>
    <r>
      <t>Uρ</t>
    </r>
    <r>
      <rPr>
        <vertAlign val="subscript"/>
        <sz val="10"/>
        <rFont val="Trebuchet MS"/>
        <family val="2"/>
      </rPr>
      <t xml:space="preserve">s </t>
    </r>
    <r>
      <rPr>
        <sz val="10"/>
        <rFont val="Trebuchet MS"/>
        <family val="2"/>
      </rPr>
      <t>(g/cm</t>
    </r>
    <r>
      <rPr>
        <vertAlign val="superscript"/>
        <sz val="10"/>
        <rFont val="Trebuchet MS"/>
        <family val="2"/>
      </rPr>
      <t>3</t>
    </r>
    <r>
      <rPr>
        <sz val="10"/>
        <rFont val="Trebuchet MS"/>
        <family val="2"/>
      </rPr>
      <t>) k=1</t>
    </r>
  </si>
  <si>
    <t>The combined standard uncertainty includes uncertainties reported for the standard, uncertainties associated with the measurement process,  uncertainties for any observed deviations from reference values which are less than surveillance limits, and other uncertainties associated with the particular artifact (i.e., reading meniscus, air buoyancy corrections, etc.). A component for viscosity is not included in the uncertainty budget. The combined standard uncertainty is multiplied by k, a coverage factor of 2, to give the expanded uncertainty (which defines an interval with an approximate 95 percent level of confidence). The expanded uncertainty presented in this report is consistent with NIST Technical Note 1297.</t>
  </si>
  <si>
    <t>Class A</t>
  </si>
  <si>
    <t>Class B</t>
  </si>
  <si>
    <t>Class A "Wide Mouth"</t>
  </si>
  <si>
    <t>Class B "Wide Mouth"</t>
  </si>
  <si>
    <t>Capacity (mL)</t>
  </si>
  <si>
    <t>ASTM E 1272-02 Standard Specification For Laboratory Glass Graduated Cylinders</t>
  </si>
  <si>
    <t>ASTM E 288-06 Standard Specification For Laboratory Glass Volumetric Flasks</t>
  </si>
  <si>
    <t>NIST Handbook 105-2 Specifications and Tolerances for Field Standard Measuring Flasks</t>
  </si>
  <si>
    <t>cylinder</t>
  </si>
  <si>
    <t>flask</t>
  </si>
  <si>
    <t>Tolerance Vlookup Table (tolerance)</t>
  </si>
  <si>
    <t>NIST HB 105-2</t>
  </si>
  <si>
    <t>OIML R 43</t>
  </si>
  <si>
    <t>User Specified</t>
  </si>
  <si>
    <t>Specification</t>
  </si>
  <si>
    <t>Nominal Value (mL)</t>
  </si>
  <si>
    <t>NIST HB 105-3</t>
  </si>
  <si>
    <t>N/A</t>
  </si>
  <si>
    <t>Capacity</t>
  </si>
  <si>
    <t>1 gal</t>
  </si>
  <si>
    <t>5 L</t>
  </si>
  <si>
    <t>10 L</t>
  </si>
  <si>
    <t>10 gal</t>
  </si>
  <si>
    <t>50 L</t>
  </si>
  <si>
    <t>20 L</t>
  </si>
  <si>
    <t>25 gal</t>
  </si>
  <si>
    <t>100 L</t>
  </si>
  <si>
    <t>200 L</t>
  </si>
  <si>
    <t>100 gal</t>
  </si>
  <si>
    <t>500 L</t>
  </si>
  <si>
    <t>200 gal</t>
  </si>
  <si>
    <t>1000 L</t>
  </si>
  <si>
    <t>500 gal</t>
  </si>
  <si>
    <t>2000 L</t>
  </si>
  <si>
    <t>3000 L</t>
  </si>
  <si>
    <t>1000 gal</t>
  </si>
  <si>
    <t>1500 gal</t>
  </si>
  <si>
    <t>5000 L</t>
  </si>
  <si>
    <t>5 gal</t>
  </si>
  <si>
    <t>NIST Handbook 105-3 Specifications and Tolerances for Graduated Neck Type Volumetric Field Standards</t>
  </si>
  <si>
    <t>Not Applicable</t>
  </si>
  <si>
    <t>Uncertainty Evaluation</t>
  </si>
  <si>
    <t>Expanded Uncertainty =</t>
  </si>
  <si>
    <t>Tolerance Evaluation</t>
  </si>
  <si>
    <t>Criteria: The measured volume minus the nominal volume shall not differ more than the maximum permissible error minus the expanded uncertainty.</t>
  </si>
  <si>
    <t>Volume Error =</t>
  </si>
  <si>
    <t>Tolerance - U (k=2)=</t>
  </si>
  <si>
    <t>50 mL</t>
  </si>
  <si>
    <t>2 fl oz</t>
  </si>
  <si>
    <t>100 mL</t>
  </si>
  <si>
    <t>1 gill</t>
  </si>
  <si>
    <t>1/2 pint</t>
  </si>
  <si>
    <t>250 mL</t>
  </si>
  <si>
    <t>1 pt</t>
  </si>
  <si>
    <t>1 qt</t>
  </si>
  <si>
    <t>1000 mL</t>
  </si>
  <si>
    <t>1/2 gal</t>
  </si>
  <si>
    <t>2000 mL</t>
  </si>
  <si>
    <t>Tolerance</t>
  </si>
  <si>
    <t>Test Measure</t>
  </si>
  <si>
    <t>Slicker Plate Standard</t>
  </si>
  <si>
    <t>Prover</t>
  </si>
  <si>
    <t>Graduated Cylinder</t>
  </si>
  <si>
    <t>Volumetric Flask</t>
  </si>
  <si>
    <t>Steel, Prover, Low Carbon</t>
  </si>
  <si>
    <t>Steel, Terneplate</t>
  </si>
  <si>
    <t>ASTM E 1272, Class A</t>
  </si>
  <si>
    <t>ASTM E 1272, Class B</t>
  </si>
  <si>
    <t>ASTM E 288, Class A</t>
  </si>
  <si>
    <t>ASTM E 288, Class A "Wide Mouth"</t>
  </si>
  <si>
    <t>ASTM E 288, Class B</t>
  </si>
  <si>
    <t>ASTM E 288, Class B "Wide Mouth"</t>
  </si>
  <si>
    <t>Criteria: The expanded uncertainty must be less than 1/3 of the stated tolerance. For NIST HB 105-3, the expanded uncertainty must be less than 0.07 % of the measured volume.</t>
  </si>
  <si>
    <t>Volumetric Container</t>
  </si>
  <si>
    <t>Reported Uncertainties</t>
  </si>
  <si>
    <t>(ρw) Density of water using the Patterson/Morris 1994 Water Density Formula</t>
  </si>
  <si>
    <t>(α) Cubic Coefficient of Expansion for the vessel material</t>
  </si>
  <si>
    <t>(tw) Temperature of water in vessel</t>
  </si>
  <si>
    <r>
      <t>(t</t>
    </r>
    <r>
      <rPr>
        <sz val="10"/>
        <rFont val="Tahoma"/>
        <family val="2"/>
      </rPr>
      <t>ref) Reference Temperature for this calibration</t>
    </r>
  </si>
  <si>
    <t>Input description</t>
  </si>
  <si>
    <t>Variable name, symbol</t>
  </si>
  <si>
    <t>Value</t>
  </si>
  <si>
    <t>units</t>
  </si>
  <si>
    <t>Reported uncer.</t>
  </si>
  <si>
    <t>Factor to normalize</t>
  </si>
  <si>
    <t>df</t>
  </si>
  <si>
    <t>Measurement Equation Inputs</t>
  </si>
  <si>
    <t>Result</t>
  </si>
  <si>
    <t>k</t>
  </si>
  <si>
    <t>U</t>
  </si>
  <si>
    <t>Mass Standards
(matching filled container)</t>
  </si>
  <si>
    <t>(ρa) Density of air using the CIPM 1981/1991 Air Density Formula, R.S. Davis</t>
  </si>
  <si>
    <t>α</t>
  </si>
  <si>
    <t>Mass Standards Density
(matching filled container)</t>
  </si>
  <si>
    <t>Mass Standards Balance Observation</t>
  </si>
  <si>
    <t>Empty/Drained Vessel Balance Observation</t>
  </si>
  <si>
    <t>Filled Vessel Balance Observation</t>
  </si>
  <si>
    <t>Air Density</t>
  </si>
  <si>
    <t>Water Density</t>
  </si>
  <si>
    <t>Vessel Cubic Coefficient of Expansion</t>
  </si>
  <si>
    <t>Final Water Temperature</t>
  </si>
  <si>
    <t>Reference Temperature</t>
  </si>
  <si>
    <r>
      <t>u</t>
    </r>
    <r>
      <rPr>
        <vertAlign val="subscript"/>
        <sz val="10"/>
        <color indexed="61"/>
        <rFont val="Trebuchet MS"/>
        <family val="2"/>
      </rPr>
      <t>c</t>
    </r>
  </si>
  <si>
    <t>Normal</t>
  </si>
  <si>
    <t>Uniform</t>
  </si>
  <si>
    <t>Identify Components Their Uncertainties</t>
  </si>
  <si>
    <t>Uncertainty of the density of the standard(s), ρs, from the calibration report or from OIML R 111-1: 2004(E) para. B.7.9.3 and Table B.7, uniform distribution</t>
  </si>
  <si>
    <t>(sp) Uncertainty associated with the measurement process from the mean range divided by the d*2 value from NIST HB 145, Table 9.1 (value divided by 1.003 mL/g to convert sp from mL to g), normal distribution</t>
  </si>
  <si>
    <t>Uncertainty of balance observation 2, included in sp and entered as u(O1 (sp))</t>
  </si>
  <si>
    <t>Uncertainty of balance observation 3, included in sp and entered as u(O1 (sp))</t>
  </si>
  <si>
    <t>Given maximum uncertainty, as long as instrument accuracies for temperature ≤ 0.5 ºC, for barometer ≤ 1.0 mm Hg, and for hygrometer ≤ 10 %, uniform distribution</t>
  </si>
  <si>
    <t>Combined standard uncertainty of the Patterson Morris equation, [J. Res., NIST 97, 335 (1992), 10ppm  (0.0000 10 g/cm³)], and possible uncorrected systematic error, k = 1</t>
  </si>
  <si>
    <t>NBS Report 10 081, Uncertainties in the calibration of large vessels, p. 10 (0.000009 /ºC or 0.000005 /ºF), uniform distribution</t>
  </si>
  <si>
    <t>Accuracy for thermometer used for measuring water temperature (NIST HB 145, SOP 14, accuracy must be ≤ 0.1 ºC), uniform distribution</t>
  </si>
  <si>
    <t>Treated as constant, no uncertainty</t>
  </si>
  <si>
    <t>Expand uncertainty for this calibration (k=2) =</t>
  </si>
  <si>
    <t>Accredited best uncertainty (e.g. NVLAP, A2LA, etc.) (k=2) =</t>
  </si>
  <si>
    <t>Uncertainty to be reported for this calibration (k=2) =</t>
  </si>
  <si>
    <r>
      <t>M</t>
    </r>
    <r>
      <rPr>
        <i/>
        <vertAlign val="subscript"/>
        <sz val="11"/>
        <rFont val="Tahoma"/>
        <family val="2"/>
      </rPr>
      <t>S1</t>
    </r>
    <r>
      <rPr>
        <i/>
        <sz val="11"/>
        <rFont val="Tahoma"/>
        <family val="2"/>
      </rPr>
      <t xml:space="preserve"> =</t>
    </r>
  </si>
  <si>
    <r>
      <t>M</t>
    </r>
    <r>
      <rPr>
        <i/>
        <vertAlign val="subscript"/>
        <sz val="11"/>
        <rFont val="Tahoma"/>
        <family val="2"/>
      </rPr>
      <t>S2</t>
    </r>
    <r>
      <rPr>
        <i/>
        <sz val="11"/>
        <rFont val="Tahoma"/>
        <family val="2"/>
      </rPr>
      <t xml:space="preserve"> =</t>
    </r>
  </si>
  <si>
    <t>Mass standard(s) slightly more than the mass of the filled vessel</t>
  </si>
  <si>
    <t>Mass standard(s) slightly more than the mass of the empty/drained vessel</t>
  </si>
  <si>
    <t>Balance Observations</t>
  </si>
  <si>
    <t>Data Values (based on trial 1)</t>
  </si>
  <si>
    <t>Balance ID Code</t>
  </si>
  <si>
    <t>Reference Temperature (ºF)</t>
  </si>
  <si>
    <t>Reference Temperature (ºC)</t>
  </si>
  <si>
    <t>OIML R 43-1981 Standard Graduated Glass Flasks For Verification Officers</t>
  </si>
  <si>
    <t>Tolerance (mL)</t>
  </si>
  <si>
    <t>Coefficient of cubical expansion of vessel</t>
  </si>
  <si>
    <r>
      <t xml:space="preserve">Standard uncer., </t>
    </r>
    <r>
      <rPr>
        <b/>
        <i/>
        <sz val="11"/>
        <rFont val="Arial"/>
        <family val="2"/>
      </rPr>
      <t>u</t>
    </r>
    <r>
      <rPr>
        <b/>
        <i/>
        <vertAlign val="subscript"/>
        <sz val="11"/>
        <rFont val="Arial"/>
        <family val="2"/>
      </rPr>
      <t>i</t>
    </r>
  </si>
  <si>
    <r>
      <t xml:space="preserve">Rel. </t>
    </r>
    <r>
      <rPr>
        <i/>
        <sz val="11"/>
        <color indexed="61"/>
        <rFont val="Arial"/>
        <family val="0"/>
      </rPr>
      <t>u</t>
    </r>
    <r>
      <rPr>
        <i/>
        <vertAlign val="subscript"/>
        <sz val="11"/>
        <color indexed="61"/>
        <rFont val="Arial"/>
        <family val="0"/>
      </rPr>
      <t xml:space="preserve">i </t>
    </r>
    <r>
      <rPr>
        <sz val="11"/>
        <color indexed="61"/>
        <rFont val="Arial"/>
        <family val="0"/>
      </rPr>
      <t>(%)</t>
    </r>
  </si>
  <si>
    <r>
      <t>M</t>
    </r>
    <r>
      <rPr>
        <vertAlign val="subscript"/>
        <sz val="10"/>
        <color indexed="10"/>
        <rFont val="Trebuchet MS"/>
        <family val="2"/>
      </rPr>
      <t>s1</t>
    </r>
  </si>
  <si>
    <r>
      <t>ρ</t>
    </r>
    <r>
      <rPr>
        <vertAlign val="subscript"/>
        <sz val="10"/>
        <color indexed="10"/>
        <rFont val="Trebuchet MS"/>
        <family val="2"/>
      </rPr>
      <t>s1</t>
    </r>
  </si>
  <si>
    <r>
      <t>M</t>
    </r>
    <r>
      <rPr>
        <vertAlign val="subscript"/>
        <sz val="10"/>
        <color indexed="10"/>
        <rFont val="Trebuchet MS"/>
        <family val="2"/>
      </rPr>
      <t>s2</t>
    </r>
  </si>
  <si>
    <r>
      <t>ρ</t>
    </r>
    <r>
      <rPr>
        <vertAlign val="subscript"/>
        <sz val="10"/>
        <color indexed="10"/>
        <rFont val="Trebuchet MS"/>
        <family val="2"/>
      </rPr>
      <t>s2</t>
    </r>
  </si>
  <si>
    <r>
      <t>O</t>
    </r>
    <r>
      <rPr>
        <vertAlign val="subscript"/>
        <sz val="10"/>
        <color indexed="10"/>
        <rFont val="Trebuchet MS"/>
        <family val="2"/>
      </rPr>
      <t xml:space="preserve">1 </t>
    </r>
    <r>
      <rPr>
        <sz val="10"/>
        <color indexed="10"/>
        <rFont val="Trebuchet MS"/>
        <family val="2"/>
      </rPr>
      <t>(s</t>
    </r>
    <r>
      <rPr>
        <vertAlign val="subscript"/>
        <sz val="10"/>
        <color indexed="10"/>
        <rFont val="Trebuchet MS"/>
        <family val="2"/>
      </rPr>
      <t>p</t>
    </r>
    <r>
      <rPr>
        <sz val="10"/>
        <color indexed="10"/>
        <rFont val="Trebuchet MS"/>
        <family val="2"/>
      </rPr>
      <t>)</t>
    </r>
  </si>
  <si>
    <r>
      <t>O</t>
    </r>
    <r>
      <rPr>
        <vertAlign val="subscript"/>
        <sz val="10"/>
        <color indexed="10"/>
        <rFont val="Trebuchet MS"/>
        <family val="2"/>
      </rPr>
      <t>2</t>
    </r>
  </si>
  <si>
    <r>
      <t>O</t>
    </r>
    <r>
      <rPr>
        <vertAlign val="subscript"/>
        <sz val="10"/>
        <color indexed="10"/>
        <rFont val="Trebuchet MS"/>
        <family val="2"/>
      </rPr>
      <t>3</t>
    </r>
  </si>
  <si>
    <r>
      <t>O</t>
    </r>
    <r>
      <rPr>
        <vertAlign val="subscript"/>
        <sz val="10"/>
        <color indexed="10"/>
        <rFont val="Trebuchet MS"/>
        <family val="2"/>
      </rPr>
      <t>4</t>
    </r>
  </si>
  <si>
    <r>
      <t>ρ</t>
    </r>
    <r>
      <rPr>
        <vertAlign val="subscript"/>
        <sz val="10"/>
        <color indexed="10"/>
        <rFont val="Trebuchet MS"/>
        <family val="2"/>
      </rPr>
      <t>a</t>
    </r>
  </si>
  <si>
    <r>
      <t>ρ</t>
    </r>
    <r>
      <rPr>
        <vertAlign val="subscript"/>
        <sz val="10"/>
        <color indexed="10"/>
        <rFont val="Trebuchet MS"/>
        <family val="2"/>
      </rPr>
      <t>w</t>
    </r>
  </si>
  <si>
    <r>
      <t>t</t>
    </r>
    <r>
      <rPr>
        <vertAlign val="subscript"/>
        <sz val="10"/>
        <color indexed="10"/>
        <rFont val="Trebuchet MS"/>
        <family val="2"/>
      </rPr>
      <t>w</t>
    </r>
  </si>
  <si>
    <r>
      <t>t</t>
    </r>
    <r>
      <rPr>
        <vertAlign val="subscript"/>
        <sz val="10"/>
        <color indexed="10"/>
        <rFont val="Trebuchet MS"/>
        <family val="2"/>
      </rPr>
      <t>ref</t>
    </r>
  </si>
  <si>
    <r>
      <t>u</t>
    </r>
    <r>
      <rPr>
        <b/>
        <vertAlign val="subscript"/>
        <sz val="10"/>
        <rFont val="Trebuchet MS"/>
        <family val="2"/>
      </rPr>
      <t>c</t>
    </r>
  </si>
  <si>
    <r>
      <t>(</t>
    </r>
    <r>
      <rPr>
        <b/>
        <i/>
        <sz val="9"/>
        <rFont val="Trebuchet MS"/>
        <family val="2"/>
      </rPr>
      <t>U</t>
    </r>
    <r>
      <rPr>
        <vertAlign val="subscript"/>
        <sz val="11"/>
        <rFont val="Trebuchet MS"/>
        <family val="2"/>
      </rPr>
      <t>relative</t>
    </r>
    <r>
      <rPr>
        <sz val="9"/>
        <rFont val="Trebuchet MS"/>
        <family val="2"/>
      </rPr>
      <t>, %)</t>
    </r>
  </si>
  <si>
    <r>
      <t>(</t>
    </r>
    <r>
      <rPr>
        <b/>
        <i/>
        <sz val="10"/>
        <rFont val="Trebuchet MS"/>
        <family val="2"/>
      </rPr>
      <t>U</t>
    </r>
    <r>
      <rPr>
        <vertAlign val="subscript"/>
        <sz val="10"/>
        <rFont val="Trebuchet MS"/>
        <family val="2"/>
      </rPr>
      <t>relative</t>
    </r>
    <r>
      <rPr>
        <sz val="10"/>
        <rFont val="Trebuchet MS"/>
        <family val="2"/>
      </rPr>
      <t>, %)</t>
    </r>
  </si>
  <si>
    <r>
      <t>&lt;--rel (</t>
    </r>
    <r>
      <rPr>
        <i/>
        <sz val="10"/>
        <color indexed="10"/>
        <rFont val="Trebuchet MS"/>
        <family val="2"/>
      </rPr>
      <t>c</t>
    </r>
    <r>
      <rPr>
        <i/>
        <vertAlign val="subscript"/>
        <sz val="10"/>
        <color indexed="10"/>
        <rFont val="Trebuchet MS"/>
        <family val="2"/>
      </rPr>
      <t>i</t>
    </r>
    <r>
      <rPr>
        <i/>
        <sz val="10"/>
        <color indexed="10"/>
        <rFont val="Trebuchet MS"/>
        <family val="2"/>
      </rPr>
      <t>u</t>
    </r>
    <r>
      <rPr>
        <i/>
        <vertAlign val="subscript"/>
        <sz val="10"/>
        <color indexed="10"/>
        <rFont val="Trebuchet MS"/>
        <family val="2"/>
      </rPr>
      <t>i</t>
    </r>
    <r>
      <rPr>
        <sz val="10"/>
        <color indexed="10"/>
        <rFont val="Trebuchet MS"/>
        <family val="2"/>
      </rPr>
      <t>)</t>
    </r>
    <r>
      <rPr>
        <vertAlign val="superscript"/>
        <sz val="10"/>
        <color indexed="10"/>
        <rFont val="Trebuchet MS"/>
        <family val="2"/>
      </rPr>
      <t>2</t>
    </r>
  </si>
  <si>
    <r>
      <t>c</t>
    </r>
    <r>
      <rPr>
        <b/>
        <i/>
        <vertAlign val="subscript"/>
        <sz val="10"/>
        <rFont val="Trebuchet MS"/>
        <family val="2"/>
      </rPr>
      <t>i</t>
    </r>
    <r>
      <rPr>
        <b/>
        <i/>
        <sz val="10"/>
        <rFont val="Trebuchet MS"/>
        <family val="2"/>
      </rPr>
      <t>u</t>
    </r>
    <r>
      <rPr>
        <b/>
        <i/>
        <vertAlign val="subscript"/>
        <sz val="10"/>
        <rFont val="Trebuchet MS"/>
        <family val="2"/>
      </rPr>
      <t>i</t>
    </r>
  </si>
  <si>
    <r>
      <t>(</t>
    </r>
    <r>
      <rPr>
        <b/>
        <i/>
        <sz val="10"/>
        <rFont val="Trebuchet MS"/>
        <family val="2"/>
      </rPr>
      <t>c</t>
    </r>
    <r>
      <rPr>
        <b/>
        <i/>
        <vertAlign val="subscript"/>
        <sz val="10"/>
        <rFont val="Trebuchet MS"/>
        <family val="2"/>
      </rPr>
      <t>i</t>
    </r>
    <r>
      <rPr>
        <b/>
        <i/>
        <sz val="10"/>
        <rFont val="Trebuchet MS"/>
        <family val="2"/>
      </rPr>
      <t>u</t>
    </r>
    <r>
      <rPr>
        <b/>
        <i/>
        <vertAlign val="subscript"/>
        <sz val="10"/>
        <rFont val="Trebuchet MS"/>
        <family val="2"/>
      </rPr>
      <t>i</t>
    </r>
    <r>
      <rPr>
        <b/>
        <sz val="10"/>
        <rFont val="Trebuchet MS"/>
        <family val="2"/>
      </rPr>
      <t>)</t>
    </r>
    <r>
      <rPr>
        <b/>
        <vertAlign val="superscript"/>
        <sz val="10"/>
        <rFont val="Trebuchet MS"/>
        <family val="2"/>
      </rPr>
      <t>2</t>
    </r>
  </si>
  <si>
    <r>
      <t>c</t>
    </r>
    <r>
      <rPr>
        <b/>
        <i/>
        <vertAlign val="subscript"/>
        <sz val="10"/>
        <color indexed="12"/>
        <rFont val="Trebuchet MS"/>
        <family val="2"/>
      </rPr>
      <t>i</t>
    </r>
  </si>
  <si>
    <r>
      <t>∑ (</t>
    </r>
    <r>
      <rPr>
        <i/>
        <sz val="10"/>
        <color indexed="10"/>
        <rFont val="Trebuchet MS"/>
        <family val="2"/>
      </rPr>
      <t>c</t>
    </r>
    <r>
      <rPr>
        <i/>
        <vertAlign val="subscript"/>
        <sz val="10"/>
        <color indexed="10"/>
        <rFont val="Trebuchet MS"/>
        <family val="2"/>
      </rPr>
      <t>i</t>
    </r>
    <r>
      <rPr>
        <i/>
        <sz val="10"/>
        <color indexed="10"/>
        <rFont val="Trebuchet MS"/>
        <family val="2"/>
      </rPr>
      <t>u</t>
    </r>
    <r>
      <rPr>
        <i/>
        <vertAlign val="subscript"/>
        <sz val="10"/>
        <color indexed="10"/>
        <rFont val="Trebuchet MS"/>
        <family val="2"/>
      </rPr>
      <t>i</t>
    </r>
    <r>
      <rPr>
        <sz val="10"/>
        <color indexed="10"/>
        <rFont val="Trebuchet MS"/>
        <family val="2"/>
      </rPr>
      <t>)</t>
    </r>
    <r>
      <rPr>
        <vertAlign val="superscript"/>
        <sz val="10"/>
        <color indexed="10"/>
        <rFont val="Trebuchet MS"/>
        <family val="2"/>
      </rPr>
      <t>2</t>
    </r>
  </si>
  <si>
    <r>
      <t xml:space="preserve">Standard uncer., </t>
    </r>
    <r>
      <rPr>
        <i/>
        <sz val="11"/>
        <rFont val="Trebuchet MS"/>
        <family val="2"/>
      </rPr>
      <t>u</t>
    </r>
    <r>
      <rPr>
        <i/>
        <vertAlign val="subscript"/>
        <sz val="11"/>
        <rFont val="Trebuchet MS"/>
        <family val="2"/>
      </rPr>
      <t>i</t>
    </r>
  </si>
  <si>
    <r>
      <t xml:space="preserve">Rel. </t>
    </r>
    <r>
      <rPr>
        <i/>
        <sz val="11"/>
        <color indexed="61"/>
        <rFont val="Trebuchet MS"/>
        <family val="2"/>
      </rPr>
      <t>u</t>
    </r>
    <r>
      <rPr>
        <i/>
        <vertAlign val="subscript"/>
        <sz val="11"/>
        <color indexed="61"/>
        <rFont val="Trebuchet MS"/>
        <family val="2"/>
      </rPr>
      <t xml:space="preserve">i </t>
    </r>
    <r>
      <rPr>
        <sz val="11"/>
        <color indexed="61"/>
        <rFont val="Trebuchet MS"/>
        <family val="2"/>
      </rPr>
      <t>(%)</t>
    </r>
  </si>
  <si>
    <r>
      <t>M</t>
    </r>
    <r>
      <rPr>
        <vertAlign val="subscript"/>
        <sz val="10"/>
        <color indexed="10"/>
        <rFont val="Trebuchet MS"/>
        <family val="2"/>
      </rPr>
      <t>s</t>
    </r>
  </si>
  <si>
    <r>
      <t>ρ</t>
    </r>
    <r>
      <rPr>
        <vertAlign val="subscript"/>
        <sz val="10"/>
        <color indexed="10"/>
        <rFont val="Trebuchet MS"/>
        <family val="2"/>
      </rPr>
      <t>s</t>
    </r>
  </si>
  <si>
    <r>
      <t>u</t>
    </r>
    <r>
      <rPr>
        <vertAlign val="subscript"/>
        <sz val="10"/>
        <rFont val="Trebuchet MS"/>
        <family val="2"/>
      </rPr>
      <t>c</t>
    </r>
  </si>
  <si>
    <t>Input Table -Measurement Option A (Convert Component Uncertainties For Use In Kragten Spreadsheet)</t>
  </si>
  <si>
    <t>Kragten Spreadsheet - Measurement Option A (Calculate Each Component Uncertainty Impact, Combine and Expand)</t>
  </si>
  <si>
    <t>Input Table -Measurement Option B (Convert Component Uncertainties For Use In Kragten Spreadsheet)</t>
  </si>
  <si>
    <t>Weight of Each Component Uncertainty</t>
  </si>
  <si>
    <t>Kragten Spreadsheet - Measurement Option B (Calculate Each Component Uncertainty Impact, Combine and Expand)</t>
  </si>
  <si>
    <t>Determine Expanded Uncertainty For This Calibration</t>
  </si>
  <si>
    <t>Balance Vlookup Table</t>
  </si>
  <si>
    <t>Serial
Number</t>
  </si>
  <si>
    <t>Nominal
Value
(gram)</t>
  </si>
  <si>
    <t>Uncertainty
(mg)</t>
  </si>
  <si>
    <t>k
factor</t>
  </si>
  <si>
    <t>Report
Number</t>
  </si>
  <si>
    <t>Date
Calibrated</t>
  </si>
  <si>
    <t>Date
Calibration
Due</t>
  </si>
  <si>
    <t>ID
Code</t>
  </si>
  <si>
    <t>Units</t>
  </si>
  <si>
    <t>Report
#</t>
  </si>
  <si>
    <t>Cal
Date</t>
  </si>
  <si>
    <t>Due
Date</t>
  </si>
  <si>
    <t>Density
(g/cm3)</t>
  </si>
  <si>
    <t>Density
Uncertainty
k=1
(g/cm3)</t>
  </si>
  <si>
    <t>Unit</t>
  </si>
  <si>
    <t>YOUR</t>
  </si>
  <si>
    <t>LABORATORY</t>
  </si>
  <si>
    <t>ADDRESS</t>
  </si>
  <si>
    <t>AND CONTACT INFORMATION</t>
  </si>
  <si>
    <t>The item(s) listed above have been compared to the Standards of the State of YOUT-STATE. The Standards of the State of YOUR STATE are traceable to the National Institute of Standards and Technology (NIST) and are part of a comprehensive measurement assurance program for ensuring continued accuracy and measurement traceability within the level of uncertainty reported by this laboratory. The report of calibration number identified in the title of this report is the unique report number to be used in referencing measurement traceability for the artifact(s) identified in this report only.</t>
  </si>
  <si>
    <t>State Metrologist</t>
  </si>
  <si>
    <t>Accredited by the National Institute of Standards and Technology (NIST) through the National Voluntary Laboratory Accreditation Program (NVLAP) for the specified scope of accreditation under lab code YOUR-LAB-CODE. This laboratory meets the requirements of ISO/IEC 17025 and ANSI/NCSL Z540-1. This report may not be used to claim product endorsement by NVLAP or any other government agency, and may not be reproduced, except in full, without written approval from the laboratory.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</si>
</sst>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00_)"/>
    <numFmt numFmtId="166" formatCode="0.000000000_)"/>
    <numFmt numFmtId="167" formatCode="0.000000_)"/>
    <numFmt numFmtId="168" formatCode="0.000000000"/>
    <numFmt numFmtId="169" formatCode="0.00000000"/>
    <numFmt numFmtId="170" formatCode="0.000000"/>
    <numFmt numFmtId="171" formatCode="h:mm;@"/>
    <numFmt numFmtId="172" formatCode="[$-409]mmmm\ d\,\ yyyy;@"/>
    <numFmt numFmtId="173" formatCode="&quot;●  The Neck Scale Calibration Value (NSCV) = &quot;0.0##\ ###"/>
    <numFmt numFmtId="174" formatCode="[&lt;=9999999]###\-####;\(###\)\ ###\-####"/>
    <numFmt numFmtId="175" formatCode="0.0##\ ###\ #"/>
    <numFmt numFmtId="176" formatCode="&quot;Phone #..............: &quot;\ \(000\)\ 000\-0000"/>
    <numFmt numFmtId="177" formatCode="0.0##\ ###\ ###"/>
    <numFmt numFmtId="178" formatCode="[$-409]dddd\,\ mmmm\ dd\,\ yyyy"/>
    <numFmt numFmtId="179" formatCode="###,##0.0##\ ###\ ###"/>
    <numFmt numFmtId="180" formatCode="0.0##\ ###\ ###\ &quot;gal&quot;"/>
    <numFmt numFmtId="181" formatCode="000\ 000"/>
    <numFmt numFmtId="182" formatCode="0.000\ 000"/>
    <numFmt numFmtId="183" formatCode="&quot;Phone #...............: &quot;\ \(000\)\ 000\-0000"/>
    <numFmt numFmtId="184" formatCode="&quot;Phone #................: &quot;\ \(000\)\ 000\-0000"/>
    <numFmt numFmtId="185" formatCode=".00000_)"/>
    <numFmt numFmtId="186" formatCode=".0_)"/>
    <numFmt numFmtId="187" formatCode=".000000_)"/>
    <numFmt numFmtId="188" formatCode=".00_)"/>
    <numFmt numFmtId="189" formatCode=".00000000_)"/>
    <numFmt numFmtId="190" formatCode="0.0##\ ###"/>
    <numFmt numFmtId="191" formatCode="m/d/yyyy;@"/>
    <numFmt numFmtId="192" formatCode="###,##0.0##\ ###"/>
    <numFmt numFmtId="193" formatCode=";;"/>
    <numFmt numFmtId="194" formatCode="###,##0.0##"/>
    <numFmt numFmtId="195" formatCode="\+\ 0.0##\ ###"/>
    <numFmt numFmtId="196" formatCode="\-\ 0.0##\ ###"/>
    <numFmt numFmtId="197" formatCode="##,##0.0##\ ###"/>
    <numFmt numFmtId="198" formatCode="###,##0.0##\ ###\ &quot;mL&quot;"/>
    <numFmt numFmtId="199" formatCode="0.000000000000000"/>
    <numFmt numFmtId="200" formatCode="[$-409]h:mm:ss\ AM/PM"/>
    <numFmt numFmtId="201" formatCode="0.0##\ ###\ "/>
    <numFmt numFmtId="202" formatCode="0.0000"/>
    <numFmt numFmtId="203" formatCode="0.000000000000"/>
    <numFmt numFmtId="204" formatCode="0.00000"/>
    <numFmt numFmtId="205" formatCode="0.0%"/>
    <numFmt numFmtId="206" formatCode="0.0##\ ###%"/>
    <numFmt numFmtId="207" formatCode="0.0##\ ###_)"/>
    <numFmt numFmtId="208" formatCode="0.0###\ ###\ "/>
    <numFmt numFmtId="209" formatCode="0.0###\ ###\ ###"/>
    <numFmt numFmtId="210" formatCode="0.0000000"/>
  </numFmts>
  <fonts count="115">
    <font>
      <sz val="12"/>
      <name val="Helv"/>
      <family val="0"/>
    </font>
    <font>
      <b/>
      <sz val="10"/>
      <name val="Arial"/>
      <family val="0"/>
    </font>
    <font>
      <i/>
      <sz val="10"/>
      <name val="Arial"/>
      <family val="0"/>
    </font>
    <font>
      <b/>
      <i/>
      <sz val="10"/>
      <name val="Arial"/>
      <family val="0"/>
    </font>
    <font>
      <sz val="10"/>
      <name val="Arial"/>
      <family val="0"/>
    </font>
    <font>
      <sz val="12"/>
      <name val="Times New Roman"/>
      <family val="1"/>
    </font>
    <font>
      <sz val="10"/>
      <name val="Times New Roman"/>
      <family val="1"/>
    </font>
    <font>
      <sz val="18"/>
      <name val="Arial"/>
      <family val="0"/>
    </font>
    <font>
      <sz val="12"/>
      <name val="Arial"/>
      <family val="0"/>
    </font>
    <font>
      <b/>
      <i/>
      <sz val="12"/>
      <name val="Times New Roman"/>
      <family val="1"/>
    </font>
    <font>
      <sz val="11"/>
      <name val="Times New Roman"/>
      <family val="1"/>
    </font>
    <font>
      <b/>
      <sz val="11"/>
      <name val="Times New Roman"/>
      <family val="1"/>
    </font>
    <font>
      <sz val="8"/>
      <name val="Helv"/>
      <family val="0"/>
    </font>
    <font>
      <u val="single"/>
      <sz val="10"/>
      <color indexed="36"/>
      <name val="Arial"/>
      <family val="0"/>
    </font>
    <font>
      <u val="single"/>
      <sz val="10"/>
      <color indexed="12"/>
      <name val="Arial"/>
      <family val="0"/>
    </font>
    <font>
      <sz val="10"/>
      <name val="Courier"/>
      <family val="0"/>
    </font>
    <font>
      <sz val="8"/>
      <name val="Arial"/>
      <family val="0"/>
    </font>
    <font>
      <i/>
      <sz val="11"/>
      <name val="Times New Roman"/>
      <family val="1"/>
    </font>
    <font>
      <sz val="10"/>
      <name val="Helv"/>
      <family val="0"/>
    </font>
    <font>
      <b/>
      <sz val="14"/>
      <color indexed="62"/>
      <name val="Trebuchet MS"/>
      <family val="2"/>
    </font>
    <font>
      <b/>
      <i/>
      <sz val="14"/>
      <color indexed="10"/>
      <name val="Trebuchet MS"/>
      <family val="2"/>
    </font>
    <font>
      <b/>
      <i/>
      <sz val="14"/>
      <color indexed="60"/>
      <name val="Trebuchet MS"/>
      <family val="2"/>
    </font>
    <font>
      <sz val="11"/>
      <color indexed="8"/>
      <name val="Times New Roman"/>
      <family val="1"/>
    </font>
    <font>
      <sz val="14"/>
      <color indexed="8"/>
      <name val="Times New Roman"/>
      <family val="1"/>
    </font>
    <font>
      <sz val="10"/>
      <color indexed="8"/>
      <name val="Times New Roman"/>
      <family val="1"/>
    </font>
    <font>
      <sz val="10"/>
      <color indexed="8"/>
      <name val="Symbol"/>
      <family val="1"/>
    </font>
    <font>
      <b/>
      <sz val="8"/>
      <color indexed="8"/>
      <name val="Times New Roman"/>
      <family val="1"/>
    </font>
    <font>
      <sz val="8"/>
      <color indexed="8"/>
      <name val="Times New Roman"/>
      <family val="1"/>
    </font>
    <font>
      <u val="single"/>
      <sz val="8"/>
      <color indexed="12"/>
      <name val="Arial"/>
      <family val="0"/>
    </font>
    <font>
      <b/>
      <i/>
      <sz val="12"/>
      <color indexed="8"/>
      <name val="Times New Roman"/>
      <family val="1"/>
    </font>
    <font>
      <b/>
      <sz val="10"/>
      <name val="Times New Roman"/>
      <family val="1"/>
    </font>
    <font>
      <i/>
      <sz val="10"/>
      <color indexed="8"/>
      <name val="Times New Roman"/>
      <family val="1"/>
    </font>
    <font>
      <sz val="10"/>
      <name val="Trebuchet MS"/>
      <family val="2"/>
    </font>
    <font>
      <sz val="11"/>
      <name val="Trebuchet MS"/>
      <family val="2"/>
    </font>
    <font>
      <b/>
      <sz val="10"/>
      <name val="Trebuchet MS"/>
      <family val="2"/>
    </font>
    <font>
      <vertAlign val="superscript"/>
      <sz val="10"/>
      <name val="Trebuchet MS"/>
      <family val="2"/>
    </font>
    <font>
      <vertAlign val="subscript"/>
      <sz val="10"/>
      <name val="Trebuchet MS"/>
      <family val="2"/>
    </font>
    <font>
      <b/>
      <i/>
      <sz val="10"/>
      <name val="Trebuchet MS"/>
      <family val="2"/>
    </font>
    <font>
      <b/>
      <sz val="10"/>
      <color indexed="56"/>
      <name val="Trebuchet MS"/>
      <family val="2"/>
    </font>
    <font>
      <b/>
      <i/>
      <sz val="10"/>
      <color indexed="10"/>
      <name val="Trebuchet MS"/>
      <family val="2"/>
    </font>
    <font>
      <sz val="11"/>
      <name val="Tahoma"/>
      <family val="2"/>
    </font>
    <font>
      <i/>
      <sz val="10"/>
      <color indexed="10"/>
      <name val="Trebuchet MS"/>
      <family val="2"/>
    </font>
    <font>
      <b/>
      <sz val="12"/>
      <name val="Trebuchet MS"/>
      <family val="2"/>
    </font>
    <font>
      <sz val="16"/>
      <name val="Trebuchet MS"/>
      <family val="2"/>
    </font>
    <font>
      <sz val="12"/>
      <name val="Tahoma"/>
      <family val="2"/>
    </font>
    <font>
      <i/>
      <sz val="12"/>
      <name val="Trebuchet MS"/>
      <family val="2"/>
    </font>
    <font>
      <sz val="10"/>
      <color indexed="9"/>
      <name val="Trebuchet MS"/>
      <family val="2"/>
    </font>
    <font>
      <sz val="12"/>
      <name val="Trebuchet MS"/>
      <family val="2"/>
    </font>
    <font>
      <sz val="14"/>
      <name val="Trebuchet MS"/>
      <family val="2"/>
    </font>
    <font>
      <sz val="11"/>
      <color indexed="9"/>
      <name val="Tahoma"/>
      <family val="2"/>
    </font>
    <font>
      <sz val="11"/>
      <color indexed="58"/>
      <name val="Trebuchet MS"/>
      <family val="2"/>
    </font>
    <font>
      <sz val="11"/>
      <color indexed="16"/>
      <name val="Trebuchet MS"/>
      <family val="2"/>
    </font>
    <font>
      <sz val="11"/>
      <name val="Arial"/>
      <family val="2"/>
    </font>
    <font>
      <b/>
      <sz val="10"/>
      <color indexed="61"/>
      <name val="Trebuchet MS"/>
      <family val="2"/>
    </font>
    <font>
      <sz val="9"/>
      <name val="Tahoma"/>
      <family val="2"/>
    </font>
    <font>
      <sz val="9"/>
      <name val="Helv"/>
      <family val="0"/>
    </font>
    <font>
      <i/>
      <sz val="10"/>
      <name val="Trebuchet MS"/>
      <family val="2"/>
    </font>
    <font>
      <i/>
      <sz val="11"/>
      <name val="Tahoma"/>
      <family val="2"/>
    </font>
    <font>
      <i/>
      <vertAlign val="subscript"/>
      <sz val="11"/>
      <name val="Tahoma"/>
      <family val="2"/>
    </font>
    <font>
      <sz val="10"/>
      <name val="Tahoma"/>
      <family val="2"/>
    </font>
    <font>
      <b/>
      <sz val="11"/>
      <color indexed="18"/>
      <name val="Tahoma"/>
      <family val="2"/>
    </font>
    <font>
      <sz val="10"/>
      <color indexed="10"/>
      <name val="Trebuchet MS"/>
      <family val="2"/>
    </font>
    <font>
      <b/>
      <sz val="12"/>
      <name val="Helv"/>
      <family val="0"/>
    </font>
    <font>
      <sz val="10"/>
      <color indexed="8"/>
      <name val="Arial"/>
      <family val="0"/>
    </font>
    <font>
      <sz val="10"/>
      <name val="MS Sans Serif"/>
      <family val="0"/>
    </font>
    <font>
      <b/>
      <i/>
      <sz val="9"/>
      <name val="Arial"/>
      <family val="2"/>
    </font>
    <font>
      <sz val="10"/>
      <color indexed="61"/>
      <name val="Trebuchet MS"/>
      <family val="2"/>
    </font>
    <font>
      <sz val="11"/>
      <color indexed="61"/>
      <name val="Tahoma"/>
      <family val="2"/>
    </font>
    <font>
      <vertAlign val="subscript"/>
      <sz val="10"/>
      <color indexed="61"/>
      <name val="Trebuchet MS"/>
      <family val="2"/>
    </font>
    <font>
      <sz val="10"/>
      <color indexed="12"/>
      <name val="Trebuchet MS"/>
      <family val="2"/>
    </font>
    <font>
      <sz val="10"/>
      <color indexed="12"/>
      <name val="Arial"/>
      <family val="2"/>
    </font>
    <font>
      <sz val="14.25"/>
      <name val="Times New Roman"/>
      <family val="0"/>
    </font>
    <font>
      <sz val="17"/>
      <name val="Times New Roman"/>
      <family val="0"/>
    </font>
    <font>
      <sz val="17.5"/>
      <name val="Times New Roman"/>
      <family val="0"/>
    </font>
    <font>
      <sz val="11"/>
      <color indexed="12"/>
      <name val="Tahoma"/>
      <family val="2"/>
    </font>
    <font>
      <sz val="10"/>
      <color indexed="61"/>
      <name val="Tahoma"/>
      <family val="2"/>
    </font>
    <font>
      <sz val="11"/>
      <color indexed="61"/>
      <name val="Trebuchet MS"/>
      <family val="2"/>
    </font>
    <font>
      <sz val="11"/>
      <color indexed="10"/>
      <name val="Trebuchet MS"/>
      <family val="2"/>
    </font>
    <font>
      <sz val="11"/>
      <color indexed="12"/>
      <name val="Trebuchet MS"/>
      <family val="2"/>
    </font>
    <font>
      <b/>
      <i/>
      <sz val="11"/>
      <name val="Arial"/>
      <family val="2"/>
    </font>
    <font>
      <b/>
      <i/>
      <vertAlign val="subscript"/>
      <sz val="11"/>
      <name val="Arial"/>
      <family val="2"/>
    </font>
    <font>
      <i/>
      <sz val="11"/>
      <color indexed="61"/>
      <name val="Arial"/>
      <family val="0"/>
    </font>
    <font>
      <i/>
      <vertAlign val="subscript"/>
      <sz val="11"/>
      <color indexed="61"/>
      <name val="Arial"/>
      <family val="0"/>
    </font>
    <font>
      <sz val="11"/>
      <color indexed="61"/>
      <name val="Arial"/>
      <family val="0"/>
    </font>
    <font>
      <vertAlign val="subscript"/>
      <sz val="10"/>
      <color indexed="10"/>
      <name val="Trebuchet MS"/>
      <family val="2"/>
    </font>
    <font>
      <b/>
      <sz val="10"/>
      <name val="Tahoma"/>
      <family val="2"/>
    </font>
    <font>
      <sz val="10"/>
      <color indexed="10"/>
      <name val="Tahoma"/>
      <family val="2"/>
    </font>
    <font>
      <b/>
      <vertAlign val="subscript"/>
      <sz val="10"/>
      <name val="Trebuchet MS"/>
      <family val="2"/>
    </font>
    <font>
      <sz val="10"/>
      <color indexed="12"/>
      <name val="Tahoma"/>
      <family val="2"/>
    </font>
    <font>
      <i/>
      <sz val="9"/>
      <name val="Trebuchet MS"/>
      <family val="2"/>
    </font>
    <font>
      <b/>
      <i/>
      <sz val="9"/>
      <name val="Trebuchet MS"/>
      <family val="2"/>
    </font>
    <font>
      <vertAlign val="subscript"/>
      <sz val="11"/>
      <name val="Trebuchet MS"/>
      <family val="2"/>
    </font>
    <font>
      <sz val="9"/>
      <name val="Trebuchet MS"/>
      <family val="2"/>
    </font>
    <font>
      <sz val="8"/>
      <color indexed="12"/>
      <name val="Tahoma"/>
      <family val="2"/>
    </font>
    <font>
      <i/>
      <vertAlign val="subscript"/>
      <sz val="10"/>
      <color indexed="10"/>
      <name val="Trebuchet MS"/>
      <family val="2"/>
    </font>
    <font>
      <vertAlign val="superscript"/>
      <sz val="10"/>
      <color indexed="10"/>
      <name val="Trebuchet MS"/>
      <family val="2"/>
    </font>
    <font>
      <b/>
      <i/>
      <vertAlign val="subscript"/>
      <sz val="10"/>
      <name val="Trebuchet MS"/>
      <family val="2"/>
    </font>
    <font>
      <b/>
      <vertAlign val="superscript"/>
      <sz val="10"/>
      <name val="Trebuchet MS"/>
      <family val="2"/>
    </font>
    <font>
      <b/>
      <i/>
      <sz val="10"/>
      <color indexed="12"/>
      <name val="Trebuchet MS"/>
      <family val="2"/>
    </font>
    <font>
      <b/>
      <i/>
      <vertAlign val="subscript"/>
      <sz val="10"/>
      <color indexed="12"/>
      <name val="Trebuchet MS"/>
      <family val="2"/>
    </font>
    <font>
      <i/>
      <sz val="11"/>
      <name val="Trebuchet MS"/>
      <family val="2"/>
    </font>
    <font>
      <i/>
      <vertAlign val="subscript"/>
      <sz val="11"/>
      <name val="Trebuchet MS"/>
      <family val="2"/>
    </font>
    <font>
      <i/>
      <sz val="11"/>
      <color indexed="61"/>
      <name val="Trebuchet MS"/>
      <family val="2"/>
    </font>
    <font>
      <i/>
      <vertAlign val="subscript"/>
      <sz val="11"/>
      <color indexed="61"/>
      <name val="Trebuchet MS"/>
      <family val="2"/>
    </font>
    <font>
      <sz val="11"/>
      <color indexed="10"/>
      <name val="Arial"/>
      <family val="2"/>
    </font>
    <font>
      <b/>
      <i/>
      <sz val="14"/>
      <name val="Trebuchet MS"/>
      <family val="2"/>
    </font>
    <font>
      <b/>
      <i/>
      <sz val="12"/>
      <color indexed="10"/>
      <name val="Trebuchet MS"/>
      <family val="2"/>
    </font>
    <font>
      <b/>
      <sz val="12"/>
      <color indexed="10"/>
      <name val="Trebuchet MS"/>
      <family val="2"/>
    </font>
    <font>
      <b/>
      <sz val="12"/>
      <color indexed="60"/>
      <name val="Trebuchet MS"/>
      <family val="2"/>
    </font>
    <font>
      <b/>
      <sz val="12"/>
      <color indexed="61"/>
      <name val="Trebuchet MS"/>
      <family val="2"/>
    </font>
    <font>
      <b/>
      <sz val="11"/>
      <color indexed="58"/>
      <name val="Trebuchet MS"/>
      <family val="2"/>
    </font>
    <font>
      <b/>
      <sz val="14"/>
      <name val="Trebuchet MS"/>
      <family val="2"/>
    </font>
    <font>
      <b/>
      <i/>
      <sz val="14"/>
      <color indexed="62"/>
      <name val="Trebuchet MS"/>
      <family val="2"/>
    </font>
    <font>
      <sz val="8"/>
      <name val="Tahoma"/>
      <family val="2"/>
    </font>
    <font>
      <b/>
      <sz val="8"/>
      <name val="Helv"/>
      <family val="2"/>
    </font>
  </fonts>
  <fills count="13">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60"/>
        <bgColor indexed="64"/>
      </patternFill>
    </fill>
    <fill>
      <patternFill patternType="solid">
        <fgColor indexed="8"/>
        <bgColor indexed="64"/>
      </patternFill>
    </fill>
    <fill>
      <patternFill patternType="solid">
        <fgColor indexed="11"/>
        <bgColor indexed="64"/>
      </patternFill>
    </fill>
    <fill>
      <patternFill patternType="solid">
        <fgColor indexed="43"/>
        <bgColor indexed="64"/>
      </patternFill>
    </fill>
    <fill>
      <patternFill patternType="mediumGray">
        <fgColor indexed="47"/>
        <bgColor indexed="9"/>
      </patternFill>
    </fill>
    <fill>
      <patternFill patternType="solid">
        <fgColor indexed="45"/>
        <bgColor indexed="64"/>
      </patternFill>
    </fill>
    <fill>
      <patternFill patternType="gray0625">
        <fgColor indexed="22"/>
        <bgColor indexed="9"/>
      </patternFill>
    </fill>
    <fill>
      <patternFill patternType="gray0625">
        <fgColor indexed="22"/>
        <bgColor indexed="22"/>
      </patternFill>
    </fill>
  </fills>
  <borders count="60">
    <border>
      <left/>
      <right/>
      <top/>
      <bottom/>
      <diagonal/>
    </border>
    <border>
      <left>
        <color indexed="63"/>
      </left>
      <right>
        <color indexed="63"/>
      </right>
      <top style="double">
        <color indexed="24"/>
      </top>
      <bottom>
        <color indexed="63"/>
      </bottom>
    </border>
    <border>
      <left>
        <color indexed="63"/>
      </left>
      <right>
        <color indexed="63"/>
      </right>
      <top>
        <color indexed="63"/>
      </top>
      <bottom style="thin"/>
    </border>
    <border>
      <left>
        <color indexed="63"/>
      </left>
      <right>
        <color indexed="63"/>
      </right>
      <top style="thick"/>
      <bottom style="thin"/>
    </border>
    <border>
      <left>
        <color indexed="63"/>
      </left>
      <right>
        <color indexed="63"/>
      </right>
      <top>
        <color indexed="63"/>
      </top>
      <bottom style="medium"/>
    </border>
    <border>
      <left style="hair"/>
      <right style="hair"/>
      <top>
        <color indexed="63"/>
      </top>
      <bottom style="hair"/>
    </border>
    <border>
      <left>
        <color indexed="63"/>
      </left>
      <right>
        <color indexed="63"/>
      </right>
      <top style="hair"/>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thick"/>
    </border>
    <border>
      <left style="hair"/>
      <right style="hair"/>
      <top>
        <color indexed="63"/>
      </top>
      <bottom style="medium"/>
    </border>
    <border>
      <left style="hair">
        <color indexed="58"/>
      </left>
      <right style="hair">
        <color indexed="58"/>
      </right>
      <top>
        <color indexed="63"/>
      </top>
      <bottom style="hair">
        <color indexed="58"/>
      </bottom>
    </border>
    <border>
      <left>
        <color indexed="63"/>
      </left>
      <right>
        <color indexed="63"/>
      </right>
      <top style="medium"/>
      <bottom>
        <color indexed="63"/>
      </bottom>
    </border>
    <border>
      <left>
        <color indexed="63"/>
      </left>
      <right>
        <color indexed="63"/>
      </right>
      <top style="hair"/>
      <bottom style="thin"/>
    </border>
    <border>
      <left style="hair"/>
      <right>
        <color indexed="63"/>
      </right>
      <top style="hair"/>
      <bottom style="thin"/>
    </border>
    <border>
      <left style="hair"/>
      <right style="hair"/>
      <top style="hair"/>
      <bottom style="thin"/>
    </border>
    <border>
      <left>
        <color indexed="63"/>
      </left>
      <right>
        <color indexed="63"/>
      </right>
      <top style="medium"/>
      <bottom style="dotted"/>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dotted"/>
    </border>
    <border>
      <left>
        <color indexed="63"/>
      </left>
      <right>
        <color indexed="63"/>
      </right>
      <top style="dotted"/>
      <bottom>
        <color indexed="63"/>
      </bottom>
    </border>
    <border>
      <left style="hair"/>
      <right>
        <color indexed="63"/>
      </right>
      <top style="hair"/>
      <bottom>
        <color indexed="63"/>
      </bottom>
    </border>
    <border>
      <left style="hair"/>
      <right style="hair"/>
      <top style="medium"/>
      <bottom style="hair"/>
    </border>
    <border>
      <left>
        <color indexed="63"/>
      </left>
      <right style="hair"/>
      <top>
        <color indexed="63"/>
      </top>
      <bottom style="hair"/>
    </border>
    <border>
      <left style="hair"/>
      <right style="thin"/>
      <top style="hair"/>
      <bottom style="hair"/>
    </border>
    <border>
      <left>
        <color indexed="63"/>
      </left>
      <right>
        <color indexed="63"/>
      </right>
      <top style="hair"/>
      <bottom style="hair"/>
    </border>
    <border>
      <left style="thin"/>
      <right>
        <color indexed="63"/>
      </right>
      <top style="hair"/>
      <bottom style="hair"/>
    </border>
    <border>
      <left style="hair">
        <color indexed="58"/>
      </left>
      <right>
        <color indexed="63"/>
      </right>
      <top style="thin"/>
      <bottom style="hair">
        <color indexed="58"/>
      </bottom>
    </border>
    <border>
      <left>
        <color indexed="63"/>
      </left>
      <right>
        <color indexed="63"/>
      </right>
      <top>
        <color indexed="63"/>
      </top>
      <bottom style="hair"/>
    </border>
    <border>
      <left style="hair"/>
      <right style="thin"/>
      <top>
        <color indexed="63"/>
      </top>
      <bottom style="hair"/>
    </border>
    <border>
      <left style="hair"/>
      <right style="hair"/>
      <top style="medium"/>
      <bottom style="thin"/>
    </border>
    <border>
      <left style="hair"/>
      <right style="thin"/>
      <top style="medium"/>
      <bottom style="thin"/>
    </border>
    <border>
      <left>
        <color indexed="63"/>
      </left>
      <right>
        <color indexed="63"/>
      </right>
      <top style="medium"/>
      <bottom style="hair"/>
    </border>
    <border>
      <left>
        <color indexed="63"/>
      </left>
      <right style="hair"/>
      <top style="medium"/>
      <bottom style="hair"/>
    </border>
    <border>
      <left style="thin"/>
      <right>
        <color indexed="63"/>
      </right>
      <top>
        <color indexed="63"/>
      </top>
      <bottom style="hair"/>
    </border>
    <border>
      <left style="hair"/>
      <right>
        <color indexed="63"/>
      </right>
      <top style="medium"/>
      <bottom style="hair"/>
    </border>
    <border>
      <left style="hair">
        <color indexed="58"/>
      </left>
      <right style="hair">
        <color indexed="58"/>
      </right>
      <top style="medium"/>
      <bottom style="thin"/>
    </border>
    <border>
      <left style="hair">
        <color indexed="58"/>
      </left>
      <right>
        <color indexed="63"/>
      </right>
      <top style="medium"/>
      <bottom style="thin"/>
    </border>
    <border>
      <left style="hair"/>
      <right style="hair"/>
      <top>
        <color indexed="63"/>
      </top>
      <bottom style="thin"/>
    </border>
    <border>
      <left>
        <color indexed="63"/>
      </left>
      <right>
        <color indexed="63"/>
      </right>
      <top style="thin"/>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color indexed="63"/>
      </top>
      <bottom style="thin"/>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thin"/>
    </border>
    <border>
      <left style="hair"/>
      <right>
        <color indexed="63"/>
      </right>
      <top style="hair"/>
      <bottom style="medium"/>
    </border>
    <border>
      <left>
        <color indexed="63"/>
      </left>
      <right style="hair"/>
      <top style="hair"/>
      <bottom style="medium"/>
    </border>
    <border>
      <left style="hair"/>
      <right style="hair"/>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hair"/>
      <bottom style="hair"/>
    </border>
    <border>
      <left style="thin"/>
      <right style="hair"/>
      <top style="medium"/>
      <bottom style="thin"/>
    </border>
    <border>
      <left style="hair"/>
      <right>
        <color indexed="63"/>
      </right>
      <top style="medium"/>
      <bottom style="thin"/>
    </border>
    <border>
      <left>
        <color indexed="63"/>
      </left>
      <right style="thin"/>
      <top>
        <color indexed="63"/>
      </top>
      <bottom style="hair"/>
    </border>
    <border>
      <left style="thin"/>
      <right style="hair"/>
      <top style="hair"/>
      <bottom style="hair"/>
    </border>
    <border>
      <left style="thin"/>
      <right style="hair"/>
      <top>
        <color indexed="63"/>
      </top>
      <bottom style="hair"/>
    </border>
  </borders>
  <cellStyleXfs count="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15" fillId="0" borderId="0">
      <alignment/>
      <protection/>
    </xf>
    <xf numFmtId="0" fontId="4" fillId="0" borderId="0">
      <alignment/>
      <protection/>
    </xf>
    <xf numFmtId="0" fontId="64" fillId="0" borderId="0">
      <alignment/>
      <protection/>
    </xf>
    <xf numFmtId="0" fontId="4" fillId="0" borderId="0">
      <alignment/>
      <protection/>
    </xf>
    <xf numFmtId="9" fontId="4" fillId="0" borderId="0" applyFont="0" applyFill="0" applyBorder="0" applyAlignment="0" applyProtection="0"/>
    <xf numFmtId="0" fontId="4" fillId="0" borderId="1" applyNumberFormat="0" applyFont="0" applyFill="0" applyAlignment="0" applyProtection="0"/>
  </cellStyleXfs>
  <cellXfs count="556">
    <xf numFmtId="164" fontId="0" fillId="0" borderId="0" xfId="0" applyAlignment="1">
      <alignment/>
    </xf>
    <xf numFmtId="0" fontId="4" fillId="0" borderId="0" xfId="27">
      <alignment/>
      <protection/>
    </xf>
    <xf numFmtId="0" fontId="4" fillId="0" borderId="0" xfId="27" applyBorder="1">
      <alignment/>
      <protection/>
    </xf>
    <xf numFmtId="167" fontId="5" fillId="0" borderId="0" xfId="27" applyNumberFormat="1" applyFont="1" applyAlignment="1">
      <alignment vertical="top"/>
      <protection/>
    </xf>
    <xf numFmtId="164" fontId="0" fillId="0" borderId="0" xfId="0" applyAlignment="1" applyProtection="1">
      <alignment/>
      <protection/>
    </xf>
    <xf numFmtId="164" fontId="0" fillId="0" borderId="0" xfId="0" applyAlignment="1">
      <alignment/>
    </xf>
    <xf numFmtId="0" fontId="4" fillId="0" borderId="0" xfId="29" applyFont="1">
      <alignment/>
      <protection/>
    </xf>
    <xf numFmtId="0" fontId="10" fillId="0" borderId="0" xfId="31" applyFont="1">
      <alignment/>
      <protection/>
    </xf>
    <xf numFmtId="0" fontId="4" fillId="0" borderId="0" xfId="31">
      <alignment/>
      <protection/>
    </xf>
    <xf numFmtId="0" fontId="10" fillId="0" borderId="0" xfId="30" applyFont="1">
      <alignment/>
      <protection/>
    </xf>
    <xf numFmtId="164" fontId="0" fillId="0" borderId="2" xfId="0" applyBorder="1" applyAlignment="1">
      <alignment horizontal="right"/>
    </xf>
    <xf numFmtId="164" fontId="0" fillId="0" borderId="0" xfId="0" applyFill="1" applyAlignment="1">
      <alignment/>
    </xf>
    <xf numFmtId="164" fontId="0" fillId="0" borderId="0" xfId="0" applyFont="1" applyFill="1" applyAlignment="1">
      <alignment vertical="center"/>
    </xf>
    <xf numFmtId="164" fontId="22" fillId="0" borderId="0" xfId="0" applyFont="1" applyAlignment="1">
      <alignment horizontal="center"/>
    </xf>
    <xf numFmtId="164" fontId="23" fillId="0" borderId="0" xfId="0" applyFont="1" applyAlignment="1">
      <alignment horizontal="center"/>
    </xf>
    <xf numFmtId="164" fontId="24" fillId="0" borderId="0" xfId="0" applyFont="1" applyAlignment="1">
      <alignment horizontal="center"/>
    </xf>
    <xf numFmtId="164" fontId="28" fillId="0" borderId="0" xfId="26" applyFont="1" applyAlignment="1">
      <alignment horizontal="right"/>
    </xf>
    <xf numFmtId="172" fontId="17" fillId="0" borderId="3" xfId="0" applyNumberFormat="1" applyFont="1" applyBorder="1" applyAlignment="1">
      <alignment horizontal="left"/>
    </xf>
    <xf numFmtId="172" fontId="17" fillId="0" borderId="3" xfId="0" applyNumberFormat="1" applyFont="1" applyBorder="1" applyAlignment="1">
      <alignment horizontal="right"/>
    </xf>
    <xf numFmtId="164" fontId="6" fillId="0" borderId="0" xfId="0" applyFont="1" applyAlignment="1">
      <alignment horizontal="left"/>
    </xf>
    <xf numFmtId="164" fontId="0" fillId="0" borderId="4" xfId="0" applyBorder="1" applyAlignment="1">
      <alignment/>
    </xf>
    <xf numFmtId="164" fontId="0" fillId="0" borderId="4" xfId="0" applyBorder="1" applyAlignment="1">
      <alignment horizontal="right"/>
    </xf>
    <xf numFmtId="164" fontId="30" fillId="0" borderId="2" xfId="0" applyFont="1" applyBorder="1" applyAlignment="1">
      <alignment/>
    </xf>
    <xf numFmtId="164" fontId="6" fillId="0" borderId="2" xfId="0" applyFont="1" applyBorder="1" applyAlignment="1">
      <alignment/>
    </xf>
    <xf numFmtId="164" fontId="30" fillId="0" borderId="5" xfId="0" applyFont="1" applyBorder="1" applyAlignment="1">
      <alignment/>
    </xf>
    <xf numFmtId="164" fontId="6" fillId="0" borderId="6" xfId="0" applyFont="1" applyBorder="1" applyAlignment="1">
      <alignment wrapText="1"/>
    </xf>
    <xf numFmtId="164" fontId="6" fillId="0" borderId="0" xfId="0" applyFont="1" applyBorder="1" applyAlignment="1">
      <alignment wrapText="1"/>
    </xf>
    <xf numFmtId="0" fontId="40" fillId="2" borderId="7" xfId="29" applyFont="1" applyFill="1" applyBorder="1" applyAlignment="1" applyProtection="1">
      <alignment horizontal="center" vertical="center"/>
      <protection locked="0"/>
    </xf>
    <xf numFmtId="0" fontId="4" fillId="0" borderId="0" xfId="33" applyFont="1">
      <alignment/>
      <protection/>
    </xf>
    <xf numFmtId="164" fontId="44" fillId="2" borderId="7" xfId="33" applyNumberFormat="1" applyFont="1" applyFill="1" applyBorder="1" applyAlignment="1" applyProtection="1">
      <alignment horizontal="center" vertical="center"/>
      <protection/>
    </xf>
    <xf numFmtId="0" fontId="44" fillId="2" borderId="7" xfId="27" applyFont="1" applyFill="1" applyBorder="1" applyAlignment="1">
      <alignment horizontal="center" vertical="center"/>
      <protection/>
    </xf>
    <xf numFmtId="0" fontId="44" fillId="2" borderId="7" xfId="33" applyFont="1" applyFill="1" applyBorder="1" applyAlignment="1">
      <alignment horizontal="center" vertical="center"/>
      <protection/>
    </xf>
    <xf numFmtId="0" fontId="44" fillId="2" borderId="8" xfId="27" applyFont="1" applyFill="1" applyBorder="1" applyAlignment="1">
      <alignment horizontal="left" vertical="center"/>
      <protection/>
    </xf>
    <xf numFmtId="0" fontId="44" fillId="2" borderId="7" xfId="27" applyFont="1" applyFill="1" applyBorder="1" applyAlignment="1">
      <alignment horizontal="left" vertical="center"/>
      <protection/>
    </xf>
    <xf numFmtId="0" fontId="44" fillId="2" borderId="9" xfId="27" applyFont="1" applyFill="1" applyBorder="1" applyAlignment="1">
      <alignment horizontal="left" vertical="center"/>
      <protection/>
    </xf>
    <xf numFmtId="0" fontId="44" fillId="2" borderId="5" xfId="27" applyFont="1" applyFill="1" applyBorder="1" applyAlignment="1">
      <alignment horizontal="left" vertical="center"/>
      <protection/>
    </xf>
    <xf numFmtId="164" fontId="0" fillId="0" borderId="0" xfId="0" applyAlignment="1">
      <alignment horizontal="center"/>
    </xf>
    <xf numFmtId="0" fontId="47" fillId="3" borderId="7" xfId="27" applyFont="1" applyFill="1" applyBorder="1" applyAlignment="1">
      <alignment vertical="center"/>
      <protection/>
    </xf>
    <xf numFmtId="0" fontId="47" fillId="3" borderId="7" xfId="27" applyFont="1" applyFill="1" applyBorder="1" applyAlignment="1">
      <alignment horizontal="center" vertical="center"/>
      <protection/>
    </xf>
    <xf numFmtId="0" fontId="47" fillId="0" borderId="4" xfId="27" applyFont="1" applyBorder="1" applyAlignment="1" quotePrefix="1">
      <alignment vertical="center"/>
      <protection/>
    </xf>
    <xf numFmtId="0" fontId="32" fillId="0" borderId="0" xfId="27" applyFont="1" applyBorder="1" applyAlignment="1">
      <alignment vertical="center"/>
      <protection/>
    </xf>
    <xf numFmtId="0" fontId="32" fillId="0" borderId="0" xfId="27" applyFont="1" applyBorder="1" applyAlignment="1" quotePrefix="1">
      <alignment horizontal="right" vertical="center"/>
      <protection/>
    </xf>
    <xf numFmtId="0" fontId="4" fillId="0" borderId="0" xfId="27" applyAlignment="1">
      <alignment vertical="center"/>
      <protection/>
    </xf>
    <xf numFmtId="0" fontId="32" fillId="0" borderId="0" xfId="27" applyFont="1" applyAlignment="1">
      <alignment vertical="center"/>
      <protection/>
    </xf>
    <xf numFmtId="0" fontId="47" fillId="0" borderId="0" xfId="27" applyFont="1" applyBorder="1" applyAlignment="1">
      <alignment vertical="center"/>
      <protection/>
    </xf>
    <xf numFmtId="0" fontId="48" fillId="0" borderId="0" xfId="27" applyFont="1" applyBorder="1" applyAlignment="1">
      <alignment horizontal="left" vertical="center"/>
      <protection/>
    </xf>
    <xf numFmtId="0" fontId="32" fillId="0" borderId="0" xfId="27" applyFont="1" applyAlignment="1">
      <alignment horizontal="right" vertical="center"/>
      <protection/>
    </xf>
    <xf numFmtId="0" fontId="32" fillId="0" borderId="0" xfId="27" applyFont="1" applyBorder="1" applyAlignment="1">
      <alignment horizontal="right" vertical="center"/>
      <protection/>
    </xf>
    <xf numFmtId="167" fontId="32" fillId="0" borderId="0" xfId="27" applyNumberFormat="1" applyFont="1" applyAlignment="1">
      <alignment vertical="center"/>
      <protection/>
    </xf>
    <xf numFmtId="167" fontId="5" fillId="0" borderId="0" xfId="27" applyNumberFormat="1" applyFont="1" applyAlignment="1">
      <alignment vertical="center"/>
      <protection/>
    </xf>
    <xf numFmtId="0" fontId="40" fillId="0" borderId="0" xfId="27" applyNumberFormat="1" applyFont="1" applyBorder="1" applyAlignment="1">
      <alignment vertical="center"/>
      <protection/>
    </xf>
    <xf numFmtId="0" fontId="40" fillId="0" borderId="0" xfId="27" applyNumberFormat="1" applyFont="1" applyBorder="1" applyAlignment="1">
      <alignment horizontal="right" vertical="center"/>
      <protection/>
    </xf>
    <xf numFmtId="0" fontId="40" fillId="0" borderId="0" xfId="29" applyFont="1" applyFill="1" applyBorder="1" applyAlignment="1">
      <alignment horizontal="center" vertical="center"/>
      <protection/>
    </xf>
    <xf numFmtId="164" fontId="6" fillId="0" borderId="0" xfId="0" applyFont="1" applyAlignment="1">
      <alignment horizontal="center"/>
    </xf>
    <xf numFmtId="164" fontId="11" fillId="0" borderId="4" xfId="0" applyFont="1" applyBorder="1" applyAlignment="1">
      <alignment/>
    </xf>
    <xf numFmtId="164" fontId="0" fillId="0" borderId="10" xfId="0" applyBorder="1" applyAlignment="1">
      <alignment/>
    </xf>
    <xf numFmtId="164" fontId="9" fillId="0" borderId="10" xfId="0" applyFont="1" applyBorder="1" applyAlignment="1">
      <alignment/>
    </xf>
    <xf numFmtId="164" fontId="0" fillId="0" borderId="3" xfId="0" applyBorder="1" applyAlignment="1">
      <alignment/>
    </xf>
    <xf numFmtId="164" fontId="6" fillId="0" borderId="0" xfId="0" applyFont="1" applyAlignment="1">
      <alignment/>
    </xf>
    <xf numFmtId="164" fontId="18" fillId="0" borderId="0" xfId="0" applyFont="1" applyAlignment="1">
      <alignment/>
    </xf>
    <xf numFmtId="164" fontId="0" fillId="0" borderId="4" xfId="0" applyBorder="1" applyAlignment="1">
      <alignment/>
    </xf>
    <xf numFmtId="164" fontId="5" fillId="0" borderId="0" xfId="0" applyFont="1" applyAlignment="1">
      <alignment/>
    </xf>
    <xf numFmtId="164" fontId="0" fillId="0" borderId="2" xfId="0" applyBorder="1" applyAlignment="1">
      <alignment/>
    </xf>
    <xf numFmtId="164" fontId="6" fillId="0" borderId="0" xfId="0" applyFont="1" applyAlignment="1">
      <alignment horizontal="right"/>
    </xf>
    <xf numFmtId="164" fontId="30" fillId="0" borderId="5" xfId="0" applyFont="1" applyBorder="1" applyAlignment="1">
      <alignment horizontal="left"/>
    </xf>
    <xf numFmtId="164" fontId="5" fillId="0" borderId="2" xfId="0" applyFont="1" applyBorder="1" applyAlignment="1">
      <alignment horizontal="left"/>
    </xf>
    <xf numFmtId="164" fontId="24" fillId="0" borderId="0" xfId="0" applyFont="1" applyAlignment="1">
      <alignment/>
    </xf>
    <xf numFmtId="164" fontId="5" fillId="0" borderId="0" xfId="0" applyFont="1" applyBorder="1" applyAlignment="1">
      <alignment/>
    </xf>
    <xf numFmtId="164" fontId="27" fillId="0" borderId="0" xfId="0" applyFont="1" applyAlignment="1">
      <alignment horizontal="center" vertical="top"/>
    </xf>
    <xf numFmtId="164" fontId="50" fillId="0" borderId="4" xfId="0" applyFont="1" applyBorder="1" applyAlignment="1" applyProtection="1">
      <alignment/>
      <protection/>
    </xf>
    <xf numFmtId="164" fontId="51" fillId="0" borderId="4" xfId="0" applyFont="1" applyBorder="1" applyAlignment="1" applyProtection="1">
      <alignment/>
      <protection/>
    </xf>
    <xf numFmtId="0" fontId="52" fillId="0" borderId="4" xfId="29" applyFont="1" applyBorder="1" applyProtection="1">
      <alignment/>
      <protection/>
    </xf>
    <xf numFmtId="164" fontId="6" fillId="0" borderId="0" xfId="0" applyFont="1" applyBorder="1" applyAlignment="1">
      <alignment horizontal="left" vertical="top" wrapText="1"/>
    </xf>
    <xf numFmtId="0" fontId="32" fillId="4" borderId="11" xfId="29" applyFont="1" applyFill="1" applyBorder="1" applyAlignment="1" applyProtection="1">
      <alignment horizontal="center" vertical="center"/>
      <protection/>
    </xf>
    <xf numFmtId="0" fontId="40" fillId="4" borderId="11" xfId="29" applyNumberFormat="1" applyFont="1" applyFill="1" applyBorder="1" applyAlignment="1" applyProtection="1">
      <alignment horizontal="center" vertical="center"/>
      <protection/>
    </xf>
    <xf numFmtId="0" fontId="32" fillId="4" borderId="5" xfId="29" applyFont="1" applyFill="1" applyBorder="1" applyAlignment="1" applyProtection="1">
      <alignment horizontal="center" vertical="center"/>
      <protection/>
    </xf>
    <xf numFmtId="0" fontId="40" fillId="4" borderId="5" xfId="29" applyNumberFormat="1" applyFont="1" applyFill="1" applyBorder="1" applyAlignment="1" applyProtection="1">
      <alignment horizontal="center" vertical="center"/>
      <protection/>
    </xf>
    <xf numFmtId="0" fontId="47" fillId="0" borderId="4" xfId="27" applyFont="1" applyBorder="1" applyAlignment="1" applyProtection="1">
      <alignment horizontal="left"/>
      <protection/>
    </xf>
    <xf numFmtId="0" fontId="5" fillId="0" borderId="4" xfId="27" applyFont="1" applyBorder="1" applyAlignment="1" applyProtection="1" quotePrefix="1">
      <alignment horizontal="right"/>
      <protection/>
    </xf>
    <xf numFmtId="182" fontId="40" fillId="0" borderId="4" xfId="27" applyNumberFormat="1" applyFont="1" applyBorder="1" applyAlignment="1" applyProtection="1">
      <alignment vertical="center"/>
      <protection/>
    </xf>
    <xf numFmtId="0" fontId="5" fillId="0" borderId="4" xfId="27" applyFont="1" applyBorder="1" applyAlignment="1" applyProtection="1" quotePrefix="1">
      <alignment horizontal="left"/>
      <protection/>
    </xf>
    <xf numFmtId="0" fontId="5" fillId="0" borderId="4" xfId="27" applyFont="1" applyBorder="1" applyProtection="1">
      <alignment/>
      <protection/>
    </xf>
    <xf numFmtId="0" fontId="4" fillId="0" borderId="4" xfId="27" applyBorder="1" applyProtection="1">
      <alignment/>
      <protection/>
    </xf>
    <xf numFmtId="164" fontId="54" fillId="2" borderId="7" xfId="0" applyFont="1" applyFill="1" applyBorder="1" applyAlignment="1">
      <alignment horizontal="center" vertical="center"/>
    </xf>
    <xf numFmtId="0" fontId="54" fillId="2" borderId="7" xfId="0" applyNumberFormat="1" applyFont="1" applyFill="1" applyBorder="1" applyAlignment="1">
      <alignment horizontal="center" vertical="center"/>
    </xf>
    <xf numFmtId="187" fontId="54" fillId="2" borderId="7" xfId="0" applyNumberFormat="1" applyFont="1" applyFill="1" applyBorder="1" applyAlignment="1">
      <alignment horizontal="center" vertical="center"/>
    </xf>
    <xf numFmtId="164" fontId="55" fillId="0" borderId="0" xfId="0" applyFont="1" applyAlignment="1">
      <alignment/>
    </xf>
    <xf numFmtId="191" fontId="54" fillId="2" borderId="7" xfId="0" applyNumberFormat="1" applyFont="1" applyFill="1" applyBorder="1" applyAlignment="1">
      <alignment horizontal="center" vertical="center"/>
    </xf>
    <xf numFmtId="0" fontId="54" fillId="2" borderId="12" xfId="29" applyFont="1" applyFill="1" applyBorder="1" applyAlignment="1" applyProtection="1">
      <alignment horizontal="center" vertical="center" wrapText="1"/>
      <protection/>
    </xf>
    <xf numFmtId="14" fontId="54" fillId="2" borderId="12" xfId="29" applyNumberFormat="1" applyFont="1" applyFill="1" applyBorder="1" applyAlignment="1" applyProtection="1">
      <alignment horizontal="center" vertical="center" wrapText="1"/>
      <protection/>
    </xf>
    <xf numFmtId="0" fontId="32" fillId="0" borderId="0" xfId="30" applyFont="1" applyBorder="1">
      <alignment/>
      <protection/>
    </xf>
    <xf numFmtId="0" fontId="32" fillId="0" borderId="0" xfId="31" applyFont="1">
      <alignment/>
      <protection/>
    </xf>
    <xf numFmtId="0" fontId="34" fillId="0" borderId="0" xfId="30" applyFont="1" applyBorder="1">
      <alignment/>
      <protection/>
    </xf>
    <xf numFmtId="0" fontId="32" fillId="0" borderId="0" xfId="31" applyFont="1" applyBorder="1">
      <alignment/>
      <protection/>
    </xf>
    <xf numFmtId="0" fontId="32" fillId="0" borderId="0" xfId="30" applyFont="1" applyBorder="1" applyAlignment="1">
      <alignment horizontal="left" indent="1"/>
      <protection/>
    </xf>
    <xf numFmtId="0" fontId="32" fillId="0" borderId="0" xfId="30" applyFont="1" applyBorder="1" applyAlignment="1">
      <alignment/>
      <protection/>
    </xf>
    <xf numFmtId="0" fontId="57" fillId="0" borderId="0" xfId="30" applyFont="1" applyBorder="1" applyAlignment="1">
      <alignment horizontal="right"/>
      <protection/>
    </xf>
    <xf numFmtId="164" fontId="42" fillId="0" borderId="0" xfId="0" applyFont="1" applyFill="1" applyBorder="1" applyAlignment="1">
      <alignment/>
    </xf>
    <xf numFmtId="164" fontId="44" fillId="0" borderId="0" xfId="0" applyFont="1" applyFill="1" applyBorder="1" applyAlignment="1">
      <alignment vertical="center" wrapText="1"/>
    </xf>
    <xf numFmtId="164" fontId="8" fillId="0" borderId="0" xfId="0" applyFont="1" applyAlignment="1" applyProtection="1">
      <alignment/>
      <protection/>
    </xf>
    <xf numFmtId="0" fontId="32" fillId="0" borderId="0" xfId="30" applyFont="1" applyBorder="1" applyAlignment="1">
      <alignment horizontal="left" vertical="center"/>
      <protection/>
    </xf>
    <xf numFmtId="164" fontId="0" fillId="0" borderId="0" xfId="0" applyBorder="1" applyAlignment="1">
      <alignment horizontal="center"/>
    </xf>
    <xf numFmtId="164" fontId="6" fillId="0" borderId="6" xfId="0" applyFont="1" applyBorder="1" applyAlignment="1">
      <alignment horizontal="center" wrapText="1"/>
    </xf>
    <xf numFmtId="14" fontId="6" fillId="0" borderId="6" xfId="0" applyNumberFormat="1" applyFont="1" applyBorder="1" applyAlignment="1">
      <alignment horizontal="center" wrapText="1"/>
    </xf>
    <xf numFmtId="164" fontId="6" fillId="0" borderId="0" xfId="0" applyFont="1" applyBorder="1" applyAlignment="1">
      <alignment horizontal="center" wrapText="1"/>
    </xf>
    <xf numFmtId="14" fontId="6" fillId="0" borderId="0" xfId="0" applyNumberFormat="1" applyFont="1" applyBorder="1" applyAlignment="1">
      <alignment horizontal="center" wrapText="1"/>
    </xf>
    <xf numFmtId="164" fontId="6" fillId="0" borderId="6" xfId="0" applyFont="1" applyBorder="1" applyAlignment="1">
      <alignment vertical="top" wrapText="1"/>
    </xf>
    <xf numFmtId="164" fontId="6" fillId="0" borderId="0" xfId="0" applyFont="1" applyBorder="1" applyAlignment="1">
      <alignment vertical="top" wrapText="1"/>
    </xf>
    <xf numFmtId="164" fontId="6" fillId="0" borderId="6" xfId="0" applyFont="1" applyBorder="1" applyAlignment="1">
      <alignment horizontal="center" vertical="top" wrapText="1"/>
    </xf>
    <xf numFmtId="14" fontId="6" fillId="0" borderId="6" xfId="0" applyNumberFormat="1" applyFont="1" applyBorder="1" applyAlignment="1">
      <alignment horizontal="center" vertical="top" wrapText="1"/>
    </xf>
    <xf numFmtId="164" fontId="6" fillId="0" borderId="0" xfId="0" applyFont="1" applyBorder="1" applyAlignment="1">
      <alignment horizontal="center" vertical="top" wrapText="1"/>
    </xf>
    <xf numFmtId="14" fontId="6" fillId="0" borderId="0" xfId="0" applyNumberFormat="1" applyFont="1" applyBorder="1" applyAlignment="1">
      <alignment horizontal="center" vertical="top" wrapText="1"/>
    </xf>
    <xf numFmtId="164" fontId="30" fillId="0" borderId="5" xfId="0" applyFont="1" applyBorder="1" applyAlignment="1">
      <alignment horizontal="center"/>
    </xf>
    <xf numFmtId="164" fontId="0" fillId="0" borderId="4" xfId="0" applyBorder="1" applyAlignment="1">
      <alignment horizontal="center"/>
    </xf>
    <xf numFmtId="164" fontId="48" fillId="0" borderId="4" xfId="0" applyFont="1" applyBorder="1" applyAlignment="1">
      <alignment/>
    </xf>
    <xf numFmtId="164" fontId="44" fillId="0" borderId="4" xfId="0" applyFont="1" applyBorder="1" applyAlignment="1">
      <alignment horizontal="right"/>
    </xf>
    <xf numFmtId="164" fontId="44" fillId="0" borderId="0" xfId="0" applyFont="1" applyBorder="1" applyAlignment="1">
      <alignment horizontal="right"/>
    </xf>
    <xf numFmtId="164" fontId="48" fillId="0" borderId="0" xfId="0" applyFont="1" applyBorder="1" applyAlignment="1">
      <alignment/>
    </xf>
    <xf numFmtId="164" fontId="0" fillId="0" borderId="0" xfId="0" applyBorder="1" applyAlignment="1">
      <alignment/>
    </xf>
    <xf numFmtId="164" fontId="0" fillId="0" borderId="13" xfId="0" applyBorder="1" applyAlignment="1">
      <alignment/>
    </xf>
    <xf numFmtId="164" fontId="0" fillId="0" borderId="14" xfId="0" applyBorder="1" applyAlignment="1">
      <alignment/>
    </xf>
    <xf numFmtId="164" fontId="0" fillId="0" borderId="14" xfId="0" applyBorder="1" applyAlignment="1" applyProtection="1">
      <alignment/>
      <protection/>
    </xf>
    <xf numFmtId="0" fontId="47" fillId="0" borderId="0" xfId="29" applyFont="1" applyBorder="1" applyAlignment="1" applyProtection="1" quotePrefix="1">
      <alignment horizontal="right"/>
      <protection/>
    </xf>
    <xf numFmtId="0" fontId="4" fillId="0" borderId="0" xfId="33" applyFont="1" applyBorder="1">
      <alignment/>
      <protection/>
    </xf>
    <xf numFmtId="0" fontId="42" fillId="3" borderId="7" xfId="29" applyFont="1" applyFill="1" applyBorder="1" applyAlignment="1" applyProtection="1">
      <alignment horizontal="center" vertical="center" wrapText="1"/>
      <protection/>
    </xf>
    <xf numFmtId="0" fontId="44" fillId="0" borderId="0" xfId="29" applyFont="1" applyFill="1" applyBorder="1" applyAlignment="1" applyProtection="1">
      <alignment/>
      <protection locked="0"/>
    </xf>
    <xf numFmtId="164" fontId="44" fillId="0" borderId="0" xfId="0" applyFont="1" applyFill="1" applyBorder="1" applyAlignment="1" applyProtection="1">
      <alignment/>
      <protection locked="0"/>
    </xf>
    <xf numFmtId="179" fontId="40" fillId="0" borderId="0" xfId="27" applyNumberFormat="1" applyFont="1" applyBorder="1" applyAlignment="1">
      <alignment horizontal="right" vertical="center"/>
      <protection/>
    </xf>
    <xf numFmtId="0" fontId="56" fillId="0" borderId="0" xfId="30" applyFont="1" applyBorder="1" applyAlignment="1">
      <alignment horizontal="center"/>
      <protection/>
    </xf>
    <xf numFmtId="0" fontId="32" fillId="3" borderId="15" xfId="29" applyFont="1" applyFill="1" applyBorder="1" applyAlignment="1" applyProtection="1">
      <alignment horizontal="center" vertical="center" wrapText="1"/>
      <protection/>
    </xf>
    <xf numFmtId="164" fontId="32" fillId="3" borderId="16" xfId="0" applyFont="1" applyFill="1" applyBorder="1" applyAlignment="1" applyProtection="1">
      <alignment horizontal="center" vertical="center" wrapText="1"/>
      <protection/>
    </xf>
    <xf numFmtId="0" fontId="32" fillId="3" borderId="16" xfId="29" applyFont="1" applyFill="1" applyBorder="1" applyAlignment="1" applyProtection="1" quotePrefix="1">
      <alignment horizontal="center" vertical="center" wrapText="1"/>
      <protection/>
    </xf>
    <xf numFmtId="0" fontId="32" fillId="3" borderId="16" xfId="29" applyFont="1" applyFill="1" applyBorder="1" applyAlignment="1" applyProtection="1">
      <alignment horizontal="center" vertical="center" wrapText="1"/>
      <protection/>
    </xf>
    <xf numFmtId="0" fontId="32" fillId="3" borderId="16" xfId="29" applyFont="1" applyFill="1" applyBorder="1" applyAlignment="1" applyProtection="1">
      <alignment horizontal="centerContinuous" vertical="center" wrapText="1"/>
      <protection/>
    </xf>
    <xf numFmtId="179" fontId="40" fillId="0" borderId="0" xfId="27" applyNumberFormat="1" applyFont="1" applyBorder="1" applyAlignment="1">
      <alignment vertical="center"/>
      <protection/>
    </xf>
    <xf numFmtId="0" fontId="47" fillId="0" borderId="17" xfId="27" applyFont="1" applyBorder="1" applyAlignment="1" applyProtection="1">
      <alignment horizontal="left"/>
      <protection/>
    </xf>
    <xf numFmtId="0" fontId="47" fillId="0" borderId="17" xfId="27" applyFont="1" applyBorder="1" applyAlignment="1" quotePrefix="1">
      <alignment vertical="center"/>
      <protection/>
    </xf>
    <xf numFmtId="0" fontId="32" fillId="0" borderId="17" xfId="27" applyFont="1" applyBorder="1" applyAlignment="1" applyProtection="1">
      <alignment horizontal="right" vertical="center"/>
      <protection/>
    </xf>
    <xf numFmtId="0" fontId="40" fillId="2" borderId="5" xfId="29" applyFont="1" applyFill="1" applyBorder="1" applyAlignment="1" applyProtection="1">
      <alignment horizontal="center" vertical="center"/>
      <protection locked="0"/>
    </xf>
    <xf numFmtId="0" fontId="32" fillId="3" borderId="7" xfId="29" applyFont="1" applyFill="1" applyBorder="1" applyAlignment="1" applyProtection="1">
      <alignment horizontal="right" vertical="center" indent="1"/>
      <protection/>
    </xf>
    <xf numFmtId="0" fontId="40" fillId="2" borderId="7" xfId="29" applyFont="1" applyFill="1" applyBorder="1" applyAlignment="1" applyProtection="1">
      <alignment horizontal="left" vertical="center" indent="1"/>
      <protection locked="0"/>
    </xf>
    <xf numFmtId="0" fontId="32" fillId="0" borderId="0" xfId="27" applyFont="1" applyAlignment="1">
      <alignment horizontal="left" vertical="center"/>
      <protection/>
    </xf>
    <xf numFmtId="0" fontId="46" fillId="5" borderId="18" xfId="28" applyFont="1" applyFill="1" applyBorder="1" applyAlignment="1" applyProtection="1">
      <alignment vertical="center"/>
      <protection/>
    </xf>
    <xf numFmtId="187" fontId="54" fillId="2" borderId="19" xfId="0" applyNumberFormat="1" applyFont="1" applyFill="1" applyBorder="1" applyAlignment="1">
      <alignment horizontal="center" vertical="center"/>
    </xf>
    <xf numFmtId="0" fontId="44" fillId="2" borderId="7" xfId="27" applyNumberFormat="1" applyFont="1" applyFill="1" applyBorder="1" applyAlignment="1">
      <alignment horizontal="center" vertical="center"/>
      <protection/>
    </xf>
    <xf numFmtId="179" fontId="44" fillId="2" borderId="7" xfId="27" applyNumberFormat="1" applyFont="1" applyFill="1" applyBorder="1" applyAlignment="1">
      <alignment horizontal="center" vertical="center"/>
      <protection/>
    </xf>
    <xf numFmtId="0" fontId="32" fillId="0" borderId="13" xfId="27" applyFont="1" applyBorder="1" applyAlignment="1">
      <alignment vertical="center"/>
      <protection/>
    </xf>
    <xf numFmtId="0" fontId="32" fillId="0" borderId="13" xfId="27" applyFont="1" applyBorder="1" applyAlignment="1" quotePrefix="1">
      <alignment horizontal="right" vertical="center"/>
      <protection/>
    </xf>
    <xf numFmtId="0" fontId="32" fillId="0" borderId="20" xfId="27" applyFont="1" applyBorder="1" applyAlignment="1">
      <alignment vertical="center"/>
      <protection/>
    </xf>
    <xf numFmtId="0" fontId="32" fillId="0" borderId="20" xfId="27" applyFont="1" applyBorder="1" applyAlignment="1" quotePrefix="1">
      <alignment horizontal="right" vertical="center"/>
      <protection/>
    </xf>
    <xf numFmtId="0" fontId="32" fillId="0" borderId="21" xfId="27" applyFont="1" applyBorder="1" applyAlignment="1">
      <alignment vertical="center"/>
      <protection/>
    </xf>
    <xf numFmtId="0" fontId="32" fillId="0" borderId="21" xfId="27" applyFont="1" applyBorder="1" applyAlignment="1">
      <alignment horizontal="right" vertical="center"/>
      <protection/>
    </xf>
    <xf numFmtId="0" fontId="32" fillId="0" borderId="20" xfId="27" applyFont="1" applyBorder="1" applyAlignment="1">
      <alignment horizontal="right" vertical="center"/>
      <protection/>
    </xf>
    <xf numFmtId="164" fontId="48" fillId="0" borderId="4" xfId="0" applyFont="1" applyBorder="1" applyAlignment="1">
      <alignment vertical="center"/>
    </xf>
    <xf numFmtId="164" fontId="0" fillId="0" borderId="4" xfId="0" applyBorder="1" applyAlignment="1">
      <alignment vertical="center"/>
    </xf>
    <xf numFmtId="0" fontId="47" fillId="0" borderId="4" xfId="29" applyFont="1" applyBorder="1" applyAlignment="1" applyProtection="1" quotePrefix="1">
      <alignment horizontal="right" vertical="center"/>
      <protection/>
    </xf>
    <xf numFmtId="164" fontId="0" fillId="0" borderId="0" xfId="0" applyAlignment="1">
      <alignment vertical="center"/>
    </xf>
    <xf numFmtId="0" fontId="4" fillId="0" borderId="0" xfId="29" applyAlignment="1" applyProtection="1">
      <alignment vertical="center"/>
      <protection/>
    </xf>
    <xf numFmtId="0" fontId="4" fillId="0" borderId="0" xfId="29" applyAlignment="1" applyProtection="1">
      <alignment horizontal="centerContinuous" vertical="center"/>
      <protection/>
    </xf>
    <xf numFmtId="0" fontId="4" fillId="0" borderId="0" xfId="29" applyAlignment="1">
      <alignment vertical="center"/>
      <protection/>
    </xf>
    <xf numFmtId="0" fontId="33" fillId="0" borderId="4" xfId="29" applyFont="1" applyBorder="1" applyAlignment="1" applyProtection="1">
      <alignment vertical="center"/>
      <protection/>
    </xf>
    <xf numFmtId="0" fontId="32" fillId="0" borderId="4" xfId="29" applyFont="1" applyBorder="1" applyAlignment="1" applyProtection="1">
      <alignment vertical="center"/>
      <protection/>
    </xf>
    <xf numFmtId="0" fontId="32" fillId="0" borderId="22" xfId="29" applyFont="1" applyFill="1" applyBorder="1" applyAlignment="1" applyProtection="1">
      <alignment horizontal="right" vertical="center"/>
      <protection/>
    </xf>
    <xf numFmtId="0" fontId="32" fillId="0" borderId="0" xfId="29" applyFont="1" applyBorder="1" applyAlignment="1" applyProtection="1">
      <alignment horizontal="centerContinuous" vertical="center"/>
      <protection/>
    </xf>
    <xf numFmtId="0" fontId="33" fillId="0" borderId="4" xfId="29" applyFont="1" applyBorder="1" applyAlignment="1" applyProtection="1" quotePrefix="1">
      <alignment horizontal="left" vertical="center"/>
      <protection/>
    </xf>
    <xf numFmtId="0" fontId="32" fillId="0" borderId="0" xfId="29" applyFont="1" applyFill="1" applyBorder="1" applyAlignment="1">
      <alignment horizontal="right" vertical="center"/>
      <protection/>
    </xf>
    <xf numFmtId="0" fontId="4" fillId="0" borderId="0" xfId="29" applyFont="1" applyAlignment="1" quotePrefix="1">
      <alignment vertical="center"/>
      <protection/>
    </xf>
    <xf numFmtId="164" fontId="32" fillId="0" borderId="0" xfId="0" applyFont="1" applyAlignment="1" applyProtection="1">
      <alignment vertical="center"/>
      <protection/>
    </xf>
    <xf numFmtId="0" fontId="4" fillId="0" borderId="0" xfId="29" applyAlignment="1">
      <alignment vertical="center" wrapText="1"/>
      <protection/>
    </xf>
    <xf numFmtId="0" fontId="40" fillId="3" borderId="5" xfId="29" applyNumberFormat="1" applyFont="1" applyFill="1" applyBorder="1" applyAlignment="1" applyProtection="1">
      <alignment horizontal="center" vertical="center"/>
      <protection/>
    </xf>
    <xf numFmtId="0" fontId="40" fillId="3" borderId="7" xfId="29" applyNumberFormat="1" applyFont="1" applyFill="1" applyBorder="1" applyAlignment="1" applyProtection="1">
      <alignment horizontal="center" vertical="center"/>
      <protection/>
    </xf>
    <xf numFmtId="164" fontId="33" fillId="0" borderId="4" xfId="0" applyFont="1" applyBorder="1" applyAlignment="1" applyProtection="1">
      <alignment vertical="center"/>
      <protection/>
    </xf>
    <xf numFmtId="164" fontId="32" fillId="0" borderId="4" xfId="0" applyFont="1" applyBorder="1" applyAlignment="1" applyProtection="1">
      <alignment vertical="center"/>
      <protection/>
    </xf>
    <xf numFmtId="0" fontId="4" fillId="0" borderId="4" xfId="29" applyBorder="1" applyAlignment="1">
      <alignment vertical="center"/>
      <protection/>
    </xf>
    <xf numFmtId="0" fontId="4" fillId="0" borderId="0" xfId="29" applyFont="1" applyAlignment="1">
      <alignment vertical="center"/>
      <protection/>
    </xf>
    <xf numFmtId="0" fontId="33" fillId="0" borderId="0" xfId="29" applyFont="1" applyAlignment="1">
      <alignment vertical="center"/>
      <protection/>
    </xf>
    <xf numFmtId="0" fontId="32" fillId="0" borderId="0" xfId="29" applyFont="1" applyAlignment="1">
      <alignment vertical="center"/>
      <protection/>
    </xf>
    <xf numFmtId="0" fontId="32" fillId="0" borderId="0" xfId="29" applyFont="1" applyAlignment="1" applyProtection="1">
      <alignment vertical="center"/>
      <protection/>
    </xf>
    <xf numFmtId="164" fontId="0" fillId="0" borderId="0" xfId="0" applyFill="1" applyBorder="1" applyAlignment="1">
      <alignment vertical="center"/>
    </xf>
    <xf numFmtId="0" fontId="6" fillId="0" borderId="0" xfId="29" applyFont="1" applyAlignment="1">
      <alignment vertical="center"/>
      <protection/>
    </xf>
    <xf numFmtId="0" fontId="32" fillId="3" borderId="23" xfId="29" applyFont="1" applyFill="1" applyBorder="1" applyAlignment="1" applyProtection="1">
      <alignment horizontal="right" vertical="center" indent="1"/>
      <protection/>
    </xf>
    <xf numFmtId="164" fontId="29" fillId="0" borderId="10" xfId="0" applyFont="1" applyBorder="1" applyAlignment="1">
      <alignment horizontal="center"/>
    </xf>
    <xf numFmtId="0" fontId="47" fillId="3" borderId="7" xfId="27" applyFont="1" applyFill="1" applyBorder="1" applyAlignment="1">
      <alignment horizontal="left" vertical="center"/>
      <protection/>
    </xf>
    <xf numFmtId="0" fontId="40" fillId="3" borderId="24" xfId="29" applyFont="1" applyFill="1" applyBorder="1" applyAlignment="1" applyProtection="1">
      <alignment horizontal="left" vertical="center" indent="1"/>
      <protection/>
    </xf>
    <xf numFmtId="201" fontId="54" fillId="2" borderId="7" xfId="0" applyNumberFormat="1" applyFont="1" applyFill="1" applyBorder="1" applyAlignment="1">
      <alignment horizontal="center" vertical="center"/>
    </xf>
    <xf numFmtId="164" fontId="0" fillId="3" borderId="7" xfId="0" applyFill="1" applyBorder="1" applyAlignment="1">
      <alignment horizontal="center" vertical="center"/>
    </xf>
    <xf numFmtId="0" fontId="44" fillId="3" borderId="7" xfId="27" applyFont="1" applyFill="1" applyBorder="1" applyAlignment="1">
      <alignment horizontal="center" vertical="center"/>
      <protection/>
    </xf>
    <xf numFmtId="164" fontId="0" fillId="2" borderId="7" xfId="0" applyFill="1" applyBorder="1" applyAlignment="1">
      <alignment horizontal="center"/>
    </xf>
    <xf numFmtId="164" fontId="42" fillId="3" borderId="0" xfId="0" applyFont="1" applyFill="1" applyBorder="1" applyAlignment="1">
      <alignment horizontal="center" vertical="center" wrapText="1"/>
    </xf>
    <xf numFmtId="0" fontId="44" fillId="2" borderId="19" xfId="27" applyNumberFormat="1" applyFont="1" applyFill="1" applyBorder="1" applyAlignment="1">
      <alignment horizontal="right" vertical="center"/>
      <protection/>
    </xf>
    <xf numFmtId="0" fontId="47" fillId="3" borderId="19" xfId="27" applyFont="1" applyFill="1" applyBorder="1" applyAlignment="1">
      <alignment vertical="center"/>
      <protection/>
    </xf>
    <xf numFmtId="164" fontId="0" fillId="2" borderId="7" xfId="0" applyFill="1" applyBorder="1" applyAlignment="1">
      <alignment/>
    </xf>
    <xf numFmtId="0" fontId="47" fillId="0" borderId="0" xfId="30" applyFont="1" applyBorder="1">
      <alignment/>
      <protection/>
    </xf>
    <xf numFmtId="0" fontId="40" fillId="0" borderId="0" xfId="30" applyFont="1" applyBorder="1" applyAlignment="1">
      <alignment vertical="top"/>
      <protection/>
    </xf>
    <xf numFmtId="0" fontId="32" fillId="0" borderId="0" xfId="30" applyFont="1" applyBorder="1" applyAlignment="1">
      <alignment vertical="top" wrapText="1"/>
      <protection/>
    </xf>
    <xf numFmtId="0" fontId="32" fillId="0" borderId="0" xfId="30" applyFont="1" applyBorder="1" applyAlignment="1">
      <alignment vertical="top"/>
      <protection/>
    </xf>
    <xf numFmtId="0" fontId="32" fillId="0" borderId="0" xfId="31" applyFont="1" applyBorder="1" applyAlignment="1">
      <alignment vertical="top" wrapText="1"/>
      <protection/>
    </xf>
    <xf numFmtId="203" fontId="4" fillId="4" borderId="0" xfId="32" applyNumberFormat="1" applyFont="1" applyFill="1">
      <alignment/>
      <protection/>
    </xf>
    <xf numFmtId="0" fontId="10" fillId="0" borderId="0" xfId="31" applyFont="1" applyBorder="1">
      <alignment/>
      <protection/>
    </xf>
    <xf numFmtId="164" fontId="67" fillId="0" borderId="7" xfId="0" applyFont="1" applyBorder="1" applyAlignment="1">
      <alignment horizontal="center" vertical="center" wrapText="1"/>
    </xf>
    <xf numFmtId="164" fontId="66" fillId="0" borderId="7" xfId="0" applyFont="1" applyFill="1" applyBorder="1" applyAlignment="1">
      <alignment horizontal="center" vertical="center" wrapText="1"/>
    </xf>
    <xf numFmtId="164" fontId="70" fillId="4" borderId="7" xfId="0" applyFont="1" applyFill="1" applyBorder="1" applyAlignment="1">
      <alignment horizontal="center" vertical="center" wrapText="1"/>
    </xf>
    <xf numFmtId="164" fontId="63" fillId="6" borderId="25" xfId="0" applyFont="1" applyFill="1" applyBorder="1" applyAlignment="1">
      <alignment horizontal="center" vertical="center" wrapText="1"/>
    </xf>
    <xf numFmtId="201" fontId="67" fillId="0" borderId="7" xfId="0" applyNumberFormat="1" applyFont="1" applyBorder="1" applyAlignment="1">
      <alignment horizontal="center" vertical="center" wrapText="1"/>
    </xf>
    <xf numFmtId="201" fontId="40" fillId="7" borderId="5" xfId="0" applyNumberFormat="1" applyFont="1" applyFill="1" applyBorder="1" applyAlignment="1">
      <alignment horizontal="center" vertical="center" wrapText="1"/>
    </xf>
    <xf numFmtId="203" fontId="4" fillId="7" borderId="7" xfId="32" applyNumberFormat="1" applyFont="1" applyFill="1" applyBorder="1" applyAlignment="1">
      <alignment horizontal="center" vertical="center"/>
      <protection/>
    </xf>
    <xf numFmtId="203" fontId="4" fillId="7" borderId="7" xfId="32" applyNumberFormat="1" applyFont="1" applyFill="1" applyBorder="1" applyAlignment="1">
      <alignment horizontal="center" vertical="center" wrapText="1"/>
      <protection/>
    </xf>
    <xf numFmtId="203" fontId="1" fillId="6" borderId="7" xfId="32" applyNumberFormat="1" applyFont="1" applyFill="1" applyBorder="1" applyAlignment="1">
      <alignment horizontal="center" vertical="center"/>
      <protection/>
    </xf>
    <xf numFmtId="2" fontId="4" fillId="6" borderId="7" xfId="32" applyNumberFormat="1" applyFont="1" applyFill="1" applyBorder="1" applyAlignment="1">
      <alignment horizontal="right" vertical="center"/>
      <protection/>
    </xf>
    <xf numFmtId="2" fontId="4" fillId="6" borderId="7" xfId="32" applyNumberFormat="1" applyFont="1" applyFill="1" applyBorder="1" applyAlignment="1">
      <alignment vertical="center"/>
      <protection/>
    </xf>
    <xf numFmtId="201" fontId="40" fillId="7" borderId="7" xfId="0" applyNumberFormat="1" applyFont="1" applyFill="1" applyBorder="1" applyAlignment="1">
      <alignment horizontal="center" vertical="center" wrapText="1"/>
    </xf>
    <xf numFmtId="164" fontId="63" fillId="6" borderId="7" xfId="0" applyFont="1" applyFill="1" applyBorder="1" applyAlignment="1">
      <alignment horizontal="center" vertical="center" wrapText="1"/>
    </xf>
    <xf numFmtId="203" fontId="4" fillId="7" borderId="23" xfId="32" applyNumberFormat="1" applyFont="1" applyFill="1" applyBorder="1" applyAlignment="1">
      <alignment horizontal="center" vertical="center"/>
      <protection/>
    </xf>
    <xf numFmtId="203" fontId="4" fillId="7" borderId="23" xfId="32" applyNumberFormat="1" applyFont="1" applyFill="1" applyBorder="1" applyAlignment="1">
      <alignment horizontal="center" vertical="center" wrapText="1"/>
      <protection/>
    </xf>
    <xf numFmtId="201" fontId="4" fillId="4" borderId="7" xfId="32" applyNumberFormat="1" applyFont="1" applyFill="1" applyBorder="1" applyAlignment="1">
      <alignment vertical="center"/>
      <protection/>
    </xf>
    <xf numFmtId="0" fontId="32" fillId="0" borderId="26" xfId="31" applyFont="1" applyFill="1" applyBorder="1" applyAlignment="1">
      <alignment vertical="top"/>
      <protection/>
    </xf>
    <xf numFmtId="0" fontId="32" fillId="0" borderId="26" xfId="30" applyFont="1" applyFill="1" applyBorder="1" applyAlignment="1">
      <alignment vertical="top"/>
      <protection/>
    </xf>
    <xf numFmtId="201" fontId="67" fillId="0" borderId="27" xfId="0" applyNumberFormat="1" applyFont="1" applyBorder="1" applyAlignment="1">
      <alignment vertical="top" wrapText="1"/>
    </xf>
    <xf numFmtId="0" fontId="74" fillId="0" borderId="27" xfId="30" applyFont="1" applyFill="1" applyBorder="1" applyAlignment="1">
      <alignment vertical="top"/>
      <protection/>
    </xf>
    <xf numFmtId="0" fontId="74" fillId="3" borderId="27" xfId="30" applyFont="1" applyFill="1" applyBorder="1" applyAlignment="1">
      <alignment vertical="top"/>
      <protection/>
    </xf>
    <xf numFmtId="0" fontId="32" fillId="3" borderId="26" xfId="31" applyFont="1" applyFill="1" applyBorder="1" applyAlignment="1">
      <alignment vertical="top"/>
      <protection/>
    </xf>
    <xf numFmtId="201" fontId="67" fillId="3" borderId="27" xfId="0" applyNumberFormat="1" applyFont="1" applyFill="1" applyBorder="1" applyAlignment="1">
      <alignment vertical="top" wrapText="1"/>
    </xf>
    <xf numFmtId="0" fontId="32" fillId="3" borderId="26" xfId="30" applyFont="1" applyFill="1" applyBorder="1" applyAlignment="1">
      <alignment vertical="top"/>
      <protection/>
    </xf>
    <xf numFmtId="177" fontId="75" fillId="0" borderId="7" xfId="0" applyNumberFormat="1" applyFont="1" applyBorder="1" applyAlignment="1">
      <alignment horizontal="center" vertical="center" wrapText="1"/>
    </xf>
    <xf numFmtId="209" fontId="67" fillId="3" borderId="27" xfId="0" applyNumberFormat="1" applyFont="1" applyFill="1" applyBorder="1" applyAlignment="1">
      <alignment vertical="top" wrapText="1"/>
    </xf>
    <xf numFmtId="0" fontId="32" fillId="0" borderId="0" xfId="30" applyFont="1" applyFill="1" applyBorder="1" applyAlignment="1">
      <alignment vertical="top"/>
      <protection/>
    </xf>
    <xf numFmtId="208" fontId="67" fillId="0" borderId="7" xfId="0" applyNumberFormat="1" applyFont="1" applyBorder="1" applyAlignment="1">
      <alignment horizontal="center" vertical="center" wrapText="1"/>
    </xf>
    <xf numFmtId="0" fontId="10" fillId="0" borderId="0" xfId="31" applyFont="1" applyAlignment="1">
      <alignment vertical="top"/>
      <protection/>
    </xf>
    <xf numFmtId="0" fontId="54" fillId="2" borderId="7" xfId="27" applyFont="1" applyFill="1" applyBorder="1" applyAlignment="1">
      <alignment horizontal="center" vertical="center"/>
      <protection/>
    </xf>
    <xf numFmtId="0" fontId="54" fillId="2" borderId="19" xfId="27" applyFont="1" applyFill="1" applyBorder="1" applyAlignment="1">
      <alignment horizontal="left" vertical="center" indent="1"/>
      <protection/>
    </xf>
    <xf numFmtId="0" fontId="54" fillId="2" borderId="28" xfId="29" applyFont="1" applyFill="1" applyBorder="1" applyAlignment="1" applyProtection="1">
      <alignment horizontal="left" vertical="center" wrapText="1" indent="1"/>
      <protection/>
    </xf>
    <xf numFmtId="0" fontId="32" fillId="3" borderId="19" xfId="29" applyFont="1" applyFill="1" applyBorder="1" applyAlignment="1" applyProtection="1">
      <alignment vertical="center"/>
      <protection/>
    </xf>
    <xf numFmtId="0" fontId="40" fillId="2" borderId="29" xfId="29" applyFont="1" applyFill="1" applyBorder="1" applyAlignment="1" applyProtection="1">
      <alignment horizontal="left" vertical="center" indent="1"/>
      <protection locked="0"/>
    </xf>
    <xf numFmtId="164" fontId="6" fillId="0" borderId="0" xfId="0" applyFont="1" applyBorder="1" applyAlignment="1" applyProtection="1">
      <alignment horizontal="center" vertical="top" wrapText="1"/>
      <protection locked="0"/>
    </xf>
    <xf numFmtId="164" fontId="6" fillId="0" borderId="0" xfId="0" applyFont="1" applyBorder="1" applyAlignment="1">
      <alignment/>
    </xf>
    <xf numFmtId="164" fontId="0" fillId="0" borderId="0" xfId="0" applyBorder="1" applyAlignment="1">
      <alignment/>
    </xf>
    <xf numFmtId="164" fontId="0" fillId="0" borderId="0" xfId="0" applyBorder="1" applyAlignment="1">
      <alignment horizontal="right"/>
    </xf>
    <xf numFmtId="164" fontId="6" fillId="0" borderId="0" xfId="0" applyFont="1" applyBorder="1" applyAlignment="1">
      <alignment vertical="top"/>
    </xf>
    <xf numFmtId="0" fontId="10" fillId="0" borderId="4" xfId="31" applyFont="1" applyBorder="1">
      <alignment/>
      <protection/>
    </xf>
    <xf numFmtId="0" fontId="47" fillId="0" borderId="4" xfId="30" applyFont="1" applyBorder="1" applyAlignment="1">
      <alignment/>
      <protection/>
    </xf>
    <xf numFmtId="164" fontId="61" fillId="8" borderId="7" xfId="0" applyFont="1" applyFill="1" applyBorder="1" applyAlignment="1">
      <alignment horizontal="center" vertical="center" wrapText="1"/>
    </xf>
    <xf numFmtId="203" fontId="77" fillId="8" borderId="7" xfId="32" applyNumberFormat="1" applyFont="1" applyFill="1" applyBorder="1" applyAlignment="1">
      <alignment horizontal="center" vertical="center" wrapText="1"/>
      <protection/>
    </xf>
    <xf numFmtId="203" fontId="69" fillId="8" borderId="7" xfId="32" applyNumberFormat="1" applyFont="1" applyFill="1" applyBorder="1" applyAlignment="1">
      <alignment horizontal="center" vertical="center" wrapText="1"/>
      <protection/>
    </xf>
    <xf numFmtId="201" fontId="74" fillId="8" borderId="7" xfId="0" applyNumberFormat="1" applyFont="1" applyFill="1" applyBorder="1" applyAlignment="1">
      <alignment horizontal="center" vertical="center" wrapText="1"/>
    </xf>
    <xf numFmtId="201" fontId="59" fillId="7" borderId="7" xfId="32" applyNumberFormat="1" applyFont="1" applyFill="1" applyBorder="1" applyAlignment="1">
      <alignment vertical="center"/>
      <protection/>
    </xf>
    <xf numFmtId="2" fontId="59" fillId="6" borderId="7" xfId="32" applyNumberFormat="1" applyFont="1" applyFill="1" applyBorder="1" applyAlignment="1">
      <alignment horizontal="right" vertical="center"/>
      <protection/>
    </xf>
    <xf numFmtId="2" fontId="59" fillId="6" borderId="7" xfId="32" applyNumberFormat="1" applyFont="1" applyFill="1" applyBorder="1" applyAlignment="1">
      <alignment vertical="center"/>
      <protection/>
    </xf>
    <xf numFmtId="201" fontId="59" fillId="9" borderId="7" xfId="32" applyNumberFormat="1" applyFont="1" applyFill="1" applyBorder="1" applyAlignment="1">
      <alignment vertical="center"/>
      <protection/>
    </xf>
    <xf numFmtId="201" fontId="59" fillId="4" borderId="7" xfId="32" applyNumberFormat="1" applyFont="1" applyFill="1" applyBorder="1" applyAlignment="1">
      <alignment vertical="center"/>
      <protection/>
    </xf>
    <xf numFmtId="201" fontId="59" fillId="0" borderId="7" xfId="32" applyNumberFormat="1" applyFont="1" applyFill="1" applyBorder="1" applyAlignment="1">
      <alignment vertical="center"/>
      <protection/>
    </xf>
    <xf numFmtId="201" fontId="59" fillId="4" borderId="7" xfId="32" applyNumberFormat="1" applyFont="1" applyFill="1" applyBorder="1" applyAlignment="1">
      <alignment vertical="center" wrapText="1"/>
      <protection/>
    </xf>
    <xf numFmtId="201" fontId="59" fillId="9" borderId="7" xfId="32" applyNumberFormat="1" applyFont="1" applyFill="1" applyBorder="1" applyAlignment="1">
      <alignment vertical="center" wrapText="1"/>
      <protection/>
    </xf>
    <xf numFmtId="201" fontId="59" fillId="10" borderId="7" xfId="32" applyNumberFormat="1" applyFont="1" applyFill="1" applyBorder="1" applyAlignment="1">
      <alignment vertical="center"/>
      <protection/>
    </xf>
    <xf numFmtId="206" fontId="86" fillId="4" borderId="7" xfId="34" applyNumberFormat="1" applyFont="1" applyFill="1" applyBorder="1" applyAlignment="1">
      <alignment vertical="center"/>
    </xf>
    <xf numFmtId="203" fontId="34" fillId="10" borderId="7" xfId="32" applyNumberFormat="1" applyFont="1" applyFill="1" applyBorder="1" applyAlignment="1">
      <alignment horizontal="right" vertical="center"/>
      <protection/>
    </xf>
    <xf numFmtId="164" fontId="32" fillId="11" borderId="7" xfId="0" applyFont="1" applyFill="1" applyBorder="1" applyAlignment="1">
      <alignment horizontal="right" vertical="center"/>
    </xf>
    <xf numFmtId="203" fontId="37" fillId="4" borderId="7" xfId="32" applyNumberFormat="1" applyFont="1" applyFill="1" applyBorder="1" applyAlignment="1">
      <alignment horizontal="right" vertical="center"/>
      <protection/>
    </xf>
    <xf numFmtId="203" fontId="34" fillId="6" borderId="7" xfId="32" applyNumberFormat="1" applyFont="1" applyFill="1" applyBorder="1" applyAlignment="1">
      <alignment horizontal="right" vertical="center"/>
      <protection/>
    </xf>
    <xf numFmtId="201" fontId="59" fillId="4" borderId="19" xfId="32" applyNumberFormat="1" applyFont="1" applyFill="1" applyBorder="1" applyAlignment="1">
      <alignment vertical="center"/>
      <protection/>
    </xf>
    <xf numFmtId="201" fontId="88" fillId="8" borderId="7" xfId="32" applyNumberFormat="1" applyFont="1" applyFill="1" applyBorder="1" applyAlignment="1">
      <alignment horizontal="right" vertical="center" wrapText="1"/>
      <protection/>
    </xf>
    <xf numFmtId="201" fontId="59" fillId="11" borderId="7" xfId="0" applyNumberFormat="1" applyFont="1" applyFill="1" applyBorder="1" applyAlignment="1">
      <alignment vertical="center"/>
    </xf>
    <xf numFmtId="201" fontId="59" fillId="6" borderId="7" xfId="32" applyNumberFormat="1" applyFont="1" applyFill="1" applyBorder="1" applyAlignment="1">
      <alignment vertical="center"/>
      <protection/>
    </xf>
    <xf numFmtId="204" fontId="32" fillId="4" borderId="18" xfId="32" applyNumberFormat="1" applyFont="1" applyFill="1" applyBorder="1" applyAlignment="1">
      <alignment vertical="center"/>
      <protection/>
    </xf>
    <xf numFmtId="203" fontId="89" fillId="4" borderId="18" xfId="32" applyNumberFormat="1" applyFont="1" applyFill="1" applyBorder="1" applyAlignment="1">
      <alignment vertical="center"/>
      <protection/>
    </xf>
    <xf numFmtId="203" fontId="56" fillId="4" borderId="18" xfId="32" applyNumberFormat="1" applyFont="1" applyFill="1" applyBorder="1" applyAlignment="1">
      <alignment vertical="center"/>
      <protection/>
    </xf>
    <xf numFmtId="10" fontId="59" fillId="4" borderId="19" xfId="34" applyNumberFormat="1" applyFont="1" applyFill="1" applyBorder="1" applyAlignment="1">
      <alignment vertical="center"/>
    </xf>
    <xf numFmtId="201" fontId="93" fillId="4" borderId="7" xfId="32" applyNumberFormat="1" applyFont="1" applyFill="1" applyBorder="1" applyAlignment="1">
      <alignment vertical="center"/>
      <protection/>
    </xf>
    <xf numFmtId="205" fontId="61" fillId="4" borderId="7" xfId="34" applyNumberFormat="1" applyFont="1" applyFill="1" applyBorder="1" applyAlignment="1">
      <alignment vertical="center"/>
    </xf>
    <xf numFmtId="203" fontId="37" fillId="4" borderId="7" xfId="32" applyNumberFormat="1" applyFont="1" applyFill="1" applyBorder="1" applyAlignment="1">
      <alignment horizontal="center" vertical="center" wrapText="1"/>
      <protection/>
    </xf>
    <xf numFmtId="203" fontId="34" fillId="4" borderId="7" xfId="32" applyNumberFormat="1" applyFont="1" applyFill="1" applyBorder="1" applyAlignment="1">
      <alignment horizontal="center" vertical="center" wrapText="1"/>
      <protection/>
    </xf>
    <xf numFmtId="203" fontId="98" fillId="4" borderId="7" xfId="32" applyNumberFormat="1" applyFont="1" applyFill="1" applyBorder="1" applyAlignment="1">
      <alignment horizontal="center" vertical="center" wrapText="1"/>
      <protection/>
    </xf>
    <xf numFmtId="205" fontId="86" fillId="4" borderId="7" xfId="34" applyNumberFormat="1" applyFont="1" applyFill="1" applyBorder="1" applyAlignment="1">
      <alignment vertical="center"/>
    </xf>
    <xf numFmtId="203" fontId="61" fillId="4" borderId="7" xfId="32" applyNumberFormat="1" applyFont="1" applyFill="1" applyBorder="1" applyAlignment="1">
      <alignment horizontal="center"/>
      <protection/>
    </xf>
    <xf numFmtId="203" fontId="4" fillId="4" borderId="4" xfId="32" applyNumberFormat="1" applyFont="1" applyFill="1" applyBorder="1">
      <alignment/>
      <protection/>
    </xf>
    <xf numFmtId="164" fontId="69" fillId="4" borderId="7" xfId="0" applyFont="1" applyFill="1" applyBorder="1" applyAlignment="1">
      <alignment horizontal="center" vertical="center" wrapText="1"/>
    </xf>
    <xf numFmtId="203" fontId="104" fillId="8" borderId="7" xfId="32" applyNumberFormat="1" applyFont="1" applyFill="1" applyBorder="1" applyAlignment="1">
      <alignment horizontal="center" vertical="center" wrapText="1"/>
      <protection/>
    </xf>
    <xf numFmtId="203" fontId="78" fillId="8" borderId="7" xfId="32" applyNumberFormat="1" applyFont="1" applyFill="1" applyBorder="1" applyAlignment="1">
      <alignment horizontal="center" vertical="center" wrapText="1"/>
      <protection/>
    </xf>
    <xf numFmtId="203" fontId="32" fillId="10" borderId="7" xfId="32" applyNumberFormat="1" applyFont="1" applyFill="1" applyBorder="1" applyAlignment="1">
      <alignment horizontal="right" vertical="center"/>
      <protection/>
    </xf>
    <xf numFmtId="203" fontId="56" fillId="4" borderId="7" xfId="32" applyNumberFormat="1" applyFont="1" applyFill="1" applyBorder="1" applyAlignment="1">
      <alignment horizontal="right" vertical="center"/>
      <protection/>
    </xf>
    <xf numFmtId="203" fontId="32" fillId="6" borderId="7" xfId="32" applyNumberFormat="1" applyFont="1" applyFill="1" applyBorder="1" applyAlignment="1">
      <alignment horizontal="right" vertical="center"/>
      <protection/>
    </xf>
    <xf numFmtId="207" fontId="88" fillId="8" borderId="7" xfId="32" applyNumberFormat="1" applyFont="1" applyFill="1" applyBorder="1" applyAlignment="1">
      <alignment vertical="center" wrapText="1"/>
      <protection/>
    </xf>
    <xf numFmtId="207" fontId="59" fillId="9" borderId="7" xfId="32" applyNumberFormat="1" applyFont="1" applyFill="1" applyBorder="1" applyAlignment="1">
      <alignment vertical="center"/>
      <protection/>
    </xf>
    <xf numFmtId="207" fontId="59" fillId="4" borderId="7" xfId="32" applyNumberFormat="1" applyFont="1" applyFill="1" applyBorder="1" applyAlignment="1">
      <alignment vertical="center"/>
      <protection/>
    </xf>
    <xf numFmtId="207" fontId="59" fillId="0" borderId="7" xfId="32" applyNumberFormat="1" applyFont="1" applyFill="1" applyBorder="1" applyAlignment="1">
      <alignment vertical="center"/>
      <protection/>
    </xf>
    <xf numFmtId="207" fontId="59" fillId="4" borderId="7" xfId="32" applyNumberFormat="1" applyFont="1" applyFill="1" applyBorder="1" applyAlignment="1">
      <alignment vertical="center" wrapText="1"/>
      <protection/>
    </xf>
    <xf numFmtId="207" fontId="59" fillId="9" borderId="7" xfId="32" applyNumberFormat="1" applyFont="1" applyFill="1" applyBorder="1" applyAlignment="1">
      <alignment vertical="center" wrapText="1"/>
      <protection/>
    </xf>
    <xf numFmtId="207" fontId="59" fillId="10" borderId="7" xfId="32" applyNumberFormat="1" applyFont="1" applyFill="1" applyBorder="1" applyAlignment="1">
      <alignment vertical="center"/>
      <protection/>
    </xf>
    <xf numFmtId="207" fontId="59" fillId="11" borderId="7" xfId="0" applyNumberFormat="1" applyFont="1" applyFill="1" applyBorder="1" applyAlignment="1">
      <alignment vertical="center"/>
    </xf>
    <xf numFmtId="207" fontId="59" fillId="6" borderId="7" xfId="32" applyNumberFormat="1" applyFont="1" applyFill="1" applyBorder="1" applyAlignment="1">
      <alignment vertical="center"/>
      <protection/>
    </xf>
    <xf numFmtId="206" fontId="86" fillId="4" borderId="7" xfId="34" applyNumberFormat="1" applyFont="1" applyFill="1" applyBorder="1" applyAlignment="1">
      <alignment horizontal="right" vertical="center"/>
    </xf>
    <xf numFmtId="201" fontId="93" fillId="4" borderId="7" xfId="32" applyNumberFormat="1" applyFont="1" applyFill="1" applyBorder="1" applyAlignment="1">
      <alignment horizontal="right" vertical="center" indent="1"/>
      <protection/>
    </xf>
    <xf numFmtId="207" fontId="59" fillId="4" borderId="19" xfId="32" applyNumberFormat="1" applyFont="1" applyFill="1" applyBorder="1" applyAlignment="1">
      <alignment vertical="center"/>
      <protection/>
    </xf>
    <xf numFmtId="0" fontId="74" fillId="3" borderId="19" xfId="30" applyFont="1" applyFill="1" applyBorder="1" applyAlignment="1">
      <alignment vertical="top"/>
      <protection/>
    </xf>
    <xf numFmtId="164" fontId="61" fillId="8" borderId="5" xfId="0" applyFont="1" applyFill="1" applyBorder="1" applyAlignment="1">
      <alignment horizontal="center" vertical="center" wrapText="1"/>
    </xf>
    <xf numFmtId="201" fontId="74" fillId="8" borderId="5" xfId="0" applyNumberFormat="1" applyFont="1" applyFill="1" applyBorder="1" applyAlignment="1">
      <alignment horizontal="center" vertical="center" wrapText="1"/>
    </xf>
    <xf numFmtId="164" fontId="69" fillId="4" borderId="5" xfId="0" applyFont="1" applyFill="1" applyBorder="1" applyAlignment="1">
      <alignment horizontal="center" vertical="center" wrapText="1"/>
    </xf>
    <xf numFmtId="201" fontId="67" fillId="0" borderId="5" xfId="0" applyNumberFormat="1" applyFont="1" applyBorder="1" applyAlignment="1">
      <alignment horizontal="center" vertical="center" wrapText="1"/>
    </xf>
    <xf numFmtId="164" fontId="66" fillId="0" borderId="5" xfId="0" applyFont="1" applyFill="1" applyBorder="1" applyAlignment="1">
      <alignment horizontal="center" vertical="center" wrapText="1"/>
    </xf>
    <xf numFmtId="164" fontId="67" fillId="0" borderId="5" xfId="0" applyFont="1" applyBorder="1" applyAlignment="1">
      <alignment horizontal="center" vertical="center" wrapText="1"/>
    </xf>
    <xf numFmtId="177" fontId="75" fillId="0" borderId="5" xfId="0" applyNumberFormat="1" applyFont="1" applyBorder="1" applyAlignment="1">
      <alignment horizontal="center" vertical="center" wrapText="1"/>
    </xf>
    <xf numFmtId="164" fontId="63" fillId="6" borderId="30" xfId="0" applyFont="1" applyFill="1" applyBorder="1" applyAlignment="1">
      <alignment horizontal="center" vertical="center" wrapText="1"/>
    </xf>
    <xf numFmtId="164" fontId="76" fillId="0" borderId="31" xfId="0" applyFont="1" applyBorder="1" applyAlignment="1">
      <alignment horizontal="center" vertical="center" wrapText="1"/>
    </xf>
    <xf numFmtId="164" fontId="77" fillId="8" borderId="31" xfId="0" applyFont="1" applyFill="1" applyBorder="1" applyAlignment="1">
      <alignment horizontal="center" vertical="center" wrapText="1"/>
    </xf>
    <xf numFmtId="164" fontId="78" fillId="8" borderId="31" xfId="0" applyFont="1" applyFill="1" applyBorder="1" applyAlignment="1">
      <alignment horizontal="center" vertical="center" wrapText="1"/>
    </xf>
    <xf numFmtId="164" fontId="76" fillId="0" borderId="31" xfId="0" applyFont="1" applyFill="1" applyBorder="1" applyAlignment="1">
      <alignment horizontal="center" vertical="center" wrapText="1"/>
    </xf>
    <xf numFmtId="164" fontId="33" fillId="7" borderId="31" xfId="0" applyFont="1" applyFill="1" applyBorder="1" applyAlignment="1">
      <alignment horizontal="center" vertical="center" wrapText="1"/>
    </xf>
    <xf numFmtId="164" fontId="63" fillId="6" borderId="32" xfId="0" applyFont="1" applyFill="1" applyBorder="1" applyAlignment="1">
      <alignment horizontal="center" vertical="center" wrapText="1"/>
    </xf>
    <xf numFmtId="164" fontId="70" fillId="4" borderId="5" xfId="0" applyFont="1" applyFill="1" applyBorder="1" applyAlignment="1">
      <alignment horizontal="center" vertical="center" wrapText="1"/>
    </xf>
    <xf numFmtId="164" fontId="63" fillId="6" borderId="5" xfId="0" applyFont="1" applyFill="1" applyBorder="1" applyAlignment="1">
      <alignment horizontal="center" vertical="center" wrapText="1"/>
    </xf>
    <xf numFmtId="164" fontId="63" fillId="6" borderId="31" xfId="0" applyFont="1" applyFill="1" applyBorder="1" applyAlignment="1">
      <alignment horizontal="center" vertical="center" wrapText="1"/>
    </xf>
    <xf numFmtId="201" fontId="60" fillId="8" borderId="33" xfId="30" applyNumberFormat="1" applyFont="1" applyFill="1" applyBorder="1">
      <alignment/>
      <protection/>
    </xf>
    <xf numFmtId="0" fontId="32" fillId="8" borderId="34" xfId="31" applyFont="1" applyFill="1" applyBorder="1">
      <alignment/>
      <protection/>
    </xf>
    <xf numFmtId="201" fontId="60" fillId="2" borderId="26" xfId="30" applyNumberFormat="1" applyFont="1" applyFill="1" applyBorder="1">
      <alignment/>
      <protection/>
    </xf>
    <xf numFmtId="0" fontId="32" fillId="2" borderId="18" xfId="31" applyFont="1" applyFill="1" applyBorder="1">
      <alignment/>
      <protection/>
    </xf>
    <xf numFmtId="201" fontId="60" fillId="7" borderId="26" xfId="30" applyNumberFormat="1" applyFont="1" applyFill="1" applyBorder="1">
      <alignment/>
      <protection/>
    </xf>
    <xf numFmtId="0" fontId="32" fillId="7" borderId="18" xfId="31" applyFont="1" applyFill="1" applyBorder="1">
      <alignment/>
      <protection/>
    </xf>
    <xf numFmtId="0" fontId="74" fillId="3" borderId="35" xfId="30" applyFont="1" applyFill="1" applyBorder="1" applyAlignment="1">
      <alignment vertical="top"/>
      <protection/>
    </xf>
    <xf numFmtId="0" fontId="32" fillId="3" borderId="29" xfId="31" applyFont="1" applyFill="1" applyBorder="1" applyAlignment="1">
      <alignment vertical="top"/>
      <protection/>
    </xf>
    <xf numFmtId="201" fontId="67" fillId="3" borderId="35" xfId="0" applyNumberFormat="1" applyFont="1" applyFill="1" applyBorder="1" applyAlignment="1">
      <alignment vertical="top" wrapText="1"/>
    </xf>
    <xf numFmtId="164" fontId="34" fillId="3" borderId="5" xfId="0" applyFont="1" applyFill="1" applyBorder="1" applyAlignment="1">
      <alignment horizontal="center" vertical="center" wrapText="1"/>
    </xf>
    <xf numFmtId="164" fontId="34" fillId="3" borderId="5" xfId="0" applyFont="1" applyFill="1" applyBorder="1" applyAlignment="1" quotePrefix="1">
      <alignment horizontal="center" vertical="center" wrapText="1"/>
    </xf>
    <xf numFmtId="164" fontId="34" fillId="3" borderId="36" xfId="0" applyFont="1" applyFill="1" applyBorder="1" applyAlignment="1">
      <alignment horizontal="center" vertical="center" wrapText="1"/>
    </xf>
    <xf numFmtId="164" fontId="34" fillId="3" borderId="23" xfId="0" applyFont="1" applyFill="1" applyBorder="1" applyAlignment="1">
      <alignment horizontal="center" vertical="center" wrapText="1"/>
    </xf>
    <xf numFmtId="0" fontId="52" fillId="0" borderId="0" xfId="29" applyFont="1" applyBorder="1" applyProtection="1">
      <alignment/>
      <protection/>
    </xf>
    <xf numFmtId="164" fontId="110" fillId="0" borderId="4" xfId="0" applyFont="1" applyBorder="1" applyAlignment="1" applyProtection="1">
      <alignment/>
      <protection/>
    </xf>
    <xf numFmtId="0" fontId="34" fillId="3" borderId="37" xfId="29" applyFont="1" applyFill="1" applyBorder="1" applyAlignment="1" applyProtection="1">
      <alignment horizontal="center" vertical="center" wrapText="1"/>
      <protection/>
    </xf>
    <xf numFmtId="0" fontId="34" fillId="3" borderId="38" xfId="29" applyFont="1" applyFill="1" applyBorder="1" applyAlignment="1" applyProtection="1">
      <alignment horizontal="left" vertical="center" wrapText="1" indent="1"/>
      <protection/>
    </xf>
    <xf numFmtId="164" fontId="34" fillId="3" borderId="37" xfId="0" applyFont="1" applyFill="1" applyBorder="1" applyAlignment="1" applyProtection="1">
      <alignment horizontal="center" vertical="center" wrapText="1"/>
      <protection/>
    </xf>
    <xf numFmtId="0" fontId="34" fillId="3" borderId="9" xfId="27" applyFont="1" applyFill="1" applyBorder="1" applyAlignment="1">
      <alignment horizontal="center" vertical="center" wrapText="1"/>
      <protection/>
    </xf>
    <xf numFmtId="0" fontId="34" fillId="3" borderId="36" xfId="27" applyFont="1" applyFill="1" applyBorder="1" applyAlignment="1">
      <alignment horizontal="left" vertical="center" indent="1"/>
      <protection/>
    </xf>
    <xf numFmtId="0" fontId="34" fillId="3" borderId="5" xfId="27" applyFont="1" applyFill="1" applyBorder="1" applyAlignment="1">
      <alignment horizontal="center" vertical="center"/>
      <protection/>
    </xf>
    <xf numFmtId="164" fontId="34" fillId="3" borderId="7" xfId="0" applyFont="1" applyFill="1" applyBorder="1" applyAlignment="1" applyProtection="1">
      <alignment horizontal="right" vertical="center" wrapText="1" indent="1"/>
      <protection/>
    </xf>
    <xf numFmtId="164" fontId="34" fillId="0" borderId="7" xfId="0" applyFont="1" applyFill="1" applyBorder="1" applyAlignment="1" applyProtection="1">
      <alignment horizontal="right" vertical="center" wrapText="1" indent="1"/>
      <protection/>
    </xf>
    <xf numFmtId="164" fontId="32" fillId="0" borderId="7" xfId="0" applyFont="1" applyFill="1" applyBorder="1" applyAlignment="1">
      <alignment horizontal="right" vertical="center" indent="1"/>
    </xf>
    <xf numFmtId="164" fontId="32" fillId="0" borderId="7" xfId="0" applyFont="1" applyFill="1" applyBorder="1" applyAlignment="1" applyProtection="1" quotePrefix="1">
      <alignment horizontal="center" vertical="center"/>
      <protection/>
    </xf>
    <xf numFmtId="164" fontId="40" fillId="2" borderId="7" xfId="0" applyFont="1" applyFill="1" applyBorder="1" applyAlignment="1" applyProtection="1">
      <alignment horizontal="left" vertical="center" indent="1"/>
      <protection locked="0"/>
    </xf>
    <xf numFmtId="0" fontId="37" fillId="3" borderId="7" xfId="29" applyFont="1" applyFill="1" applyBorder="1" applyAlignment="1" applyProtection="1">
      <alignment horizontal="left" vertical="center"/>
      <protection/>
    </xf>
    <xf numFmtId="171" fontId="40" fillId="2" borderId="18" xfId="0" applyNumberFormat="1" applyFont="1" applyFill="1" applyBorder="1" applyAlignment="1" applyProtection="1">
      <alignment horizontal="left" vertical="center" indent="1"/>
      <protection locked="0"/>
    </xf>
    <xf numFmtId="164" fontId="32" fillId="3" borderId="7" xfId="0" applyFont="1" applyFill="1" applyBorder="1" applyAlignment="1" applyProtection="1">
      <alignment horizontal="right" vertical="center" indent="1"/>
      <protection/>
    </xf>
    <xf numFmtId="171" fontId="40" fillId="2" borderId="7" xfId="0" applyNumberFormat="1" applyFont="1" applyFill="1" applyBorder="1" applyAlignment="1" applyProtection="1">
      <alignment horizontal="left" vertical="center" indent="1"/>
      <protection locked="0"/>
    </xf>
    <xf numFmtId="164" fontId="40" fillId="2" borderId="18" xfId="0" applyFont="1" applyFill="1" applyBorder="1" applyAlignment="1" applyProtection="1">
      <alignment horizontal="left" vertical="center" indent="1"/>
      <protection locked="0"/>
    </xf>
    <xf numFmtId="171" fontId="40" fillId="2" borderId="19" xfId="0" applyNumberFormat="1" applyFont="1" applyFill="1" applyBorder="1" applyAlignment="1" applyProtection="1">
      <alignment horizontal="left" vertical="center" indent="1"/>
      <protection locked="0"/>
    </xf>
    <xf numFmtId="164" fontId="40" fillId="2" borderId="19" xfId="0" applyFont="1" applyFill="1" applyBorder="1" applyAlignment="1" applyProtection="1">
      <alignment horizontal="left" vertical="center" indent="1"/>
      <protection locked="0"/>
    </xf>
    <xf numFmtId="164" fontId="32" fillId="3" borderId="39" xfId="0" applyFont="1" applyFill="1" applyBorder="1" applyAlignment="1" applyProtection="1">
      <alignment horizontal="center" vertical="center" wrapText="1"/>
      <protection/>
    </xf>
    <xf numFmtId="164" fontId="6" fillId="0" borderId="0" xfId="0" applyFont="1" applyAlignment="1">
      <alignment horizontal="left" wrapText="1"/>
    </xf>
    <xf numFmtId="164" fontId="26" fillId="0" borderId="0" xfId="0" applyFont="1" applyAlignment="1">
      <alignment horizontal="center" wrapText="1"/>
    </xf>
    <xf numFmtId="164" fontId="0" fillId="0" borderId="0" xfId="0" applyAlignment="1">
      <alignment horizontal="center" wrapText="1"/>
    </xf>
    <xf numFmtId="164" fontId="6" fillId="0" borderId="13" xfId="0" applyFont="1" applyBorder="1" applyAlignment="1">
      <alignment vertical="top" wrapText="1"/>
    </xf>
    <xf numFmtId="164" fontId="18" fillId="0" borderId="13" xfId="0" applyFont="1" applyBorder="1" applyAlignment="1">
      <alignment vertical="top"/>
    </xf>
    <xf numFmtId="164" fontId="18" fillId="0" borderId="0" xfId="0" applyFont="1" applyAlignment="1">
      <alignment vertical="top"/>
    </xf>
    <xf numFmtId="164" fontId="6" fillId="0" borderId="0" xfId="0" applyFont="1" applyBorder="1" applyAlignment="1">
      <alignment vertical="top" wrapText="1"/>
    </xf>
    <xf numFmtId="184" fontId="6" fillId="0" borderId="0" xfId="0" applyNumberFormat="1" applyFont="1" applyAlignment="1">
      <alignment horizontal="left"/>
    </xf>
    <xf numFmtId="164" fontId="6" fillId="0" borderId="40" xfId="0" applyFont="1" applyBorder="1" applyAlignment="1">
      <alignment vertical="top" wrapText="1"/>
    </xf>
    <xf numFmtId="164" fontId="24" fillId="0" borderId="13" xfId="0" applyFont="1" applyBorder="1" applyAlignment="1">
      <alignment horizontal="left" vertical="top" wrapText="1"/>
    </xf>
    <xf numFmtId="164" fontId="6" fillId="0" borderId="13" xfId="0" applyFont="1" applyBorder="1" applyAlignment="1">
      <alignment horizontal="left" vertical="top" wrapText="1"/>
    </xf>
    <xf numFmtId="164" fontId="6" fillId="0" borderId="0" xfId="0" applyFont="1" applyAlignment="1">
      <alignment/>
    </xf>
    <xf numFmtId="164" fontId="24" fillId="0" borderId="0" xfId="0" applyFont="1" applyBorder="1" applyAlignment="1">
      <alignment vertical="top" wrapText="1"/>
    </xf>
    <xf numFmtId="164" fontId="25" fillId="0" borderId="0" xfId="0" applyFont="1" applyBorder="1" applyAlignment="1">
      <alignment vertical="top" wrapText="1"/>
    </xf>
    <xf numFmtId="0" fontId="40" fillId="3" borderId="5" xfId="29" applyFont="1" applyFill="1" applyBorder="1" applyAlignment="1" applyProtection="1">
      <alignment horizontal="center" vertical="center"/>
      <protection/>
    </xf>
    <xf numFmtId="164" fontId="32" fillId="0" borderId="7" xfId="0" applyFont="1" applyFill="1" applyBorder="1" applyAlignment="1">
      <alignment horizontal="center" vertical="center"/>
    </xf>
    <xf numFmtId="164" fontId="32" fillId="3" borderId="7" xfId="0" applyFont="1" applyFill="1" applyBorder="1" applyAlignment="1" applyProtection="1">
      <alignment horizontal="center" vertical="center"/>
      <protection/>
    </xf>
    <xf numFmtId="164" fontId="32" fillId="3" borderId="39" xfId="0" applyFont="1" applyFill="1" applyBorder="1" applyAlignment="1" applyProtection="1">
      <alignment horizontal="center" vertical="center"/>
      <protection/>
    </xf>
    <xf numFmtId="164" fontId="39" fillId="8" borderId="7" xfId="0" applyFont="1" applyFill="1" applyBorder="1" applyAlignment="1">
      <alignment horizontal="center" vertical="center"/>
    </xf>
    <xf numFmtId="164" fontId="39" fillId="8" borderId="7" xfId="0" applyFont="1" applyFill="1" applyBorder="1" applyAlignment="1">
      <alignment vertical="center"/>
    </xf>
    <xf numFmtId="164" fontId="40" fillId="0" borderId="22" xfId="0" applyFont="1" applyFill="1" applyBorder="1" applyAlignment="1" applyProtection="1">
      <alignment horizontal="left" vertical="center" indent="1"/>
      <protection locked="0"/>
    </xf>
    <xf numFmtId="164" fontId="40" fillId="0" borderId="41" xfId="0" applyFont="1" applyFill="1" applyBorder="1" applyAlignment="1" applyProtection="1">
      <alignment horizontal="left" vertical="center" indent="1"/>
      <protection locked="0"/>
    </xf>
    <xf numFmtId="164" fontId="40" fillId="0" borderId="42" xfId="0" applyFont="1" applyFill="1" applyBorder="1" applyAlignment="1" applyProtection="1">
      <alignment horizontal="left" vertical="center" indent="1"/>
      <protection locked="0"/>
    </xf>
    <xf numFmtId="164" fontId="40" fillId="0" borderId="24" xfId="0" applyFont="1" applyFill="1" applyBorder="1" applyAlignment="1" applyProtection="1">
      <alignment horizontal="left" vertical="center" indent="1"/>
      <protection locked="0"/>
    </xf>
    <xf numFmtId="164" fontId="32" fillId="3" borderId="7" xfId="0" applyFont="1" applyFill="1" applyBorder="1" applyAlignment="1">
      <alignment horizontal="right" vertical="center" indent="1"/>
    </xf>
    <xf numFmtId="0" fontId="40" fillId="3" borderId="7" xfId="29" applyNumberFormat="1" applyFont="1" applyFill="1" applyBorder="1" applyAlignment="1" applyProtection="1">
      <alignment horizontal="center" vertical="center"/>
      <protection/>
    </xf>
    <xf numFmtId="164" fontId="40" fillId="3" borderId="7" xfId="0" applyFont="1" applyFill="1" applyBorder="1" applyAlignment="1" applyProtection="1">
      <alignment vertical="center"/>
      <protection/>
    </xf>
    <xf numFmtId="164" fontId="32" fillId="3" borderId="43" xfId="0" applyFont="1" applyFill="1" applyBorder="1" applyAlignment="1" applyProtection="1">
      <alignment horizontal="center" vertical="center" wrapText="1"/>
      <protection/>
    </xf>
    <xf numFmtId="164" fontId="32" fillId="3" borderId="2" xfId="0" applyFont="1" applyFill="1" applyBorder="1" applyAlignment="1" applyProtection="1">
      <alignment horizontal="center" vertical="center"/>
      <protection/>
    </xf>
    <xf numFmtId="0" fontId="40" fillId="3" borderId="7" xfId="29" applyFont="1" applyFill="1" applyBorder="1" applyAlignment="1" applyProtection="1">
      <alignment horizontal="center" vertical="center"/>
      <protection/>
    </xf>
    <xf numFmtId="164" fontId="32" fillId="3" borderId="39" xfId="0" applyFont="1" applyFill="1" applyBorder="1" applyAlignment="1" applyProtection="1">
      <alignment horizontal="center" vertical="center" wrapText="1"/>
      <protection/>
    </xf>
    <xf numFmtId="164" fontId="32" fillId="3" borderId="5" xfId="0" applyFont="1" applyFill="1" applyBorder="1" applyAlignment="1" applyProtection="1">
      <alignment horizontal="center" vertical="center"/>
      <protection/>
    </xf>
    <xf numFmtId="0" fontId="40" fillId="3" borderId="19" xfId="29" applyNumberFormat="1" applyFont="1" applyFill="1" applyBorder="1" applyAlignment="1" applyProtection="1">
      <alignment horizontal="center" vertical="center"/>
      <protection/>
    </xf>
    <xf numFmtId="0" fontId="40" fillId="3" borderId="18" xfId="29" applyNumberFormat="1" applyFont="1" applyFill="1" applyBorder="1" applyAlignment="1" applyProtection="1">
      <alignment horizontal="center" vertical="center"/>
      <protection/>
    </xf>
    <xf numFmtId="0" fontId="40" fillId="3" borderId="42" xfId="29" applyFont="1" applyFill="1" applyBorder="1" applyAlignment="1" applyProtection="1">
      <alignment horizontal="center" vertical="center"/>
      <protection/>
    </xf>
    <xf numFmtId="0" fontId="40" fillId="3" borderId="29" xfId="29" applyFont="1" applyFill="1" applyBorder="1" applyAlignment="1" applyProtection="1">
      <alignment horizontal="center" vertical="center"/>
      <protection/>
    </xf>
    <xf numFmtId="0" fontId="32" fillId="8" borderId="36" xfId="29" applyFont="1" applyFill="1" applyBorder="1" applyAlignment="1" applyProtection="1">
      <alignment horizontal="center" vertical="center"/>
      <protection/>
    </xf>
    <xf numFmtId="0" fontId="33" fillId="8" borderId="33" xfId="29" applyFont="1" applyFill="1" applyBorder="1" applyAlignment="1" applyProtection="1">
      <alignment horizontal="center" vertical="center"/>
      <protection/>
    </xf>
    <xf numFmtId="0" fontId="33" fillId="8" borderId="34" xfId="29" applyFont="1" applyFill="1" applyBorder="1" applyAlignment="1" applyProtection="1">
      <alignment horizontal="center" vertical="center"/>
      <protection/>
    </xf>
    <xf numFmtId="0" fontId="40" fillId="3" borderId="42" xfId="29" applyNumberFormat="1" applyFont="1" applyFill="1" applyBorder="1" applyAlignment="1" applyProtection="1">
      <alignment horizontal="center" vertical="center"/>
      <protection/>
    </xf>
    <xf numFmtId="0" fontId="40" fillId="3" borderId="24" xfId="29" applyNumberFormat="1" applyFont="1" applyFill="1" applyBorder="1" applyAlignment="1" applyProtection="1">
      <alignment horizontal="center" vertical="center"/>
      <protection/>
    </xf>
    <xf numFmtId="0" fontId="40" fillId="3" borderId="5" xfId="29" applyNumberFormat="1" applyFont="1" applyFill="1" applyBorder="1" applyAlignment="1" applyProtection="1">
      <alignment horizontal="center" vertical="center"/>
      <protection/>
    </xf>
    <xf numFmtId="164" fontId="40" fillId="3" borderId="5" xfId="0" applyFont="1" applyFill="1" applyBorder="1" applyAlignment="1" applyProtection="1">
      <alignment vertical="center"/>
      <protection/>
    </xf>
    <xf numFmtId="0" fontId="40" fillId="4" borderId="5" xfId="29" applyNumberFormat="1" applyFont="1" applyFill="1" applyBorder="1" applyAlignment="1" applyProtection="1">
      <alignment horizontal="center" vertical="center"/>
      <protection/>
    </xf>
    <xf numFmtId="164" fontId="40" fillId="4" borderId="5" xfId="0" applyFont="1" applyFill="1" applyBorder="1" applyAlignment="1" applyProtection="1">
      <alignment vertical="center"/>
      <protection/>
    </xf>
    <xf numFmtId="0" fontId="40" fillId="4" borderId="11" xfId="29" applyNumberFormat="1" applyFont="1" applyFill="1" applyBorder="1" applyAlignment="1" applyProtection="1">
      <alignment horizontal="center" vertical="center"/>
      <protection/>
    </xf>
    <xf numFmtId="164" fontId="40" fillId="4" borderId="11" xfId="0" applyFont="1" applyFill="1" applyBorder="1" applyAlignment="1" applyProtection="1">
      <alignment vertical="center"/>
      <protection/>
    </xf>
    <xf numFmtId="0" fontId="40" fillId="4" borderId="19" xfId="29" applyNumberFormat="1" applyFont="1" applyFill="1" applyBorder="1" applyAlignment="1" applyProtection="1">
      <alignment horizontal="center" vertical="center"/>
      <protection/>
    </xf>
    <xf numFmtId="0" fontId="40" fillId="4" borderId="18" xfId="29" applyNumberFormat="1" applyFont="1" applyFill="1" applyBorder="1" applyAlignment="1" applyProtection="1">
      <alignment horizontal="center" vertical="center"/>
      <protection/>
    </xf>
    <xf numFmtId="0" fontId="32" fillId="3" borderId="44" xfId="29" applyFont="1" applyFill="1" applyBorder="1" applyAlignment="1" applyProtection="1">
      <alignment horizontal="center" vertical="center" wrapText="1"/>
      <protection/>
    </xf>
    <xf numFmtId="0" fontId="32" fillId="3" borderId="45" xfId="29" applyFont="1" applyFill="1" applyBorder="1" applyAlignment="1" applyProtection="1">
      <alignment horizontal="center" vertical="center" wrapText="1"/>
      <protection/>
    </xf>
    <xf numFmtId="0" fontId="32" fillId="3" borderId="42" xfId="29" applyFont="1" applyFill="1" applyBorder="1" applyAlignment="1" applyProtection="1">
      <alignment horizontal="center" vertical="center" wrapText="1"/>
      <protection/>
    </xf>
    <xf numFmtId="0" fontId="32" fillId="3" borderId="46" xfId="29" applyFont="1" applyFill="1" applyBorder="1" applyAlignment="1" applyProtection="1">
      <alignment horizontal="center" vertical="center" wrapText="1"/>
      <protection/>
    </xf>
    <xf numFmtId="0" fontId="32" fillId="3" borderId="15" xfId="29" applyFont="1" applyFill="1" applyBorder="1" applyAlignment="1" applyProtection="1">
      <alignment horizontal="center" vertical="center" wrapText="1"/>
      <protection/>
    </xf>
    <xf numFmtId="0" fontId="32" fillId="3" borderId="47" xfId="29" applyFont="1" applyFill="1" applyBorder="1" applyAlignment="1" applyProtection="1">
      <alignment horizontal="center" vertical="center" wrapText="1"/>
      <protection/>
    </xf>
    <xf numFmtId="0" fontId="40" fillId="4" borderId="48" xfId="29" applyNumberFormat="1" applyFont="1" applyFill="1" applyBorder="1" applyAlignment="1" applyProtection="1">
      <alignment horizontal="center" vertical="center"/>
      <protection/>
    </xf>
    <xf numFmtId="0" fontId="40" fillId="4" borderId="49" xfId="29" applyNumberFormat="1" applyFont="1" applyFill="1" applyBorder="1" applyAlignment="1" applyProtection="1">
      <alignment horizontal="center" vertical="center"/>
      <protection/>
    </xf>
    <xf numFmtId="164" fontId="40" fillId="0" borderId="7" xfId="0" applyFont="1" applyFill="1" applyBorder="1" applyAlignment="1" applyProtection="1">
      <alignment horizontal="left" vertical="center" indent="1"/>
      <protection locked="0"/>
    </xf>
    <xf numFmtId="0" fontId="38" fillId="3" borderId="22" xfId="29" applyFont="1" applyFill="1" applyBorder="1" applyAlignment="1">
      <alignment horizontal="center" vertical="center"/>
      <protection/>
    </xf>
    <xf numFmtId="0" fontId="38" fillId="3" borderId="6" xfId="29" applyFont="1" applyFill="1" applyBorder="1" applyAlignment="1">
      <alignment horizontal="center" vertical="center"/>
      <protection/>
    </xf>
    <xf numFmtId="0" fontId="38" fillId="3" borderId="45" xfId="29" applyFont="1" applyFill="1" applyBorder="1" applyAlignment="1">
      <alignment horizontal="center" vertical="center"/>
      <protection/>
    </xf>
    <xf numFmtId="0" fontId="38" fillId="3" borderId="0" xfId="29" applyFont="1" applyFill="1" applyBorder="1" applyAlignment="1">
      <alignment horizontal="center" vertical="center"/>
      <protection/>
    </xf>
    <xf numFmtId="0" fontId="38" fillId="3" borderId="42" xfId="29" applyFont="1" applyFill="1" applyBorder="1" applyAlignment="1">
      <alignment horizontal="center" vertical="center"/>
      <protection/>
    </xf>
    <xf numFmtId="0" fontId="38" fillId="3" borderId="29" xfId="29" applyFont="1" applyFill="1" applyBorder="1" applyAlignment="1">
      <alignment horizontal="center" vertical="center"/>
      <protection/>
    </xf>
    <xf numFmtId="0" fontId="32" fillId="3" borderId="5" xfId="29" applyFont="1" applyFill="1" applyBorder="1" applyAlignment="1" applyProtection="1" quotePrefix="1">
      <alignment horizontal="right" vertical="center" indent="1"/>
      <protection/>
    </xf>
    <xf numFmtId="164" fontId="32" fillId="3" borderId="5" xfId="0" applyFont="1" applyFill="1" applyBorder="1" applyAlignment="1">
      <alignment horizontal="right" vertical="center" indent="1"/>
    </xf>
    <xf numFmtId="0" fontId="32" fillId="2" borderId="5" xfId="29" applyFont="1" applyFill="1" applyBorder="1" applyAlignment="1" applyProtection="1">
      <alignment horizontal="right" vertical="center" indent="1"/>
      <protection locked="0"/>
    </xf>
    <xf numFmtId="164" fontId="32" fillId="2" borderId="5" xfId="0" applyFont="1" applyFill="1" applyBorder="1" applyAlignment="1" applyProtection="1">
      <alignment horizontal="right" vertical="center" indent="1"/>
      <protection locked="0"/>
    </xf>
    <xf numFmtId="0" fontId="40" fillId="2" borderId="36" xfId="29" applyFont="1" applyFill="1" applyBorder="1" applyAlignment="1" applyProtection="1">
      <alignment horizontal="left" vertical="center" indent="1"/>
      <protection locked="0"/>
    </xf>
    <xf numFmtId="0" fontId="40" fillId="2" borderId="33" xfId="29" applyFont="1" applyFill="1" applyBorder="1" applyAlignment="1" applyProtection="1">
      <alignment horizontal="left" vertical="center" indent="1"/>
      <protection locked="0"/>
    </xf>
    <xf numFmtId="0" fontId="40" fillId="2" borderId="34" xfId="29" applyFont="1" applyFill="1" applyBorder="1" applyAlignment="1" applyProtection="1">
      <alignment horizontal="left" vertical="center" indent="1"/>
      <protection locked="0"/>
    </xf>
    <xf numFmtId="0" fontId="40" fillId="2" borderId="7" xfId="29" applyFont="1" applyFill="1" applyBorder="1" applyAlignment="1" applyProtection="1">
      <alignment horizontal="left" vertical="center" indent="1"/>
      <protection locked="0"/>
    </xf>
    <xf numFmtId="0" fontId="32" fillId="3" borderId="7" xfId="29" applyFont="1" applyFill="1" applyBorder="1" applyAlignment="1" applyProtection="1">
      <alignment horizontal="right" vertical="center" indent="1"/>
      <protection/>
    </xf>
    <xf numFmtId="0" fontId="44" fillId="2" borderId="48" xfId="29" applyFont="1" applyFill="1" applyBorder="1" applyAlignment="1" applyProtection="1">
      <alignment horizontal="left" vertical="center" indent="1"/>
      <protection locked="0"/>
    </xf>
    <xf numFmtId="164" fontId="44" fillId="2" borderId="49" xfId="0" applyFont="1" applyFill="1" applyBorder="1" applyAlignment="1" applyProtection="1">
      <alignment horizontal="left" vertical="center" indent="1"/>
      <protection locked="0"/>
    </xf>
    <xf numFmtId="0" fontId="32" fillId="3" borderId="50" xfId="29" applyFont="1" applyFill="1" applyBorder="1" applyAlignment="1" applyProtection="1">
      <alignment horizontal="center" vertical="center" wrapText="1"/>
      <protection/>
    </xf>
    <xf numFmtId="0" fontId="32" fillId="3" borderId="9" xfId="29" applyFont="1" applyFill="1" applyBorder="1" applyAlignment="1" applyProtection="1">
      <alignment horizontal="center" vertical="center" wrapText="1"/>
      <protection/>
    </xf>
    <xf numFmtId="0" fontId="32" fillId="3" borderId="5" xfId="29" applyFont="1" applyFill="1" applyBorder="1" applyAlignment="1" applyProtection="1">
      <alignment horizontal="center" vertical="center" wrapText="1"/>
      <protection/>
    </xf>
    <xf numFmtId="0" fontId="40" fillId="2" borderId="50" xfId="29" applyFont="1" applyFill="1" applyBorder="1" applyAlignment="1" applyProtection="1">
      <alignment horizontal="left" vertical="center" wrapText="1" indent="1"/>
      <protection locked="0"/>
    </xf>
    <xf numFmtId="0" fontId="40" fillId="2" borderId="50" xfId="29" applyFont="1" applyFill="1" applyBorder="1" applyAlignment="1" applyProtection="1">
      <alignment horizontal="left" vertical="center" indent="1"/>
      <protection locked="0"/>
    </xf>
    <xf numFmtId="0" fontId="40" fillId="2" borderId="9" xfId="29" applyFont="1" applyFill="1" applyBorder="1" applyAlignment="1" applyProtection="1">
      <alignment horizontal="left" vertical="center" indent="1"/>
      <protection locked="0"/>
    </xf>
    <xf numFmtId="0" fontId="40" fillId="2" borderId="5" xfId="29" applyFont="1" applyFill="1" applyBorder="1" applyAlignment="1" applyProtection="1">
      <alignment horizontal="left" vertical="center" indent="1"/>
      <protection locked="0"/>
    </xf>
    <xf numFmtId="174" fontId="40" fillId="2" borderId="7" xfId="29" applyNumberFormat="1" applyFont="1" applyFill="1" applyBorder="1" applyAlignment="1" applyProtection="1">
      <alignment horizontal="left" vertical="center" indent="1"/>
      <protection locked="0"/>
    </xf>
    <xf numFmtId="174" fontId="40" fillId="2" borderId="7" xfId="0" applyNumberFormat="1" applyFont="1" applyFill="1" applyBorder="1" applyAlignment="1" applyProtection="1">
      <alignment horizontal="left" vertical="center" indent="1"/>
      <protection locked="0"/>
    </xf>
    <xf numFmtId="0" fontId="40" fillId="2" borderId="23" xfId="29" applyFont="1" applyFill="1" applyBorder="1" applyAlignment="1" applyProtection="1">
      <alignment horizontal="left" vertical="center" indent="1"/>
      <protection locked="0"/>
    </xf>
    <xf numFmtId="164" fontId="40" fillId="2" borderId="23" xfId="0" applyFont="1" applyFill="1" applyBorder="1" applyAlignment="1" applyProtection="1">
      <alignment horizontal="left" vertical="center" indent="1"/>
      <protection locked="0"/>
    </xf>
    <xf numFmtId="164" fontId="0" fillId="0" borderId="7" xfId="0" applyBorder="1" applyAlignment="1">
      <alignment horizontal="right" vertical="center" indent="1"/>
    </xf>
    <xf numFmtId="0" fontId="32" fillId="3" borderId="19" xfId="29" applyFont="1" applyFill="1" applyBorder="1" applyAlignment="1">
      <alignment horizontal="right" vertical="center" indent="1"/>
      <protection/>
    </xf>
    <xf numFmtId="0" fontId="32" fillId="3" borderId="26" xfId="29" applyFont="1" applyFill="1" applyBorder="1" applyAlignment="1">
      <alignment horizontal="right" vertical="center" indent="1"/>
      <protection/>
    </xf>
    <xf numFmtId="0" fontId="32" fillId="3" borderId="18" xfId="29" applyFont="1" applyFill="1" applyBorder="1" applyAlignment="1">
      <alignment horizontal="right" vertical="center" indent="1"/>
      <protection/>
    </xf>
    <xf numFmtId="14" fontId="40" fillId="2" borderId="19" xfId="29" applyNumberFormat="1" applyFont="1" applyFill="1" applyBorder="1" applyAlignment="1" applyProtection="1">
      <alignment horizontal="left" vertical="center" indent="1"/>
      <protection locked="0"/>
    </xf>
    <xf numFmtId="14" fontId="40" fillId="2" borderId="18" xfId="29" applyNumberFormat="1" applyFont="1" applyFill="1" applyBorder="1" applyAlignment="1" applyProtection="1">
      <alignment horizontal="left" vertical="center" indent="1"/>
      <protection locked="0"/>
    </xf>
    <xf numFmtId="0" fontId="32" fillId="2" borderId="7" xfId="29" applyFont="1" applyFill="1" applyBorder="1" applyAlignment="1" applyProtection="1">
      <alignment horizontal="right" vertical="center" indent="1"/>
      <protection locked="0"/>
    </xf>
    <xf numFmtId="164" fontId="32" fillId="2" borderId="7" xfId="0" applyFont="1" applyFill="1" applyBorder="1" applyAlignment="1" applyProtection="1">
      <alignment horizontal="right" vertical="center" indent="1"/>
      <protection locked="0"/>
    </xf>
    <xf numFmtId="0" fontId="32" fillId="3" borderId="19" xfId="29" applyFont="1" applyFill="1" applyBorder="1" applyAlignment="1">
      <alignment horizontal="center" vertical="center"/>
      <protection/>
    </xf>
    <xf numFmtId="0" fontId="32" fillId="3" borderId="18" xfId="29" applyFont="1" applyFill="1" applyBorder="1" applyAlignment="1">
      <alignment horizontal="center" vertical="center"/>
      <protection/>
    </xf>
    <xf numFmtId="0" fontId="32" fillId="3" borderId="19" xfId="29" applyFont="1" applyFill="1" applyBorder="1" applyAlignment="1" applyProtection="1">
      <alignment horizontal="center" vertical="center"/>
      <protection/>
    </xf>
    <xf numFmtId="0" fontId="32" fillId="3" borderId="18" xfId="29" applyFont="1" applyFill="1" applyBorder="1" applyAlignment="1" applyProtection="1">
      <alignment horizontal="center" vertical="center"/>
      <protection/>
    </xf>
    <xf numFmtId="0" fontId="40" fillId="2" borderId="19" xfId="29" applyFont="1" applyFill="1" applyBorder="1" applyAlignment="1" applyProtection="1">
      <alignment horizontal="left" vertical="center" indent="1"/>
      <protection locked="0"/>
    </xf>
    <xf numFmtId="0" fontId="40" fillId="2" borderId="18" xfId="29" applyFont="1" applyFill="1" applyBorder="1" applyAlignment="1" applyProtection="1">
      <alignment horizontal="left" vertical="center" indent="1"/>
      <protection locked="0"/>
    </xf>
    <xf numFmtId="0" fontId="32" fillId="3" borderId="16" xfId="29" applyFont="1" applyFill="1" applyBorder="1" applyAlignment="1" applyProtection="1">
      <alignment horizontal="center" vertical="center" wrapText="1"/>
      <protection/>
    </xf>
    <xf numFmtId="164" fontId="32" fillId="3" borderId="16" xfId="0" applyFont="1" applyFill="1" applyBorder="1" applyAlignment="1">
      <alignment vertical="center" wrapText="1"/>
    </xf>
    <xf numFmtId="0" fontId="32" fillId="3" borderId="19" xfId="29" applyFont="1" applyFill="1" applyBorder="1" applyAlignment="1" applyProtection="1">
      <alignment horizontal="right" vertical="center" indent="1"/>
      <protection/>
    </xf>
    <xf numFmtId="0" fontId="32" fillId="3" borderId="26" xfId="29" applyFont="1" applyFill="1" applyBorder="1" applyAlignment="1" applyProtection="1">
      <alignment horizontal="right" vertical="center" indent="1"/>
      <protection/>
    </xf>
    <xf numFmtId="0" fontId="32" fillId="3" borderId="19" xfId="29" applyFont="1" applyFill="1" applyBorder="1" applyAlignment="1" applyProtection="1">
      <alignment horizontal="right" vertical="center" shrinkToFit="1"/>
      <protection/>
    </xf>
    <xf numFmtId="164" fontId="32" fillId="3" borderId="26" xfId="0" applyFont="1" applyFill="1" applyBorder="1" applyAlignment="1">
      <alignment vertical="center" shrinkToFit="1"/>
    </xf>
    <xf numFmtId="0" fontId="32" fillId="3" borderId="36" xfId="29" applyFont="1" applyFill="1" applyBorder="1" applyAlignment="1" applyProtection="1">
      <alignment horizontal="right" vertical="center" indent="1"/>
      <protection/>
    </xf>
    <xf numFmtId="0" fontId="32" fillId="3" borderId="33" xfId="29" applyFont="1" applyFill="1" applyBorder="1" applyAlignment="1" applyProtection="1">
      <alignment horizontal="right" vertical="center" indent="1"/>
      <protection/>
    </xf>
    <xf numFmtId="0" fontId="32" fillId="3" borderId="34" xfId="29" applyFont="1" applyFill="1" applyBorder="1" applyAlignment="1" applyProtection="1">
      <alignment horizontal="right" vertical="center" indent="1"/>
      <protection/>
    </xf>
    <xf numFmtId="164" fontId="40" fillId="2" borderId="26" xfId="0" applyFont="1" applyFill="1" applyBorder="1" applyAlignment="1" applyProtection="1">
      <alignment horizontal="left" vertical="center" indent="1"/>
      <protection locked="0"/>
    </xf>
    <xf numFmtId="175" fontId="40" fillId="3" borderId="26" xfId="29" applyNumberFormat="1" applyFont="1" applyFill="1" applyBorder="1" applyAlignment="1" applyProtection="1">
      <alignment horizontal="left" vertical="center"/>
      <protection/>
    </xf>
    <xf numFmtId="175" fontId="40" fillId="3" borderId="18" xfId="0" applyNumberFormat="1" applyFont="1" applyFill="1" applyBorder="1" applyAlignment="1" applyProtection="1">
      <alignment horizontal="left" vertical="center"/>
      <protection/>
    </xf>
    <xf numFmtId="0" fontId="40" fillId="3" borderId="19" xfId="29" applyFont="1" applyFill="1" applyBorder="1" applyAlignment="1" applyProtection="1">
      <alignment horizontal="left" vertical="center" indent="1"/>
      <protection/>
    </xf>
    <xf numFmtId="0" fontId="40" fillId="3" borderId="26" xfId="29" applyFont="1" applyFill="1" applyBorder="1" applyAlignment="1" applyProtection="1">
      <alignment horizontal="left" vertical="center" indent="1"/>
      <protection/>
    </xf>
    <xf numFmtId="0" fontId="40" fillId="3" borderId="18" xfId="29" applyFont="1" applyFill="1" applyBorder="1" applyAlignment="1" applyProtection="1">
      <alignment horizontal="left" vertical="center" indent="1"/>
      <protection/>
    </xf>
    <xf numFmtId="0" fontId="32" fillId="3" borderId="7" xfId="29" applyFont="1" applyFill="1" applyBorder="1" applyAlignment="1" applyProtection="1">
      <alignment horizontal="right" vertical="center"/>
      <protection/>
    </xf>
    <xf numFmtId="164" fontId="32" fillId="3" borderId="7" xfId="0" applyFont="1" applyFill="1" applyBorder="1" applyAlignment="1">
      <alignment horizontal="right" vertical="center"/>
    </xf>
    <xf numFmtId="164" fontId="32" fillId="3" borderId="19" xfId="0" applyFont="1" applyFill="1" applyBorder="1" applyAlignment="1" applyProtection="1">
      <alignment horizontal="right" vertical="center" indent="1"/>
      <protection/>
    </xf>
    <xf numFmtId="164" fontId="32" fillId="3" borderId="26" xfId="0" applyFont="1" applyFill="1" applyBorder="1" applyAlignment="1">
      <alignment horizontal="right" vertical="center" indent="1"/>
    </xf>
    <xf numFmtId="164" fontId="32" fillId="3" borderId="18" xfId="0" applyFont="1" applyFill="1" applyBorder="1" applyAlignment="1">
      <alignment horizontal="right" vertical="center" indent="1"/>
    </xf>
    <xf numFmtId="14" fontId="40" fillId="2" borderId="23" xfId="29" applyNumberFormat="1" applyFont="1" applyFill="1" applyBorder="1" applyAlignment="1" applyProtection="1">
      <alignment horizontal="left" vertical="center" indent="1"/>
      <protection locked="0"/>
    </xf>
    <xf numFmtId="164" fontId="32" fillId="3" borderId="26" xfId="0" applyFont="1" applyFill="1" applyBorder="1" applyAlignment="1" applyProtection="1">
      <alignment horizontal="right" vertical="center" indent="1"/>
      <protection/>
    </xf>
    <xf numFmtId="164" fontId="32" fillId="3" borderId="18" xfId="0" applyFont="1" applyFill="1" applyBorder="1" applyAlignment="1" applyProtection="1">
      <alignment horizontal="right" vertical="center" indent="1"/>
      <protection/>
    </xf>
    <xf numFmtId="0" fontId="32" fillId="3" borderId="42" xfId="29" applyFont="1" applyFill="1" applyBorder="1" applyAlignment="1" applyProtection="1">
      <alignment horizontal="right" vertical="center"/>
      <protection/>
    </xf>
    <xf numFmtId="0" fontId="32" fillId="3" borderId="29" xfId="29" applyFont="1" applyFill="1" applyBorder="1" applyAlignment="1" applyProtection="1">
      <alignment horizontal="right" vertical="center"/>
      <protection/>
    </xf>
    <xf numFmtId="164" fontId="32" fillId="3" borderId="23" xfId="0" applyFont="1" applyFill="1" applyBorder="1" applyAlignment="1">
      <alignment horizontal="right" vertical="center" indent="1"/>
    </xf>
    <xf numFmtId="177" fontId="40" fillId="2" borderId="7" xfId="28" applyNumberFormat="1" applyFont="1" applyFill="1" applyBorder="1" applyAlignment="1" applyProtection="1">
      <alignment horizontal="left" vertical="center" indent="1"/>
      <protection/>
    </xf>
    <xf numFmtId="2" fontId="49" fillId="5" borderId="19" xfId="28" applyNumberFormat="1" applyFont="1" applyFill="1" applyBorder="1" applyAlignment="1" applyProtection="1">
      <alignment horizontal="right" vertical="center" indent="1"/>
      <protection/>
    </xf>
    <xf numFmtId="2" fontId="49" fillId="5" borderId="26" xfId="28" applyNumberFormat="1" applyFont="1" applyFill="1" applyBorder="1" applyAlignment="1" applyProtection="1">
      <alignment horizontal="right" vertical="center" indent="1"/>
      <protection/>
    </xf>
    <xf numFmtId="0" fontId="46" fillId="5" borderId="5" xfId="28" applyFont="1" applyFill="1" applyBorder="1" applyAlignment="1" applyProtection="1">
      <alignment horizontal="center" vertical="center" wrapText="1"/>
      <protection/>
    </xf>
    <xf numFmtId="0" fontId="46" fillId="5" borderId="5" xfId="28" applyFont="1" applyFill="1" applyBorder="1" applyAlignment="1" applyProtection="1">
      <alignment horizontal="center" vertical="center"/>
      <protection/>
    </xf>
    <xf numFmtId="0" fontId="46" fillId="5" borderId="7" xfId="28" applyFont="1" applyFill="1" applyBorder="1" applyAlignment="1" applyProtection="1">
      <alignment horizontal="center" vertical="center"/>
      <protection/>
    </xf>
    <xf numFmtId="0" fontId="32" fillId="2" borderId="7" xfId="28" applyFont="1" applyFill="1" applyBorder="1" applyAlignment="1" applyProtection="1" quotePrefix="1">
      <alignment horizontal="right" vertical="center" indent="1"/>
      <protection/>
    </xf>
    <xf numFmtId="2" fontId="40" fillId="2" borderId="7" xfId="28" applyNumberFormat="1" applyFont="1" applyFill="1" applyBorder="1" applyAlignment="1" applyProtection="1">
      <alignment horizontal="left" vertical="center" indent="1"/>
      <protection/>
    </xf>
    <xf numFmtId="0" fontId="33" fillId="3" borderId="5" xfId="28" applyFont="1" applyFill="1" applyBorder="1" applyAlignment="1" applyProtection="1" quotePrefix="1">
      <alignment horizontal="center" vertical="center"/>
      <protection/>
    </xf>
    <xf numFmtId="0" fontId="32" fillId="2" borderId="7" xfId="28" applyFont="1" applyFill="1" applyBorder="1" applyAlignment="1" applyProtection="1">
      <alignment horizontal="right" vertical="center" indent="1"/>
      <protection/>
    </xf>
    <xf numFmtId="164" fontId="47" fillId="0" borderId="2" xfId="0" applyFont="1" applyBorder="1" applyAlignment="1" applyProtection="1">
      <alignment horizontal="left" vertical="center"/>
      <protection/>
    </xf>
    <xf numFmtId="0" fontId="33" fillId="3" borderId="42" xfId="28" applyFont="1" applyFill="1" applyBorder="1" applyAlignment="1" applyProtection="1" quotePrefix="1">
      <alignment horizontal="center" vertical="center"/>
      <protection/>
    </xf>
    <xf numFmtId="0" fontId="33" fillId="3" borderId="29" xfId="28" applyFont="1" applyFill="1" applyBorder="1" applyAlignment="1" applyProtection="1" quotePrefix="1">
      <alignment horizontal="center" vertical="center"/>
      <protection/>
    </xf>
    <xf numFmtId="0" fontId="33" fillId="3" borderId="24" xfId="28" applyFont="1" applyFill="1" applyBorder="1" applyAlignment="1" applyProtection="1" quotePrefix="1">
      <alignment horizontal="center" vertical="center"/>
      <protection/>
    </xf>
    <xf numFmtId="193" fontId="37" fillId="0" borderId="13" xfId="27" applyNumberFormat="1" applyFont="1" applyFill="1" applyBorder="1" applyAlignment="1" applyProtection="1">
      <alignment horizontal="center" vertical="center" wrapText="1"/>
      <protection/>
    </xf>
    <xf numFmtId="179" fontId="40" fillId="0" borderId="0" xfId="27" applyNumberFormat="1" applyFont="1" applyBorder="1" applyAlignment="1">
      <alignment horizontal="right" vertical="center"/>
      <protection/>
    </xf>
    <xf numFmtId="179" fontId="40" fillId="0" borderId="13" xfId="27" applyNumberFormat="1" applyFont="1" applyBorder="1" applyAlignment="1">
      <alignment horizontal="right" vertical="center"/>
      <protection/>
    </xf>
    <xf numFmtId="179" fontId="40" fillId="0" borderId="20" xfId="27" applyNumberFormat="1" applyFont="1" applyBorder="1" applyAlignment="1">
      <alignment horizontal="right" vertical="center"/>
      <protection/>
    </xf>
    <xf numFmtId="179" fontId="40" fillId="0" borderId="21" xfId="27" applyNumberFormat="1" applyFont="1" applyBorder="1" applyAlignment="1">
      <alignment horizontal="right" vertical="center"/>
      <protection/>
    </xf>
    <xf numFmtId="0" fontId="33" fillId="3" borderId="13" xfId="27" applyFont="1" applyFill="1" applyBorder="1" applyAlignment="1">
      <alignment horizontal="center" vertical="center" wrapText="1"/>
      <protection/>
    </xf>
    <xf numFmtId="199" fontId="4" fillId="0" borderId="0" xfId="27" applyNumberFormat="1" applyAlignment="1">
      <alignment horizontal="center"/>
      <protection/>
    </xf>
    <xf numFmtId="0" fontId="32" fillId="0" borderId="13" xfId="27" applyFont="1" applyBorder="1" applyAlignment="1">
      <alignment horizontal="left" vertical="center"/>
      <protection/>
    </xf>
    <xf numFmtId="0" fontId="32" fillId="0" borderId="0" xfId="27" applyFont="1" applyBorder="1" applyAlignment="1">
      <alignment horizontal="left" vertical="center"/>
      <protection/>
    </xf>
    <xf numFmtId="0" fontId="32" fillId="0" borderId="20" xfId="27" applyFont="1" applyBorder="1" applyAlignment="1">
      <alignment horizontal="left" vertical="center"/>
      <protection/>
    </xf>
    <xf numFmtId="0" fontId="32" fillId="0" borderId="21" xfId="27" applyFont="1" applyBorder="1" applyAlignment="1">
      <alignment horizontal="left" vertical="center"/>
      <protection/>
    </xf>
    <xf numFmtId="177" fontId="40" fillId="0" borderId="0" xfId="27" applyNumberFormat="1" applyFont="1" applyBorder="1" applyAlignment="1">
      <alignment horizontal="right" vertical="center"/>
      <protection/>
    </xf>
    <xf numFmtId="0" fontId="32" fillId="0" borderId="0" xfId="27" applyFont="1" applyAlignment="1">
      <alignment horizontal="center" vertical="center" wrapText="1"/>
      <protection/>
    </xf>
    <xf numFmtId="0" fontId="66" fillId="0" borderId="51" xfId="30" applyFont="1" applyBorder="1" applyAlignment="1">
      <alignment/>
      <protection/>
    </xf>
    <xf numFmtId="0" fontId="66" fillId="0" borderId="52" xfId="30" applyFont="1" applyBorder="1" applyAlignment="1">
      <alignment/>
      <protection/>
    </xf>
    <xf numFmtId="0" fontId="66" fillId="0" borderId="53" xfId="30" applyFont="1" applyBorder="1" applyAlignment="1">
      <alignment/>
      <protection/>
    </xf>
    <xf numFmtId="0" fontId="47" fillId="0" borderId="4" xfId="30" applyFont="1" applyBorder="1" applyAlignment="1">
      <alignment/>
      <protection/>
    </xf>
    <xf numFmtId="203" fontId="4" fillId="3" borderId="19" xfId="32" applyNumberFormat="1" applyFont="1" applyFill="1" applyBorder="1" applyAlignment="1">
      <alignment horizontal="center" vertical="center"/>
      <protection/>
    </xf>
    <xf numFmtId="203" fontId="4" fillId="3" borderId="7" xfId="32" applyNumberFormat="1" applyFont="1" applyFill="1" applyBorder="1" applyAlignment="1">
      <alignment horizontal="center" vertical="center"/>
      <protection/>
    </xf>
    <xf numFmtId="203" fontId="4" fillId="3" borderId="18" xfId="32" applyNumberFormat="1" applyFont="1" applyFill="1" applyBorder="1" applyAlignment="1">
      <alignment horizontal="center" vertical="center"/>
      <protection/>
    </xf>
    <xf numFmtId="0" fontId="32" fillId="0" borderId="26" xfId="30" applyFont="1" applyFill="1" applyBorder="1" applyAlignment="1">
      <alignment vertical="top" wrapText="1"/>
      <protection/>
    </xf>
    <xf numFmtId="0" fontId="32" fillId="0" borderId="54" xfId="30" applyFont="1" applyFill="1" applyBorder="1" applyAlignment="1">
      <alignment vertical="top" wrapText="1"/>
      <protection/>
    </xf>
    <xf numFmtId="0" fontId="32" fillId="3" borderId="26" xfId="30" applyFont="1" applyFill="1" applyBorder="1" applyAlignment="1">
      <alignment vertical="top" wrapText="1"/>
      <protection/>
    </xf>
    <xf numFmtId="0" fontId="32" fillId="3" borderId="54" xfId="30" applyFont="1" applyFill="1" applyBorder="1" applyAlignment="1">
      <alignment vertical="top" wrapText="1"/>
      <protection/>
    </xf>
    <xf numFmtId="0" fontId="69" fillId="0" borderId="55" xfId="30" applyFont="1" applyFill="1" applyBorder="1" applyAlignment="1">
      <alignment/>
      <protection/>
    </xf>
    <xf numFmtId="0" fontId="69" fillId="0" borderId="31" xfId="30" applyFont="1" applyFill="1" applyBorder="1" applyAlignment="1">
      <alignment/>
      <protection/>
    </xf>
    <xf numFmtId="0" fontId="69" fillId="0" borderId="56" xfId="30" applyFont="1" applyFill="1" applyBorder="1" applyAlignment="1">
      <alignment/>
      <protection/>
    </xf>
    <xf numFmtId="0" fontId="32" fillId="3" borderId="29" xfId="30" applyFont="1" applyFill="1" applyBorder="1" applyAlignment="1">
      <alignment vertical="top" wrapText="1"/>
      <protection/>
    </xf>
    <xf numFmtId="0" fontId="32" fillId="3" borderId="57" xfId="30" applyFont="1" applyFill="1" applyBorder="1" applyAlignment="1">
      <alignment vertical="top" wrapText="1"/>
      <protection/>
    </xf>
    <xf numFmtId="164" fontId="66" fillId="0" borderId="7" xfId="0" applyFont="1" applyBorder="1" applyAlignment="1">
      <alignment horizontal="center" vertical="center" wrapText="1"/>
    </xf>
    <xf numFmtId="164" fontId="66" fillId="0" borderId="5" xfId="0" applyFont="1" applyBorder="1" applyAlignment="1">
      <alignment horizontal="center" vertical="center" wrapText="1"/>
    </xf>
    <xf numFmtId="164" fontId="66" fillId="0" borderId="58" xfId="0" applyFont="1" applyBorder="1" applyAlignment="1">
      <alignment horizontal="center" vertical="center" wrapText="1"/>
    </xf>
    <xf numFmtId="164" fontId="76" fillId="0" borderId="31" xfId="0" applyFont="1" applyBorder="1" applyAlignment="1">
      <alignment horizontal="center" vertical="center" wrapText="1"/>
    </xf>
    <xf numFmtId="164" fontId="76" fillId="0" borderId="55" xfId="0" applyFont="1" applyBorder="1" applyAlignment="1">
      <alignment horizontal="center" vertical="center" wrapText="1"/>
    </xf>
    <xf numFmtId="164" fontId="66" fillId="0" borderId="59" xfId="0" applyFont="1" applyBorder="1" applyAlignment="1">
      <alignment horizontal="center" vertical="center" wrapText="1"/>
    </xf>
    <xf numFmtId="0" fontId="32" fillId="8" borderId="36" xfId="30" applyFont="1" applyFill="1" applyBorder="1" applyAlignment="1">
      <alignment horizontal="right" vertical="top" indent="1"/>
      <protection/>
    </xf>
    <xf numFmtId="0" fontId="32" fillId="8" borderId="33" xfId="30" applyFont="1" applyFill="1" applyBorder="1" applyAlignment="1">
      <alignment horizontal="right" vertical="top" indent="1"/>
      <protection/>
    </xf>
    <xf numFmtId="0" fontId="32" fillId="3" borderId="26" xfId="31" applyFont="1" applyFill="1" applyBorder="1" applyAlignment="1">
      <alignment vertical="top" wrapText="1"/>
      <protection/>
    </xf>
    <xf numFmtId="0" fontId="32" fillId="3" borderId="18" xfId="31" applyFont="1" applyFill="1" applyBorder="1" applyAlignment="1">
      <alignment vertical="top" wrapText="1"/>
      <protection/>
    </xf>
    <xf numFmtId="203" fontId="1" fillId="12" borderId="7" xfId="32" applyNumberFormat="1" applyFont="1" applyFill="1" applyBorder="1" applyAlignment="1">
      <alignment horizontal="center" vertical="center" wrapText="1"/>
      <protection/>
    </xf>
    <xf numFmtId="203" fontId="1" fillId="12" borderId="19" xfId="32" applyNumberFormat="1" applyFont="1" applyFill="1" applyBorder="1" applyAlignment="1">
      <alignment horizontal="center" vertical="center" wrapText="1"/>
      <protection/>
    </xf>
    <xf numFmtId="203" fontId="65" fillId="3" borderId="7" xfId="32" applyNumberFormat="1" applyFont="1" applyFill="1" applyBorder="1" applyAlignment="1">
      <alignment horizontal="center" vertical="center" wrapText="1"/>
      <protection/>
    </xf>
    <xf numFmtId="0" fontId="32" fillId="0" borderId="26" xfId="31" applyFont="1" applyFill="1" applyBorder="1" applyAlignment="1">
      <alignment vertical="top" wrapText="1"/>
      <protection/>
    </xf>
    <xf numFmtId="0" fontId="32" fillId="0" borderId="54" xfId="31" applyFont="1" applyFill="1" applyBorder="1" applyAlignment="1">
      <alignment vertical="top" wrapText="1"/>
      <protection/>
    </xf>
    <xf numFmtId="203" fontId="85" fillId="12" borderId="7" xfId="32" applyNumberFormat="1" applyFont="1" applyFill="1" applyBorder="1" applyAlignment="1">
      <alignment horizontal="center" vertical="center" wrapText="1"/>
      <protection/>
    </xf>
    <xf numFmtId="203" fontId="85" fillId="12" borderId="19" xfId="32" applyNumberFormat="1" applyFont="1" applyFill="1" applyBorder="1" applyAlignment="1">
      <alignment horizontal="center" vertical="center" wrapText="1"/>
      <protection/>
    </xf>
    <xf numFmtId="203" fontId="4" fillId="3" borderId="23" xfId="32" applyNumberFormat="1" applyFont="1" applyFill="1" applyBorder="1" applyAlignment="1">
      <alignment horizontal="center" vertical="center"/>
      <protection/>
    </xf>
    <xf numFmtId="203" fontId="4" fillId="3" borderId="36" xfId="32" applyNumberFormat="1" applyFont="1" applyFill="1" applyBorder="1" applyAlignment="1">
      <alignment horizontal="center" vertical="center"/>
      <protection/>
    </xf>
    <xf numFmtId="203" fontId="4" fillId="3" borderId="34" xfId="32" applyNumberFormat="1" applyFont="1" applyFill="1" applyBorder="1" applyAlignment="1">
      <alignment horizontal="center" vertical="center"/>
      <protection/>
    </xf>
    <xf numFmtId="0" fontId="32" fillId="3" borderId="54" xfId="31" applyFont="1" applyFill="1" applyBorder="1" applyAlignment="1">
      <alignment vertical="top" wrapText="1"/>
      <protection/>
    </xf>
    <xf numFmtId="0" fontId="32" fillId="2" borderId="19" xfId="30" applyFont="1" applyFill="1" applyBorder="1" applyAlignment="1">
      <alignment horizontal="right" vertical="top" indent="1"/>
      <protection/>
    </xf>
    <xf numFmtId="0" fontId="32" fillId="2" borderId="26" xfId="30" applyFont="1" applyFill="1" applyBorder="1" applyAlignment="1">
      <alignment horizontal="right" vertical="top" indent="1"/>
      <protection/>
    </xf>
    <xf numFmtId="0" fontId="32" fillId="7" borderId="19" xfId="30" applyFont="1" applyFill="1" applyBorder="1" applyAlignment="1">
      <alignment horizontal="right" vertical="top" indent="1"/>
      <protection/>
    </xf>
    <xf numFmtId="0" fontId="32" fillId="7" borderId="26" xfId="30" applyFont="1" applyFill="1" applyBorder="1" applyAlignment="1">
      <alignment horizontal="right" vertical="top" indent="1"/>
      <protection/>
    </xf>
    <xf numFmtId="0" fontId="32" fillId="3" borderId="29" xfId="31" applyFont="1" applyFill="1" applyBorder="1" applyAlignment="1">
      <alignment vertical="top" wrapText="1"/>
      <protection/>
    </xf>
    <xf numFmtId="0" fontId="32" fillId="3" borderId="57" xfId="31" applyFont="1" applyFill="1" applyBorder="1" applyAlignment="1">
      <alignment vertical="top" wrapText="1"/>
      <protection/>
    </xf>
    <xf numFmtId="164" fontId="44" fillId="2" borderId="19" xfId="0" applyFont="1" applyFill="1" applyBorder="1" applyAlignment="1">
      <alignment vertical="center" wrapText="1"/>
    </xf>
    <xf numFmtId="164" fontId="44" fillId="2" borderId="26" xfId="0" applyFont="1" applyFill="1" applyBorder="1" applyAlignment="1">
      <alignment vertical="center" wrapText="1"/>
    </xf>
    <xf numFmtId="164" fontId="44" fillId="2" borderId="18" xfId="0" applyFont="1" applyFill="1" applyBorder="1" applyAlignment="1">
      <alignment vertical="center" wrapText="1"/>
    </xf>
    <xf numFmtId="0" fontId="42" fillId="3" borderId="7" xfId="33" applyFont="1" applyFill="1" applyBorder="1" applyAlignment="1">
      <alignment horizontal="center" vertical="center" wrapText="1"/>
      <protection/>
    </xf>
    <xf numFmtId="164" fontId="43" fillId="3" borderId="7" xfId="0" applyFont="1" applyFill="1" applyBorder="1" applyAlignment="1">
      <alignment horizontal="center" vertical="center" wrapText="1"/>
    </xf>
    <xf numFmtId="164" fontId="42" fillId="3" borderId="19" xfId="0" applyFont="1" applyFill="1" applyBorder="1" applyAlignment="1">
      <alignment horizontal="center" vertical="center"/>
    </xf>
    <xf numFmtId="164" fontId="42" fillId="3" borderId="26" xfId="0" applyFont="1" applyFill="1" applyBorder="1" applyAlignment="1">
      <alignment horizontal="center" vertical="center"/>
    </xf>
    <xf numFmtId="164" fontId="42" fillId="3" borderId="18" xfId="0" applyFont="1" applyFill="1" applyBorder="1" applyAlignment="1">
      <alignment horizontal="center" vertical="center"/>
    </xf>
    <xf numFmtId="164" fontId="62" fillId="3" borderId="19" xfId="0" applyFont="1" applyFill="1" applyBorder="1" applyAlignment="1">
      <alignment horizontal="center" vertical="center" wrapText="1"/>
    </xf>
    <xf numFmtId="164" fontId="62" fillId="3" borderId="18" xfId="0" applyFont="1" applyFill="1" applyBorder="1" applyAlignment="1">
      <alignment horizontal="center" vertical="center" wrapText="1"/>
    </xf>
    <xf numFmtId="164" fontId="62" fillId="3" borderId="26" xfId="0" applyFont="1" applyFill="1" applyBorder="1" applyAlignment="1">
      <alignment horizontal="center" vertical="center" wrapText="1"/>
    </xf>
    <xf numFmtId="0" fontId="42" fillId="3" borderId="19" xfId="33" applyFont="1" applyFill="1" applyBorder="1" applyAlignment="1">
      <alignment horizontal="center" vertical="center" wrapText="1"/>
      <protection/>
    </xf>
    <xf numFmtId="0" fontId="42" fillId="3" borderId="26" xfId="33" applyFont="1" applyFill="1" applyBorder="1" applyAlignment="1">
      <alignment horizontal="center" vertical="center" wrapText="1"/>
      <protection/>
    </xf>
    <xf numFmtId="0" fontId="42" fillId="3" borderId="18" xfId="33" applyFont="1" applyFill="1" applyBorder="1" applyAlignment="1">
      <alignment horizontal="center" vertical="center" wrapText="1"/>
      <protection/>
    </xf>
    <xf numFmtId="164" fontId="42" fillId="3" borderId="45" xfId="0" applyFont="1" applyFill="1" applyBorder="1" applyAlignment="1">
      <alignment horizontal="center" vertical="center" wrapText="1"/>
    </xf>
    <xf numFmtId="164" fontId="42" fillId="3" borderId="0" xfId="0" applyFont="1" applyFill="1" applyBorder="1" applyAlignment="1">
      <alignment horizontal="center" vertical="center" wrapText="1"/>
    </xf>
  </cellXfs>
  <cellStyles count="22">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alculations" xfId="27"/>
    <cellStyle name="Normal_CIPM Air Density" xfId="28"/>
    <cellStyle name="Normal_Data Entry Sheet" xfId="29"/>
    <cellStyle name="Normal_GravCal" xfId="30"/>
    <cellStyle name="Normal_Gravimetric Uncertainty Analysis" xfId="31"/>
    <cellStyle name="Normal_kragten2298" xfId="32"/>
    <cellStyle name="Normal_UncRounding_GH" xfId="33"/>
    <cellStyle name="Percent" xfId="34"/>
    <cellStyle name="Total" xfId="35"/>
  </cellStyles>
  <dxfs count="8">
    <dxf>
      <font>
        <b/>
        <i val="0"/>
        <color rgb="FFFF0000"/>
      </font>
      <border/>
    </dxf>
    <dxf>
      <font>
        <color rgb="FFFFFFFF"/>
      </font>
      <fill>
        <patternFill>
          <bgColor rgb="FFFFFFFF"/>
        </patternFill>
      </fill>
      <border/>
    </dxf>
    <dxf>
      <font>
        <color auto="1"/>
      </font>
      <fill>
        <patternFill>
          <bgColor rgb="FFEAEAEA"/>
        </patternFill>
      </fill>
      <border/>
    </dxf>
    <dxf>
      <fill>
        <patternFill>
          <bgColor rgb="FFCCFFFF"/>
        </patternFill>
      </fill>
      <border/>
    </dxf>
    <dxf>
      <font>
        <b/>
        <i/>
        <strike val="0"/>
        <color rgb="FFFFFFFF"/>
      </font>
      <fill>
        <patternFill>
          <bgColor rgb="FFFF0000"/>
        </patternFill>
      </fill>
      <border/>
    </dxf>
    <dxf>
      <font>
        <b/>
        <i/>
        <strike val="0"/>
        <color rgb="FFFFFFFF"/>
      </font>
      <fill>
        <patternFill>
          <bgColor rgb="FF008000"/>
        </patternFill>
      </fill>
      <border/>
    </dxf>
    <dxf>
      <font>
        <color rgb="FFFFFFFF"/>
      </font>
      <fill>
        <patternFill>
          <bgColor rgb="FFFF0000"/>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
          <c:w val="0.8875"/>
          <c:h val="0.96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('Uncertainty Analysis'!$C$106:$G$106,'Uncertainty Analysis'!$K$106:$N$106)</c:f>
              <c:strCache>
                <c:ptCount val="9"/>
                <c:pt idx="0">
                  <c:v>u(Ms1)</c:v>
                </c:pt>
                <c:pt idx="1">
                  <c:v>u(ρs1)</c:v>
                </c:pt>
                <c:pt idx="2">
                  <c:v>u(Ms2)</c:v>
                </c:pt>
                <c:pt idx="3">
                  <c:v>u(ρs2)</c:v>
                </c:pt>
                <c:pt idx="4">
                  <c:v>u(O1 (sp))</c:v>
                </c:pt>
                <c:pt idx="5">
                  <c:v>u(ρa)</c:v>
                </c:pt>
                <c:pt idx="6">
                  <c:v>u(ρw)</c:v>
                </c:pt>
                <c:pt idx="7">
                  <c:v>u(α)</c:v>
                </c:pt>
                <c:pt idx="8">
                  <c:v>u(tw)</c:v>
                </c:pt>
              </c:strCache>
            </c:strRef>
          </c:cat>
          <c:val>
            <c:numRef>
              <c:f>('Uncertainty Analysis'!$C$126:$G$126,'Uncertainty Analysis'!$K$126:$N$126)</c:f>
              <c:numCache>
                <c:ptCount val="9"/>
                <c:pt idx="0">
                  <c:v>0</c:v>
                </c:pt>
                <c:pt idx="1">
                  <c:v>0</c:v>
                </c:pt>
                <c:pt idx="2">
                  <c:v>0</c:v>
                </c:pt>
                <c:pt idx="3">
                  <c:v>0</c:v>
                </c:pt>
                <c:pt idx="4">
                  <c:v>0</c:v>
                </c:pt>
                <c:pt idx="5">
                  <c:v>0</c:v>
                </c:pt>
                <c:pt idx="6">
                  <c:v>0</c:v>
                </c:pt>
                <c:pt idx="7">
                  <c:v>0</c:v>
                </c:pt>
                <c:pt idx="8">
                  <c:v>0</c:v>
                </c:pt>
              </c:numCache>
            </c:numRef>
          </c:val>
        </c:ser>
        <c:axId val="20367449"/>
        <c:axId val="49089314"/>
      </c:barChart>
      <c:catAx>
        <c:axId val="20367449"/>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49089314"/>
        <c:crosses val="autoZero"/>
        <c:auto val="1"/>
        <c:lblOffset val="100"/>
        <c:noMultiLvlLbl val="0"/>
      </c:catAx>
      <c:valAx>
        <c:axId val="49089314"/>
        <c:scaling>
          <c:orientation val="minMax"/>
          <c:max val="1"/>
        </c:scaling>
        <c:axPos val="l"/>
        <c:majorGridlines/>
        <c:delete val="0"/>
        <c:numFmt formatCode="General" sourceLinked="1"/>
        <c:majorTickMark val="out"/>
        <c:minorTickMark val="none"/>
        <c:tickLblPos val="nextTo"/>
        <c:txPr>
          <a:bodyPr/>
          <a:lstStyle/>
          <a:p>
            <a:pPr>
              <a:defRPr lang="en-US" cap="none" sz="1200" b="0" i="0" u="none" baseline="0"/>
            </a:pPr>
          </a:p>
        </c:txPr>
        <c:crossAx val="20367449"/>
        <c:crossesAt val="1"/>
        <c:crossBetween val="between"/>
        <c:dispUnits/>
        <c:minorUnit val="0.02"/>
      </c:valAx>
      <c:spPr>
        <a:solidFill>
          <a:srgbClr val="EAEAEA"/>
        </a:solidFill>
        <a:ln w="12700">
          <a:solidFill>
            <a:srgbClr val="808080"/>
          </a:solidFill>
        </a:ln>
      </c:spPr>
    </c:plotArea>
    <c:plotVisOnly val="1"/>
    <c:dispBlanksAs val="gap"/>
    <c:showDLblsOverMax val="0"/>
  </c:chart>
  <c:txPr>
    <a:bodyPr vert="horz" rot="0"/>
    <a:lstStyle/>
    <a:p>
      <a:pPr>
        <a:defRPr lang="en-US" cap="none" sz="14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4325"/>
          <c:w val="0.9725"/>
          <c:h val="0.92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('Uncertainty Analysis'!$C$50:$E$50,'Uncertainty Analysis'!$H$50:$K$50)</c:f>
              <c:strCache>
                <c:ptCount val="7"/>
                <c:pt idx="0">
                  <c:v>u(Ms)</c:v>
                </c:pt>
                <c:pt idx="1">
                  <c:v>u(ρs)</c:v>
                </c:pt>
                <c:pt idx="2">
                  <c:v>u(O1 (sp))</c:v>
                </c:pt>
                <c:pt idx="3">
                  <c:v>u(ρa)</c:v>
                </c:pt>
                <c:pt idx="4">
                  <c:v>u(ρw)</c:v>
                </c:pt>
                <c:pt idx="5">
                  <c:v>u(α)</c:v>
                </c:pt>
                <c:pt idx="6">
                  <c:v>u(tw)</c:v>
                </c:pt>
              </c:strCache>
            </c:strRef>
          </c:cat>
          <c:val>
            <c:numRef>
              <c:f>('Uncertainty Analysis'!$C$67:$E$67,'Uncertainty Analysis'!$H$67:$K$67)</c:f>
              <c:numCache>
                <c:ptCount val="7"/>
                <c:pt idx="0">
                  <c:v>0</c:v>
                </c:pt>
                <c:pt idx="1">
                  <c:v>0</c:v>
                </c:pt>
                <c:pt idx="2">
                  <c:v>0</c:v>
                </c:pt>
                <c:pt idx="3">
                  <c:v>0</c:v>
                </c:pt>
                <c:pt idx="4">
                  <c:v>0</c:v>
                </c:pt>
                <c:pt idx="5">
                  <c:v>0</c:v>
                </c:pt>
                <c:pt idx="6">
                  <c:v>0</c:v>
                </c:pt>
              </c:numCache>
            </c:numRef>
          </c:val>
        </c:ser>
        <c:axId val="39150643"/>
        <c:axId val="16811468"/>
      </c:barChart>
      <c:catAx>
        <c:axId val="39150643"/>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16811468"/>
        <c:crosses val="autoZero"/>
        <c:auto val="1"/>
        <c:lblOffset val="100"/>
        <c:noMultiLvlLbl val="0"/>
      </c:catAx>
      <c:valAx>
        <c:axId val="16811468"/>
        <c:scaling>
          <c:orientation val="minMax"/>
          <c:max val="1"/>
        </c:scaling>
        <c:axPos val="l"/>
        <c:majorGridlines/>
        <c:delete val="0"/>
        <c:numFmt formatCode="General" sourceLinked="1"/>
        <c:majorTickMark val="out"/>
        <c:minorTickMark val="none"/>
        <c:tickLblPos val="nextTo"/>
        <c:txPr>
          <a:bodyPr/>
          <a:lstStyle/>
          <a:p>
            <a:pPr>
              <a:defRPr lang="en-US" cap="none" sz="1200" b="0" i="0" u="none" baseline="0"/>
            </a:pPr>
          </a:p>
        </c:txPr>
        <c:crossAx val="39150643"/>
        <c:crossesAt val="1"/>
        <c:crossBetween val="between"/>
        <c:dispUnits/>
        <c:minorUnit val="0.02"/>
      </c:valAx>
      <c:spPr>
        <a:solidFill>
          <a:srgbClr val="EAEAEA"/>
        </a:solidFill>
        <a:ln w="12700">
          <a:solidFill>
            <a:srgbClr val="808080"/>
          </a:solidFill>
        </a:ln>
      </c:spPr>
    </c:plotArea>
    <c:plotVisOnly val="1"/>
    <c:dispBlanksAs val="gap"/>
    <c:showDLblsOverMax val="0"/>
  </c:chart>
  <c:txPr>
    <a:bodyPr vert="horz" rot="0"/>
    <a:lstStyle/>
    <a:p>
      <a:pPr>
        <a:defRPr lang="en-US" cap="none" sz="1425" b="0" i="0" u="none" baseline="0"/>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66675</xdr:rowOff>
    </xdr:from>
    <xdr:ext cx="6286500" cy="1685925"/>
    <xdr:sp>
      <xdr:nvSpPr>
        <xdr:cNvPr id="1" name="Rectangle 6"/>
        <xdr:cNvSpPr>
          <a:spLocks/>
        </xdr:cNvSpPr>
      </xdr:nvSpPr>
      <xdr:spPr>
        <a:xfrm>
          <a:off x="85725" y="514350"/>
          <a:ext cx="6286500" cy="16859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This workbook was developed by Dan Wright, Washington State Department of Agriculture Metrology Laboratory, and updated February 2007. It follows the procedure documented in NIST HB 145, SOP 14. NIST/WMD has evaluated this spreadsheet and provided useful feedback in its development.</a:t>
          </a:r>
        </a:p>
      </xdr:txBody>
    </xdr:sp>
    <xdr:clientData/>
  </xdr:oneCellAnchor>
  <xdr:oneCellAnchor>
    <xdr:from>
      <xdr:col>0</xdr:col>
      <xdr:colOff>85725</xdr:colOff>
      <xdr:row>4</xdr:row>
      <xdr:rowOff>47625</xdr:rowOff>
    </xdr:from>
    <xdr:ext cx="6286500" cy="904875"/>
    <xdr:sp>
      <xdr:nvSpPr>
        <xdr:cNvPr id="2" name="Rectangle 7"/>
        <xdr:cNvSpPr>
          <a:spLocks/>
        </xdr:cNvSpPr>
      </xdr:nvSpPr>
      <xdr:spPr>
        <a:xfrm>
          <a:off x="85725" y="2486025"/>
          <a:ext cx="6286500" cy="9048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You can modify this workbook for your own laboratory. However, insure you verify and validate in-accordance-with your quality system requirements.</a:t>
          </a:r>
        </a:p>
      </xdr:txBody>
    </xdr:sp>
    <xdr:clientData/>
  </xdr:oneCellAnchor>
  <xdr:oneCellAnchor>
    <xdr:from>
      <xdr:col>0</xdr:col>
      <xdr:colOff>85725</xdr:colOff>
      <xdr:row>6</xdr:row>
      <xdr:rowOff>47625</xdr:rowOff>
    </xdr:from>
    <xdr:ext cx="6286500" cy="1200150"/>
    <xdr:sp>
      <xdr:nvSpPr>
        <xdr:cNvPr id="3" name="Rectangle 8"/>
        <xdr:cNvSpPr>
          <a:spLocks/>
        </xdr:cNvSpPr>
      </xdr:nvSpPr>
      <xdr:spPr>
        <a:xfrm>
          <a:off x="85725" y="3676650"/>
          <a:ext cx="6286500" cy="12001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The workbook and all individual worksheets are password protected. The default password is </a:t>
          </a:r>
          <a:r>
            <a:rPr lang="en-US" cap="none" sz="1400" b="1" i="1" u="none" baseline="0">
              <a:solidFill>
                <a:srgbClr val="FF0000"/>
              </a:solidFill>
            </a:rPr>
            <a:t>metrology</a:t>
          </a:r>
          <a:r>
            <a:rPr lang="en-US" cap="none" sz="1400" b="1" i="0" u="none" baseline="0"/>
            <a:t>. After you modify any of the worksheets, be sure to apply a password to all worksheets and the workbook. </a:t>
          </a:r>
          <a:r>
            <a:rPr lang="en-US" cap="none" sz="1400" b="1" i="1" u="none" baseline="0">
              <a:solidFill>
                <a:srgbClr val="993300"/>
              </a:solidFill>
            </a:rPr>
            <a:t>(Don’t forget your password!)</a:t>
          </a:r>
        </a:p>
      </xdr:txBody>
    </xdr:sp>
    <xdr:clientData/>
  </xdr:oneCellAnchor>
  <xdr:oneCellAnchor>
    <xdr:from>
      <xdr:col>0</xdr:col>
      <xdr:colOff>85725</xdr:colOff>
      <xdr:row>10</xdr:row>
      <xdr:rowOff>47625</xdr:rowOff>
    </xdr:from>
    <xdr:ext cx="6286500" cy="714375"/>
    <xdr:sp>
      <xdr:nvSpPr>
        <xdr:cNvPr id="4" name="Rectangle 9"/>
        <xdr:cNvSpPr>
          <a:spLocks/>
        </xdr:cNvSpPr>
      </xdr:nvSpPr>
      <xdr:spPr>
        <a:xfrm>
          <a:off x="85725" y="6115050"/>
          <a:ext cx="6286500" cy="7143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solidFill>
                <a:srgbClr val="333399"/>
              </a:solidFill>
            </a:rPr>
            <a:t>        </a:t>
          </a:r>
          <a:r>
            <a:rPr lang="en-US" cap="none" sz="1400" b="1" i="0" u="none" baseline="0"/>
            <a:t>Please contact me if you need help, have any recommends or find  any suspected errors at: </a:t>
          </a:r>
          <a:r>
            <a:rPr lang="en-US" cap="none" sz="1400" b="1" i="1" u="none" baseline="0">
              <a:solidFill>
                <a:srgbClr val="333399"/>
              </a:solidFill>
            </a:rPr>
            <a:t>dwright@agr.wa.gov</a:t>
          </a:r>
        </a:p>
      </xdr:txBody>
    </xdr:sp>
    <xdr:clientData/>
  </xdr:oneCellAnchor>
  <xdr:oneCellAnchor>
    <xdr:from>
      <xdr:col>0</xdr:col>
      <xdr:colOff>85725</xdr:colOff>
      <xdr:row>8</xdr:row>
      <xdr:rowOff>47625</xdr:rowOff>
    </xdr:from>
    <xdr:ext cx="6286500" cy="666750"/>
    <xdr:sp>
      <xdr:nvSpPr>
        <xdr:cNvPr id="5" name="Rectangle 10"/>
        <xdr:cNvSpPr>
          <a:spLocks/>
        </xdr:cNvSpPr>
      </xdr:nvSpPr>
      <xdr:spPr>
        <a:xfrm>
          <a:off x="85725" y="5162550"/>
          <a:ext cx="6286500" cy="6667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Follow the instructions on the </a:t>
          </a:r>
          <a:r>
            <a:rPr lang="en-US" cap="none" sz="1400" b="1" i="1" u="none" baseline="0">
              <a:solidFill>
                <a:srgbClr val="993300"/>
              </a:solidFill>
            </a:rPr>
            <a:t>Standards</a:t>
          </a:r>
          <a:r>
            <a:rPr lang="en-US" cap="none" sz="1400" b="1" i="0" u="none" baseline="0"/>
            <a:t> worksheet to input your standards information.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56</xdr:row>
      <xdr:rowOff>190500</xdr:rowOff>
    </xdr:from>
    <xdr:to>
      <xdr:col>1</xdr:col>
      <xdr:colOff>428625</xdr:colOff>
      <xdr:row>56</xdr:row>
      <xdr:rowOff>190500</xdr:rowOff>
    </xdr:to>
    <xdr:sp>
      <xdr:nvSpPr>
        <xdr:cNvPr id="1" name="Line 4"/>
        <xdr:cNvSpPr>
          <a:spLocks/>
        </xdr:cNvSpPr>
      </xdr:nvSpPr>
      <xdr:spPr>
        <a:xfrm>
          <a:off x="76200" y="1534477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29</xdr:row>
      <xdr:rowOff>171450</xdr:rowOff>
    </xdr:from>
    <xdr:to>
      <xdr:col>8</xdr:col>
      <xdr:colOff>104775</xdr:colOff>
      <xdr:row>39</xdr:row>
      <xdr:rowOff>0</xdr:rowOff>
    </xdr:to>
    <xdr:sp>
      <xdr:nvSpPr>
        <xdr:cNvPr id="1" name="Comment 111" hidden="1"/>
        <xdr:cNvSpPr>
          <a:spLocks/>
        </xdr:cNvSpPr>
      </xdr:nvSpPr>
      <xdr:spPr>
        <a:xfrm>
          <a:off x="2343150" y="6238875"/>
          <a:ext cx="3152775" cy="1971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993366"/>
              </a:solidFill>
            </a:rPr>
            <a:t>H1 - Humidity Probe SN: V3530001
H2 - Hygrometer SN: Q084229
H3 - Hygrometer SN: Q080537
P1 - Barometer SN: V3530001
P2 - Barometer SN: Y3250001
T1 - Digital Thermometer SN: 86270053
T2 - Temperature Probe SN: V3530001
T3 - Themometer, Liquid-in-Glass SN: 1V9658
T4 - Themometer, Liquid-in-Glass SN: 1V9649</a:t>
          </a:r>
        </a:p>
      </xdr:txBody>
    </xdr:sp>
    <xdr:clientData/>
  </xdr:twoCellAnchor>
  <xdr:twoCellAnchor editAs="absolute">
    <xdr:from>
      <xdr:col>2</xdr:col>
      <xdr:colOff>142875</xdr:colOff>
      <xdr:row>25</xdr:row>
      <xdr:rowOff>114300</xdr:rowOff>
    </xdr:from>
    <xdr:to>
      <xdr:col>5</xdr:col>
      <xdr:colOff>371475</xdr:colOff>
      <xdr:row>39</xdr:row>
      <xdr:rowOff>57150</xdr:rowOff>
    </xdr:to>
    <xdr:sp>
      <xdr:nvSpPr>
        <xdr:cNvPr id="2" name="Comment 122" hidden="1"/>
        <xdr:cNvSpPr>
          <a:spLocks/>
        </xdr:cNvSpPr>
      </xdr:nvSpPr>
      <xdr:spPr>
        <a:xfrm>
          <a:off x="1476375" y="4972050"/>
          <a:ext cx="2228850" cy="3295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993366"/>
              </a:solidFill>
            </a:rPr>
            <a:t>A31 - 10 kg            W13 - 1 g
A32 - 20 kg            W14 - 2 g
A33 - 30 kg            W15 - 3 g
W01 - 1 mg            W16 - 5 g
W02 - 2 mg            W17 - 10 g
W03 - 3 mg            W18 - 20 g
W04 - 5 mg            W19 - 30 g
W05 - 10 mg          W20 - 50 g
W06 - 20 mg          W21 - 100 g
W07 - 30 mg          W22 - 200 g
W08 - 50 mg          W23 - 300 g
W09 - 100 mg        W24 - 500 g
W10 - 200 mg        W25 - 1 kg
W11 - 300 mg        W26 - 2 kg
W12 - 500 mg        W27 - 3 kg
                              W28 - 5 kg
</a:t>
          </a:r>
        </a:p>
      </xdr:txBody>
    </xdr:sp>
    <xdr:clientData/>
  </xdr:twoCellAnchor>
  <xdr:twoCellAnchor editAs="absolute">
    <xdr:from>
      <xdr:col>2</xdr:col>
      <xdr:colOff>142875</xdr:colOff>
      <xdr:row>18</xdr:row>
      <xdr:rowOff>104775</xdr:rowOff>
    </xdr:from>
    <xdr:to>
      <xdr:col>4</xdr:col>
      <xdr:colOff>390525</xdr:colOff>
      <xdr:row>23</xdr:row>
      <xdr:rowOff>38100</xdr:rowOff>
    </xdr:to>
    <xdr:sp>
      <xdr:nvSpPr>
        <xdr:cNvPr id="3" name="Comment 170" hidden="1"/>
        <xdr:cNvSpPr>
          <a:spLocks/>
        </xdr:cNvSpPr>
      </xdr:nvSpPr>
      <xdr:spPr>
        <a:xfrm>
          <a:off x="1476375" y="3609975"/>
          <a:ext cx="1581150" cy="9334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993366"/>
              </a:solidFill>
            </a:rPr>
            <a:t>M3 - Mettler AT201
S1 - Sartorius CC50000 
S4 - Sartorius CC30002
S5 - Sartorius CC5001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130</xdr:row>
      <xdr:rowOff>66675</xdr:rowOff>
    </xdr:from>
    <xdr:to>
      <xdr:col>10</xdr:col>
      <xdr:colOff>847725</xdr:colOff>
      <xdr:row>145</xdr:row>
      <xdr:rowOff>219075</xdr:rowOff>
    </xdr:to>
    <xdr:graphicFrame>
      <xdr:nvGraphicFramePr>
        <xdr:cNvPr id="1" name="Chart 17"/>
        <xdr:cNvGraphicFramePr/>
      </xdr:nvGraphicFramePr>
      <xdr:xfrm>
        <a:off x="9525" y="33375600"/>
        <a:ext cx="11410950" cy="3581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57150</xdr:rowOff>
    </xdr:from>
    <xdr:to>
      <xdr:col>10</xdr:col>
      <xdr:colOff>866775</xdr:colOff>
      <xdr:row>87</xdr:row>
      <xdr:rowOff>0</xdr:rowOff>
    </xdr:to>
    <xdr:graphicFrame>
      <xdr:nvGraphicFramePr>
        <xdr:cNvPr id="2" name="Chart 19"/>
        <xdr:cNvGraphicFramePr/>
      </xdr:nvGraphicFramePr>
      <xdr:xfrm>
        <a:off x="0" y="18135600"/>
        <a:ext cx="11439525" cy="36004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47625</xdr:rowOff>
    </xdr:from>
    <xdr:ext cx="11001375" cy="2152650"/>
    <xdr:sp>
      <xdr:nvSpPr>
        <xdr:cNvPr id="1" name="Rectangle 15"/>
        <xdr:cNvSpPr>
          <a:spLocks/>
        </xdr:cNvSpPr>
      </xdr:nvSpPr>
      <xdr:spPr>
        <a:xfrm>
          <a:off x="76200" y="447675"/>
          <a:ext cx="11001375" cy="2152650"/>
        </a:xfrm>
        <a:prstGeom prst="roundRect">
          <a:avLst/>
        </a:prstGeom>
        <a:solidFill>
          <a:srgbClr val="EAEAEA"/>
        </a:solidFill>
        <a:ln w="9525" cmpd="sng">
          <a:noFill/>
        </a:ln>
      </xdr:spPr>
      <xdr:txBody>
        <a:bodyPr vertOverflow="clip" wrap="square"/>
        <a:p>
          <a:pPr algn="l">
            <a:defRPr/>
          </a:pPr>
          <a:r>
            <a:rPr lang="en-US" cap="none" sz="1400" b="1" i="1" u="none" baseline="0"/>
            <a:t>To Change, Add, or Delete Information:</a:t>
          </a:r>
          <a:r>
            <a:rPr lang="en-US" cap="none" sz="1200" b="1" i="0" u="none" baseline="0"/>
            <a:t>
        a. Unprotect the worksheet (Select </a:t>
          </a:r>
          <a:r>
            <a:rPr lang="en-US" cap="none" sz="1200" b="1" i="1" u="none" baseline="0">
              <a:solidFill>
                <a:srgbClr val="FF0000"/>
              </a:solidFill>
            </a:rPr>
            <a:t>Tools,</a:t>
          </a:r>
          <a:r>
            <a:rPr lang="en-US" cap="none" sz="1200" b="1" i="0" u="none" baseline="0">
              <a:solidFill>
                <a:srgbClr val="FF0000"/>
              </a:solidFill>
            </a:rPr>
            <a:t> </a:t>
          </a:r>
          <a:r>
            <a:rPr lang="en-US" cap="none" sz="1200" b="1" i="1" u="none" baseline="0">
              <a:solidFill>
                <a:srgbClr val="FF0000"/>
              </a:solidFill>
            </a:rPr>
            <a:t>Protection,</a:t>
          </a:r>
          <a:r>
            <a:rPr lang="en-US" cap="none" sz="1200" b="1" i="0" u="none" baseline="0">
              <a:solidFill>
                <a:srgbClr val="FF0000"/>
              </a:solidFill>
            </a:rPr>
            <a:t> </a:t>
          </a:r>
          <a:r>
            <a:rPr lang="en-US" cap="none" sz="1200" b="1" i="1" u="none" baseline="0">
              <a:solidFill>
                <a:srgbClr val="FF0000"/>
              </a:solidFill>
            </a:rPr>
            <a:t>Unprotect sheet...</a:t>
          </a:r>
          <a:r>
            <a:rPr lang="en-US" cap="none" sz="1200" b="1" i="0" u="none" baseline="0">
              <a:solidFill>
                <a:srgbClr val="993300"/>
              </a:solidFill>
            </a:rPr>
            <a:t> </a:t>
          </a:r>
          <a:r>
            <a:rPr lang="en-US" cap="none" sz="1200" b="1" i="0" u="none" baseline="0"/>
            <a:t>enter password and select the </a:t>
          </a:r>
          <a:r>
            <a:rPr lang="en-US" cap="none" sz="1200" b="1" i="1" u="none" baseline="0">
              <a:solidFill>
                <a:srgbClr val="FF0000"/>
              </a:solidFill>
            </a:rPr>
            <a:t>OK</a:t>
          </a:r>
          <a:r>
            <a:rPr lang="en-US" cap="none" sz="1200" b="1" i="0" u="none" baseline="0"/>
            <a:t> button).
                1. To change a standards information place the curser anywhere in the desired standards list and make any necessary changes.
                2. To add a standard, place the curser anywhere in the desired standards list. Enter the new standard on the line with the </a:t>
          </a:r>
          <a:r>
            <a:rPr lang="en-US" cap="none" sz="1200" b="1" i="0" u="none" baseline="0">
              <a:solidFill>
                <a:srgbClr val="993366"/>
              </a:solidFill>
            </a:rPr>
            <a:t>*</a:t>
          </a:r>
          <a:r>
            <a:rPr lang="en-US" cap="none" sz="1200" b="1" i="0" u="none" baseline="0"/>
            <a:t>.
                3. To delete a standard just highlight the row that contains the standard and select </a:t>
          </a:r>
          <a:r>
            <a:rPr lang="en-US" cap="none" sz="1200" b="1" i="1" u="none" baseline="0">
              <a:solidFill>
                <a:srgbClr val="FF0000"/>
              </a:solidFill>
            </a:rPr>
            <a:t>Edit, Delete</a:t>
          </a:r>
          <a:r>
            <a:rPr lang="en-US" cap="none" sz="1200" b="1" i="0" u="none" baseline="0"/>
            <a:t>. 
                4. After entering or deleting standards, click on the arrow in the ID Code block and sort the list in ascending order.      
        </a:t>
          </a:r>
          <a:r>
            <a:rPr lang="en-US" cap="none" sz="1200" b="1" i="1" u="none" baseline="0">
              <a:solidFill>
                <a:srgbClr val="FF0000"/>
              </a:solidFill>
            </a:rPr>
            <a:t>Note: The tables must be sorted by the ID Code in ascending order for the vlookup function to work properly in the formulas!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ST%20HB%20145,%20SOP%2021%20-%20LPG%20Provers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an%20Wright\My%20Documents\WSDA%20Metrology%20Laboratory\Uncertainties\Budgets\GravC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wright\My%20Documents\WSDA%20Metrology%20Laboratory\Templates\WAMRF%20-%20Measurement%20Related\Uncertainties\GravC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45LPG"/>
      <sheetName val="Current"/>
      <sheetName val="Pcorr Table &amp; Chart"/>
    </sheetNames>
    <sheetDataSet>
      <sheetData sheetId="0">
        <row r="67">
          <cell r="F67">
            <v>1</v>
          </cell>
        </row>
        <row r="99">
          <cell r="G99">
            <v>0</v>
          </cell>
          <cell r="I99">
            <v>0</v>
          </cell>
          <cell r="J99" t="e">
            <v>#VALUE!</v>
          </cell>
        </row>
        <row r="100">
          <cell r="G100">
            <v>10</v>
          </cell>
          <cell r="I100">
            <v>0</v>
          </cell>
          <cell r="J100" t="e">
            <v>#VALUE!</v>
          </cell>
        </row>
        <row r="101">
          <cell r="G101">
            <v>20</v>
          </cell>
          <cell r="I101">
            <v>0</v>
          </cell>
          <cell r="J101" t="e">
            <v>#VALUE!</v>
          </cell>
        </row>
        <row r="102">
          <cell r="G102">
            <v>30</v>
          </cell>
          <cell r="I102">
            <v>0</v>
          </cell>
          <cell r="J102" t="e">
            <v>#VALUE!</v>
          </cell>
        </row>
        <row r="103">
          <cell r="G103">
            <v>40</v>
          </cell>
          <cell r="I103">
            <v>0</v>
          </cell>
          <cell r="J103" t="e">
            <v>#VALUE!</v>
          </cell>
        </row>
        <row r="104">
          <cell r="G104">
            <v>50</v>
          </cell>
          <cell r="I104">
            <v>0</v>
          </cell>
          <cell r="J104" t="e">
            <v>#VALUE!</v>
          </cell>
        </row>
        <row r="105">
          <cell r="G105">
            <v>60</v>
          </cell>
          <cell r="I105">
            <v>0</v>
          </cell>
          <cell r="J105" t="e">
            <v>#VALUE!</v>
          </cell>
        </row>
        <row r="106">
          <cell r="G106">
            <v>70</v>
          </cell>
          <cell r="I106">
            <v>0</v>
          </cell>
          <cell r="J106" t="e">
            <v>#VALUE!</v>
          </cell>
        </row>
        <row r="107">
          <cell r="G107">
            <v>80</v>
          </cell>
          <cell r="I107">
            <v>0</v>
          </cell>
          <cell r="J107" t="e">
            <v>#VALUE!</v>
          </cell>
        </row>
        <row r="108">
          <cell r="G108">
            <v>90</v>
          </cell>
          <cell r="I108">
            <v>0</v>
          </cell>
          <cell r="J108" t="e">
            <v>#VALUE!</v>
          </cell>
        </row>
        <row r="109">
          <cell r="G109">
            <v>100</v>
          </cell>
          <cell r="I109">
            <v>0</v>
          </cell>
          <cell r="J109" t="e">
            <v>#VALUE!</v>
          </cell>
        </row>
        <row r="110">
          <cell r="G110">
            <v>110</v>
          </cell>
          <cell r="I110">
            <v>0</v>
          </cell>
          <cell r="J110" t="e">
            <v>#VALUE!</v>
          </cell>
        </row>
        <row r="111">
          <cell r="G111">
            <v>120</v>
          </cell>
          <cell r="I111">
            <v>0</v>
          </cell>
          <cell r="J111" t="e">
            <v>#VALUE!</v>
          </cell>
        </row>
        <row r="112">
          <cell r="G112">
            <v>130</v>
          </cell>
          <cell r="I112">
            <v>0</v>
          </cell>
          <cell r="J112" t="e">
            <v>#VALUE!</v>
          </cell>
        </row>
        <row r="113">
          <cell r="G113">
            <v>140</v>
          </cell>
          <cell r="I113">
            <v>0</v>
          </cell>
          <cell r="J113" t="e">
            <v>#VALUE!</v>
          </cell>
        </row>
        <row r="114">
          <cell r="G114">
            <v>150</v>
          </cell>
          <cell r="I114">
            <v>0</v>
          </cell>
          <cell r="J114" t="e">
            <v>#VALUE!</v>
          </cell>
        </row>
        <row r="115">
          <cell r="G115">
            <v>160</v>
          </cell>
          <cell r="I115">
            <v>0</v>
          </cell>
          <cell r="J115" t="e">
            <v>#VALUE!</v>
          </cell>
        </row>
        <row r="116">
          <cell r="G116">
            <v>170</v>
          </cell>
          <cell r="I116">
            <v>0</v>
          </cell>
          <cell r="J116" t="e">
            <v>#VALUE!</v>
          </cell>
        </row>
        <row r="117">
          <cell r="G117">
            <v>180</v>
          </cell>
          <cell r="I117">
            <v>0</v>
          </cell>
          <cell r="J117" t="e">
            <v>#VALUE!</v>
          </cell>
        </row>
        <row r="118">
          <cell r="G118">
            <v>190</v>
          </cell>
          <cell r="I118">
            <v>0</v>
          </cell>
          <cell r="J118"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tables/table1.xml><?xml version="1.0" encoding="utf-8"?>
<table xmlns="http://schemas.openxmlformats.org/spreadsheetml/2006/main" id="1" name="List1" displayName="List1" ref="A6:L7" totalsRowShown="0">
  <autoFilter ref="A6:L7"/>
  <tableColumns count="12">
    <tableColumn id="1" name="ID_x000A_Code"/>
    <tableColumn id="2" name="Description"/>
    <tableColumn id="3" name="Serial_x000A_Number"/>
    <tableColumn id="4" name="Nominal_x000A_Value_x000A_(gram)"/>
    <tableColumn id="5" name="True Mass Correction (mg)"/>
    <tableColumn id="6" name="Uncertainty_x000A_(mg)"/>
    <tableColumn id="7" name="k_x000A_factor"/>
    <tableColumn id="8" name="Density_x000A_(g/cm3)"/>
    <tableColumn id="9" name="Density_x000A_Uncertainty_x000A_k=1_x000A_(g/cm3)"/>
    <tableColumn id="10" name="Report_x000A_Number"/>
    <tableColumn id="11" name="Date_x000A_Calibrated"/>
    <tableColumn id="12" name="Date_x000A_Calibration_x000A_Due"/>
  </tableColumns>
  <tableStyleInfo showFirstColumn="0" showLastColumn="0" showRowStripes="1" showColumnStripes="0"/>
</table>
</file>

<file path=xl/tables/table2.xml><?xml version="1.0" encoding="utf-8"?>
<table xmlns="http://schemas.openxmlformats.org/spreadsheetml/2006/main" id="2" name="List2" displayName="List2" ref="A10:I11" totalsRowShown="0">
  <autoFilter ref="A10:I11"/>
  <tableColumns count="9">
    <tableColumn id="1" name="ID_x000A_Code"/>
    <tableColumn id="2" name="Description"/>
    <tableColumn id="3" name="Serial_x000A_Number"/>
    <tableColumn id="4" name="Correction"/>
    <tableColumn id="5" name="Accuracy"/>
    <tableColumn id="6" name="Units"/>
    <tableColumn id="7" name="Report_x000A_#"/>
    <tableColumn id="8" name="Cal_x000A_Date"/>
    <tableColumn id="9" name="Due_x000A_Date"/>
  </tableColumns>
  <tableStyleInfo showFirstColumn="0" showLastColumn="0" showRowStripes="1" showColumnStripes="0"/>
</table>
</file>

<file path=xl/tables/table3.xml><?xml version="1.0" encoding="utf-8"?>
<table xmlns="http://schemas.openxmlformats.org/spreadsheetml/2006/main" id="3" name="List3" displayName="List3" ref="A14:C15" totalsRowShown="0">
  <autoFilter ref="A14:C15"/>
  <tableColumns count="3">
    <tableColumn id="1" name="ID_x000A_Code"/>
    <tableColumn id="2" name="Balance"/>
    <tableColumn id="3" name="Unit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2.vml" /><Relationship Id="rId5" Type="http://schemas.openxmlformats.org/officeDocument/2006/relationships/drawing" Target="../drawings/drawing4.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sheetPr>
  <dimension ref="A1:H36"/>
  <sheetViews>
    <sheetView showGridLines="0" showZeros="0" showOutlineSymbols="0" zoomScale="91" zoomScaleNormal="91" workbookViewId="0" topLeftCell="A1">
      <selection activeCell="A1" sqref="A1"/>
    </sheetView>
  </sheetViews>
  <sheetFormatPr defaultColWidth="8.88671875" defaultRowHeight="15.75" zeroHeight="1"/>
  <cols>
    <col min="1" max="1" width="9.77734375" style="11" customWidth="1"/>
    <col min="2" max="8" width="9.77734375" style="0" customWidth="1"/>
    <col min="9" max="9" width="1.77734375" style="0" customWidth="1"/>
    <col min="10" max="16384" width="8.88671875" style="0" hidden="1" customWidth="1"/>
  </cols>
  <sheetData>
    <row r="1" spans="1:8" ht="19.5" thickBot="1">
      <c r="A1" s="114" t="s">
        <v>166</v>
      </c>
      <c r="B1" s="20"/>
      <c r="C1" s="20"/>
      <c r="D1" s="20"/>
      <c r="E1" s="20"/>
      <c r="F1" s="20"/>
      <c r="G1" s="20"/>
      <c r="H1" s="115">
        <f>IF(ISBLANK(RptNo),"","Report Number: "&amp;RptNo)</f>
      </c>
    </row>
    <row r="2" s="11" customFormat="1" ht="15.75"/>
    <row r="3" ht="141" customHeight="1"/>
    <row r="4" ht="15.75"/>
    <row r="5" ht="78" customHeight="1"/>
    <row r="6" ht="15.75"/>
    <row r="7" ht="101.25" customHeight="1"/>
    <row r="8" ht="15.75"/>
    <row r="9" s="11" customFormat="1" ht="59.25" customHeight="1"/>
    <row r="10" ht="15.75"/>
    <row r="11" ht="63" customHeight="1"/>
    <row r="12" ht="15.75"/>
    <row r="13" ht="15.75" hidden="1"/>
    <row r="14" ht="15.75" hidden="1"/>
    <row r="15" ht="15.75" hidden="1"/>
    <row r="16" s="11" customFormat="1" ht="15.75" hidden="1"/>
    <row r="17" ht="15.75" hidden="1"/>
    <row r="18" ht="15.75" hidden="1"/>
    <row r="19" ht="15.75" hidden="1"/>
    <row r="20" ht="15.75" hidden="1"/>
    <row r="21" ht="15.75" hidden="1"/>
    <row r="22" ht="15.75" hidden="1"/>
    <row r="23" s="11" customFormat="1" ht="15.75" hidden="1"/>
    <row r="24" ht="15.75" hidden="1"/>
    <row r="25" ht="15.75" hidden="1"/>
    <row r="26" ht="15.75" hidden="1"/>
    <row r="27" ht="15.75" hidden="1"/>
    <row r="28" s="11" customFormat="1" ht="15.75" hidden="1"/>
    <row r="29" ht="15.75" hidden="1"/>
    <row r="30" ht="15.75" hidden="1"/>
    <row r="31" ht="15.75" hidden="1"/>
    <row r="32" ht="15.75" hidden="1"/>
    <row r="33" s="11" customFormat="1" ht="15.75" hidden="1"/>
    <row r="34" ht="15.75" hidden="1">
      <c r="A34" s="12"/>
    </row>
    <row r="35" ht="15.75" hidden="1">
      <c r="A35" s="12"/>
    </row>
    <row r="36" ht="15.75" hidden="1">
      <c r="A36" s="12"/>
    </row>
  </sheetData>
  <sheetProtection password="FFED" sheet="1" objects="1" scenarios="1" selectLockedCells="1" selectUnlockedCells="1"/>
  <printOptions horizontalCentered="1"/>
  <pageMargins left="0.5" right="0.5" top="1.25" bottom="0.75" header="0.75" footer="0.5"/>
  <pageSetup cellComments="asDisplayed" horizontalDpi="600" verticalDpi="600" orientation="portrait" r:id="rId2"/>
  <headerFooter alignWithMargins="0">
    <oddHeader>&amp;L&amp;"Trebuchet MS,Regular"Gravimetric Calibration of Volumetric Ware
Using an Electronic Balance&amp;R&amp;"Trebuchet MS,Regular"WAMRF-005, Rev. 13, 2/5/2007</oddHeader>
    <oddFooter>&amp;L&amp;"Trebuchet MS,Regular"&amp;F&amp;R&amp;"Trebuchet MS,Regular"&amp;A Worksheet Page &amp;P of &amp;N</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G58"/>
  <sheetViews>
    <sheetView showGridLines="0" workbookViewId="0" topLeftCell="A1">
      <selection activeCell="A1" sqref="A1"/>
    </sheetView>
  </sheetViews>
  <sheetFormatPr defaultColWidth="8.88671875" defaultRowHeight="15.75" zeroHeight="1"/>
  <cols>
    <col min="1" max="5" width="15.77734375" style="5" customWidth="1"/>
    <col min="6" max="6" width="2.4453125" style="5" customWidth="1"/>
    <col min="7" max="8" width="9.77734375" style="5" hidden="1" customWidth="1"/>
    <col min="9" max="16384" width="0" style="5" hidden="1" customWidth="1"/>
  </cols>
  <sheetData>
    <row r="1" ht="25.5" customHeight="1">
      <c r="C1" s="13" t="s">
        <v>377</v>
      </c>
    </row>
    <row r="2" ht="18.75">
      <c r="C2" s="14" t="s">
        <v>378</v>
      </c>
    </row>
    <row r="3" spans="3:5" ht="15.75">
      <c r="C3" s="15" t="s">
        <v>379</v>
      </c>
      <c r="E3" s="345"/>
    </row>
    <row r="4" spans="3:7" ht="15.75">
      <c r="C4" s="68" t="s">
        <v>380</v>
      </c>
      <c r="E4" s="346"/>
      <c r="G4" s="16"/>
    </row>
    <row r="5" ht="12" customHeight="1"/>
    <row r="6" spans="1:5" ht="16.5" thickBot="1">
      <c r="A6" s="55"/>
      <c r="B6" s="55"/>
      <c r="C6" s="181" t="str">
        <f>"Report of Calibration #: "&amp;RptNo</f>
        <v>Report of Calibration #: </v>
      </c>
      <c r="D6" s="56"/>
      <c r="E6" s="55"/>
    </row>
    <row r="7" spans="1:5" ht="24" customHeight="1" thickTop="1">
      <c r="A7" s="17" t="str">
        <f>IF(ISBLANK(Cal_Date),"Calibration Date","Calibration Date: "&amp;TEXT(Cal_Date,"mmmm d, yyyy"))</f>
        <v>Calibration Date</v>
      </c>
      <c r="B7" s="57"/>
      <c r="C7" s="57"/>
      <c r="D7" s="57"/>
      <c r="E7" s="18" t="str">
        <f>IF(ISBLANK(Cal_Date),"Calibration Due Date",IF(IntervalQ="yes","Calibration Due Date: "&amp;TEXT(DATE(YEAR(Cal_Date),MONTH(Cal_Date)+Interval,DAY(Cal_Date)),"mmmm d, yyyy"),""))</f>
        <v>Calibration Due Date</v>
      </c>
    </row>
    <row r="8" spans="1:5" ht="24" customHeight="1" thickBot="1">
      <c r="A8" s="54" t="s">
        <v>59</v>
      </c>
      <c r="B8" s="60"/>
      <c r="C8" s="60"/>
      <c r="D8" s="60"/>
      <c r="E8" s="21"/>
    </row>
    <row r="9" spans="1:4" s="59" customFormat="1" ht="12.75">
      <c r="A9" s="58" t="str">
        <f>IF(ISBLANK(Description),"Test Item….…:","Test Item…….:  "&amp;Description)</f>
        <v>Test Item….…:</v>
      </c>
      <c r="B9" s="58"/>
      <c r="C9" s="58"/>
      <c r="D9" s="19" t="str">
        <f>IF(ISBLANK(MFG),"Manufacture...:","Manufacture...:  "&amp;MFG)</f>
        <v>Manufacture...:</v>
      </c>
    </row>
    <row r="10" spans="1:4" s="59" customFormat="1" ht="12.75">
      <c r="A10" s="58" t="str">
        <f>IF(ISBLANK(NomVal),"Volume…........:","Volume…........:  "&amp;NomVal&amp;" "&amp;VLOOKUP(NomValueUnit,VolTable,8))</f>
        <v>Volume…........:</v>
      </c>
      <c r="B10" s="58"/>
      <c r="C10" s="58"/>
      <c r="D10" s="19" t="str">
        <f>IF(ISBLANK(Material),"Material……....:","Material...…....:  "&amp;Material)</f>
        <v>Material……....:</v>
      </c>
    </row>
    <row r="11" spans="1:4" s="59" customFormat="1" ht="12.75">
      <c r="A11" s="58" t="str">
        <f>IF(ISBLANK(SN),"Serial Number.:","Serial Number.:  "&amp;SN)</f>
        <v>Serial Number.:</v>
      </c>
      <c r="B11" s="58"/>
      <c r="C11" s="58"/>
      <c r="D11" s="19" t="str">
        <f>IF(ISBLANK(TypeCal),"Delivery Type.:","Delivery Type.:  "&amp;TypeCal)</f>
        <v>Delivery Type.:</v>
      </c>
    </row>
    <row r="12" spans="1:5" s="59" customFormat="1" ht="12.75">
      <c r="A12" s="58" t="str">
        <f>IF(ISBLANK(WODate),"Date Received:","Date Received:  "&amp;TEXT(WODate,"mmmm d, yyyy"))</f>
        <v>Date Received:</v>
      </c>
      <c r="B12" s="58"/>
      <c r="C12" s="58"/>
      <c r="D12" s="58" t="str">
        <f>IF(ISBLANK(Spec),"Specification...:","Specification...:  "&amp;Spec)</f>
        <v>Specification...:</v>
      </c>
      <c r="E12" s="58"/>
    </row>
    <row r="13" spans="1:5" ht="24" customHeight="1" thickBot="1">
      <c r="A13" s="54" t="s">
        <v>60</v>
      </c>
      <c r="B13" s="60"/>
      <c r="C13" s="60"/>
      <c r="D13" s="60"/>
      <c r="E13" s="21"/>
    </row>
    <row r="14" spans="1:5" s="59" customFormat="1" ht="12.75">
      <c r="A14" s="347" t="str">
        <f>IF(ISBLANK(Bus.Name),"Name &amp; Address:",Bus.Name)</f>
        <v>Name &amp; Address:</v>
      </c>
      <c r="B14" s="348"/>
      <c r="C14" s="348"/>
      <c r="D14" s="58" t="str">
        <f>IF(ISBLANK(PO.Number),"Purchase Order #:","Purchase Order # :  "&amp;PO.Number)</f>
        <v>Purchase Order #:</v>
      </c>
      <c r="E14" s="58"/>
    </row>
    <row r="15" spans="1:5" s="59" customFormat="1" ht="12.75">
      <c r="A15" s="349"/>
      <c r="B15" s="349"/>
      <c r="C15" s="349"/>
      <c r="D15" s="58" t="str">
        <f>IF(ISBLANK(POC.Name),"Point of Contact..:","Point of Contact..:  "&amp;POC.Name)</f>
        <v>Point of Contact..:</v>
      </c>
      <c r="E15" s="58"/>
    </row>
    <row r="16" spans="1:5" s="59" customFormat="1" ht="12.75">
      <c r="A16" s="349"/>
      <c r="B16" s="349"/>
      <c r="C16" s="349"/>
      <c r="D16" s="351">
        <f>IF(ISBLANK(POC.Phone),"",POC.Phone)</f>
      </c>
      <c r="E16" s="351"/>
    </row>
    <row r="17" spans="1:5" s="59" customFormat="1" ht="12.75">
      <c r="A17" s="349"/>
      <c r="B17" s="349"/>
      <c r="C17" s="349"/>
      <c r="D17" s="58"/>
      <c r="E17" s="58"/>
    </row>
    <row r="18" spans="1:5" ht="24" customHeight="1" thickBot="1">
      <c r="A18" s="54" t="s">
        <v>61</v>
      </c>
      <c r="B18" s="54"/>
      <c r="C18" s="54"/>
      <c r="D18" s="54"/>
      <c r="E18" s="54"/>
    </row>
    <row r="19" spans="1:5" ht="15.75">
      <c r="A19" s="234" t="str">
        <f>"The "&amp;Description&amp;" was found "&amp;TypeCal&amp;" "&amp;Calculations!C37&amp;" "&amp;CHAR(177)&amp;" "&amp;Calculations!C38&amp;" "&amp;VLOOKUP(NomValueUnit,VolTable,8)&amp;" @ "&amp;RefTemp&amp;" "&amp;CHAR(186)&amp;IF(RefTempUnit="Reference Temperature (ºF)","F","C")</f>
        <v>The  was found   ±  gal @  ºF</v>
      </c>
      <c r="B19" s="234"/>
      <c r="C19" s="234"/>
      <c r="D19" s="234"/>
      <c r="E19" s="234"/>
    </row>
    <row r="20" spans="1:5" ht="24" customHeight="1">
      <c r="A20" s="22" t="s">
        <v>62</v>
      </c>
      <c r="B20" s="62"/>
      <c r="C20" s="62"/>
      <c r="D20" s="62"/>
      <c r="E20" s="10"/>
    </row>
    <row r="21" spans="1:5" ht="27.75" customHeight="1">
      <c r="A21" s="352" t="e">
        <f>IF(Description="Slicker Plate Standard","","●  The "&amp;Description&amp;" is considered in-tolerance when the error is equal to or less than the specified tolerance minus the
     measurement uncertainty. The Specification Tolerance for this "&amp;Description&amp;" is "&amp;CHAR(177)&amp;" "&amp;VLOOKUP(NomValueUnit,VolTable,7)&amp;" ("&amp;VLOOKUP(NomValueUnit,VolTable,8)&amp;").")</f>
        <v>#N/A</v>
      </c>
      <c r="B21" s="352"/>
      <c r="C21" s="352"/>
      <c r="D21" s="352"/>
      <c r="E21" s="352"/>
    </row>
    <row r="22" spans="1:5" ht="15.75">
      <c r="A22" s="237" t="e">
        <f>IF(Description="Slicker Plate Standard","",IF(Calculations!C29&lt;=ABS(Calculations!C30),"●  The "&amp;Description&amp;" was found 'In-Tolerance', the "&amp;Description&amp;" may be used in testing without a correction.","●  The "&amp;Description&amp;" was found 'Out-of-Tolerance', the user must use a correction for all testing."))</f>
        <v>#VALUE!</v>
      </c>
      <c r="B22" s="235"/>
      <c r="C22" s="235"/>
      <c r="D22" s="235"/>
      <c r="E22" s="236"/>
    </row>
    <row r="23" spans="1:5" ht="39.75" customHeight="1">
      <c r="A23" s="350">
        <f>IF(ISBLANK(TypeCal),"",IF(AND(TypeCal="To Deliver",OR(Description="Slicker Plate Standard",Description="Prover")),Slicker.Stmt,IF(AND(TypeCal="To Deliver",OR(Description="Graduated Cylinder",Description="Volumetric Flask",Description="Test Measure")),ToDeliver.Stmt,IF(TypeCal="To Contain",ToContain.Stmt))))</f>
      </c>
      <c r="B23" s="350"/>
      <c r="C23" s="350"/>
      <c r="D23" s="350"/>
      <c r="E23" s="350"/>
    </row>
    <row r="24" spans="1:5" ht="15.75">
      <c r="A24" s="344" t="s">
        <v>187</v>
      </c>
      <c r="B24" s="344"/>
      <c r="C24" s="344"/>
      <c r="D24" s="344"/>
      <c r="E24" s="344"/>
    </row>
    <row r="25" spans="1:5" ht="24" customHeight="1" thickBot="1">
      <c r="A25" s="54" t="s">
        <v>63</v>
      </c>
      <c r="B25" s="60"/>
      <c r="C25" s="60"/>
      <c r="D25" s="60"/>
      <c r="E25" s="21"/>
    </row>
    <row r="26" spans="1:5" s="59" customFormat="1" ht="12.75">
      <c r="A26" s="58" t="str">
        <f>IF(ISBLANK(Tech),"Technician….….…....:","Technician…..……....:  "&amp;Tech)</f>
        <v>Technician….….…....:</v>
      </c>
      <c r="B26" s="58"/>
      <c r="D26" s="58"/>
      <c r="E26" s="63" t="s">
        <v>186</v>
      </c>
    </row>
    <row r="27" spans="1:5" s="59" customFormat="1" ht="12.75">
      <c r="A27" s="355" t="str">
        <f>IF(ISBLANK(Condition),"Condition of Artifact:","Condition of Artifact:  "&amp;Condition)</f>
        <v>Condition of Artifact:</v>
      </c>
      <c r="B27" s="355"/>
      <c r="C27" s="355"/>
      <c r="D27" s="355"/>
      <c r="E27" s="355"/>
    </row>
    <row r="28" spans="1:5" ht="15.75">
      <c r="A28" s="58" t="str">
        <f>IF(ISBLANK(t_air1_start),"Temperature…..….....:","Temperature…..….....:  "&amp;FIXED(AVERAGE(t_air1_start,t_air1_end,t_air2_start,t_air2_end),1)&amp;" "&amp;CHAR(186)&amp;"C")</f>
        <v>Temperature…..….....:</v>
      </c>
      <c r="B28" s="61"/>
      <c r="C28" s="53" t="str">
        <f>IF(ISBLANK(P_1_start),"Pressure","Pressure:  "&amp;FIXED(AVERAGE(P_1_start,P_1_end,P_2_start,P_2_end),1)&amp;" mm Hg")</f>
        <v>Pressure</v>
      </c>
      <c r="D28" s="61"/>
      <c r="E28" s="63" t="str">
        <f>IF(ISBLANK(P_1_start),"Humidity:","Humidity:  "&amp;FIXED(AVERAGE(U_1_start,U_1_end,U_2_start,U_2_end),1)&amp;" % RH")</f>
        <v>Humidity:</v>
      </c>
    </row>
    <row r="29" spans="1:5" ht="15.75">
      <c r="A29" s="19" t="str">
        <f>IF(ISBLANK(tw1),"Water Temperature...:","Water Temperature...:  "&amp;FIXED(AVERAGE(tw1,tw2),1)&amp;" "&amp;CHAR(186)&amp;"C")</f>
        <v>Water Temperature...:</v>
      </c>
      <c r="B29" s="61"/>
      <c r="C29" s="53"/>
      <c r="D29" s="61"/>
      <c r="E29" s="63"/>
    </row>
    <row r="30" spans="1:5" ht="24" customHeight="1">
      <c r="A30" s="22" t="s">
        <v>159</v>
      </c>
      <c r="B30" s="23"/>
      <c r="C30" s="23"/>
      <c r="D30" s="23"/>
      <c r="E30" s="23"/>
    </row>
    <row r="31" spans="1:5" ht="15.75">
      <c r="A31" s="24" t="s">
        <v>12</v>
      </c>
      <c r="B31" s="112" t="s">
        <v>3</v>
      </c>
      <c r="C31" s="112" t="s">
        <v>20</v>
      </c>
      <c r="D31" s="112" t="s">
        <v>64</v>
      </c>
      <c r="E31" s="112" t="s">
        <v>65</v>
      </c>
    </row>
    <row r="32" spans="1:5" ht="15.75">
      <c r="A32" s="25">
        <f>IF(ISBLANK('Data Entry'!$B$28),"",VLOOKUP('Data Entry'!B28,Stds.Table,2))</f>
      </c>
      <c r="B32" s="102">
        <f>IF(ISBLANK('Data Entry'!B28),"",VLOOKUP('Data Entry'!B28,Stds.Table,3))</f>
      </c>
      <c r="C32" s="102">
        <f>IF(ISBLANK('Data Entry'!B28),"",VLOOKUP('Data Entry'!B28,Stds.Table,10))</f>
      </c>
      <c r="D32" s="103">
        <f>IF(ISBLANK('Data Entry'!B28),"",VLOOKUP('Data Entry'!B28,Stds.Table,11))</f>
      </c>
      <c r="E32" s="103">
        <f>IF(ISBLANK('Data Entry'!B28),"",VLOOKUP('Data Entry'!B28,Stds.Table,12))</f>
      </c>
    </row>
    <row r="33" spans="1:5" ht="15.75">
      <c r="A33" s="26">
        <f>IF(ISBLANK('Data Entry'!$B$29),"",VLOOKUP('Data Entry'!B29,Stds.Table,2))</f>
      </c>
      <c r="B33" s="104">
        <f>IF(ISBLANK('Data Entry'!B29),"",VLOOKUP('Data Entry'!B29,Stds.Table,3))</f>
      </c>
      <c r="C33" s="104">
        <f>IF(ISBLANK('Data Entry'!B29),"",VLOOKUP('Data Entry'!B29,Stds.Table,10))</f>
      </c>
      <c r="D33" s="105">
        <f>IF(ISBLANK('Data Entry'!B29),"",VLOOKUP('Data Entry'!B29,Stds.Table,11))</f>
      </c>
      <c r="E33" s="105">
        <f>IF(ISBLANK('Data Entry'!B29),"",VLOOKUP('Data Entry'!B29,Stds.Table,12))</f>
      </c>
    </row>
    <row r="34" spans="1:5" ht="15.75">
      <c r="A34" s="26">
        <f>IF(ISBLANK('Data Entry'!$B$30),"",VLOOKUP('Data Entry'!B30,Stds.Table,2))</f>
      </c>
      <c r="B34" s="104">
        <f>IF(ISBLANK('Data Entry'!B30),"",VLOOKUP('Data Entry'!B30,Stds.Table,3))</f>
      </c>
      <c r="C34" s="104">
        <f>IF(ISBLANK('Data Entry'!B30),"",VLOOKUP('Data Entry'!B30,Stds.Table,10))</f>
      </c>
      <c r="D34" s="105">
        <f>IF(ISBLANK('Data Entry'!B30),"",VLOOKUP('Data Entry'!B30,Stds.Table,11))</f>
      </c>
      <c r="E34" s="105">
        <f>IF(ISBLANK('Data Entry'!B30),"",VLOOKUP('Data Entry'!B30,Stds.Table,12))</f>
      </c>
    </row>
    <row r="35" spans="1:5" ht="15.75">
      <c r="A35" s="26">
        <f>IF(ISBLANK('Data Entry'!$B$32),"",VLOOKUP('Data Entry'!B32,Stds.Table,2))</f>
      </c>
      <c r="B35" s="104">
        <f>IF(ISBLANK('Data Entry'!B32),"",VLOOKUP('Data Entry'!B32,Stds.Table,3))</f>
      </c>
      <c r="C35" s="104">
        <f>IF(ISBLANK('Data Entry'!B32),"",VLOOKUP('Data Entry'!B32,Stds.Table,10))</f>
      </c>
      <c r="D35" s="105">
        <f>IF(ISBLANK('Data Entry'!B32),"",VLOOKUP('Data Entry'!B32,Stds.Table,11))</f>
      </c>
      <c r="E35" s="105">
        <f>IF(ISBLANK('Data Entry'!B32),"",VLOOKUP('Data Entry'!B32,Stds.Table,12))</f>
      </c>
    </row>
    <row r="36" spans="1:5" ht="15.75">
      <c r="A36" s="26">
        <f>IF(ISBLANK('Data Entry'!$B$33),"",VLOOKUP('Data Entry'!B33,Stds.Table,2))</f>
      </c>
      <c r="B36" s="104">
        <f>IF(ISBLANK('Data Entry'!B33),"",VLOOKUP('Data Entry'!B33,Stds.Table,3))</f>
      </c>
      <c r="C36" s="104">
        <f>IF(ISBLANK('Data Entry'!B33),"",VLOOKUP('Data Entry'!B33,Stds.Table,10))</f>
      </c>
      <c r="D36" s="105">
        <f>IF(ISBLANK('Data Entry'!B33),"",VLOOKUP('Data Entry'!B33,Stds.Table,11))</f>
      </c>
      <c r="E36" s="105">
        <f>IF(ISBLANK('Data Entry'!B33),"",VLOOKUP('Data Entry'!B33,Stds.Table,12))</f>
      </c>
    </row>
    <row r="37" spans="1:5" ht="15.75">
      <c r="A37" s="26">
        <f>IF(ISBLANK('Data Entry'!$B$34),"",VLOOKUP('Data Entry'!B34,Stds.Table,2))</f>
      </c>
      <c r="B37" s="104">
        <f>IF(ISBLANK('Data Entry'!B34),"",VLOOKUP('Data Entry'!B34,Stds.Table,3))</f>
      </c>
      <c r="C37" s="104">
        <f>IF(ISBLANK('Data Entry'!B34),"",VLOOKUP('Data Entry'!B34,Stds.Table,10))</f>
      </c>
      <c r="D37" s="105">
        <f>IF(ISBLANK('Data Entry'!B34),"",VLOOKUP('Data Entry'!B34,Stds.Table,11))</f>
      </c>
      <c r="E37" s="105">
        <f>IF(ISBLANK('Data Entry'!B34),"",VLOOKUP('Data Entry'!B34,Stds.Table,12))</f>
      </c>
    </row>
    <row r="38" spans="1:5" ht="24" customHeight="1">
      <c r="A38" s="22" t="s">
        <v>134</v>
      </c>
      <c r="B38" s="65"/>
      <c r="C38" s="65"/>
      <c r="D38" s="65"/>
      <c r="E38" s="65"/>
    </row>
    <row r="39" spans="1:5" ht="15.75">
      <c r="A39" s="64" t="s">
        <v>12</v>
      </c>
      <c r="B39" s="112" t="s">
        <v>3</v>
      </c>
      <c r="C39" s="112" t="s">
        <v>20</v>
      </c>
      <c r="D39" s="112" t="s">
        <v>64</v>
      </c>
      <c r="E39" s="112" t="s">
        <v>65</v>
      </c>
    </row>
    <row r="40" spans="1:5" ht="15.75">
      <c r="A40" s="106">
        <f>IF(ISBLANK('Data Entry'!D40),"",VLOOKUP('Data Entry'!D40,Enviro.Stds,2))</f>
      </c>
      <c r="B40" s="108">
        <f>IF(ISBLANK('Data Entry'!D40),"",VLOOKUP('Data Entry'!D40,Enviro.Stds,3))</f>
      </c>
      <c r="C40" s="108">
        <f>IF(ISBLANK('Data Entry'!D40),"",VLOOKUP('Data Entry'!D40,Enviro.Stds,7))</f>
      </c>
      <c r="D40" s="109">
        <f>IF(ISBLANK('Data Entry'!D40),"",VLOOKUP('Data Entry'!D40,Enviro.Stds,8))</f>
      </c>
      <c r="E40" s="109">
        <f>IF(ISBLANK('Data Entry'!D40),"",VLOOKUP('Data Entry'!D40,Enviro.Stds,9))</f>
      </c>
    </row>
    <row r="41" spans="1:5" ht="15.75">
      <c r="A41" s="107">
        <f>IF(ISBLANK('Data Entry'!D41),"",VLOOKUP('Data Entry'!D41,Enviro.Stds,2))</f>
      </c>
      <c r="B41" s="233">
        <f>IF(ISBLANK('Data Entry'!D41),"",VLOOKUP('Data Entry'!D41,Enviro.Stds,3))</f>
      </c>
      <c r="C41" s="110">
        <f>IF(ISBLANK('Data Entry'!D41),"",VLOOKUP('Data Entry'!D41,Enviro.Stds,7))</f>
      </c>
      <c r="D41" s="111">
        <f>IF(ISBLANK('Data Entry'!D41),"",VLOOKUP('Data Entry'!D41,Enviro.Stds,8))</f>
      </c>
      <c r="E41" s="111">
        <f>IF(ISBLANK('Data Entry'!D41),"",VLOOKUP('Data Entry'!D41,Enviro.Stds,9))</f>
      </c>
    </row>
    <row r="42" spans="1:5" ht="15.75">
      <c r="A42" s="107">
        <f>IF(ISBLANK('Data Entry'!D42),"",VLOOKUP('Data Entry'!D42,Enviro.Stds,2))</f>
      </c>
      <c r="B42" s="233">
        <f>IF(ISBLANK('Data Entry'!D42),"",VLOOKUP('Data Entry'!D42,Enviro.Stds,3))</f>
      </c>
      <c r="C42" s="110">
        <f>IF(ISBLANK('Data Entry'!D42),"",VLOOKUP('Data Entry'!D42,Enviro.Stds,7))</f>
      </c>
      <c r="D42" s="111">
        <f>IF(ISBLANK('Data Entry'!D42),"",VLOOKUP('Data Entry'!D42,Enviro.Stds,8))</f>
      </c>
      <c r="E42" s="111">
        <f>IF(ISBLANK('Data Entry'!D42),"",VLOOKUP('Data Entry'!D42,Enviro.Stds,9))</f>
      </c>
    </row>
    <row r="43" spans="1:5" ht="15.75">
      <c r="A43" s="107">
        <f>IF(ISBLANK('Data Entry'!D43),"",VLOOKUP('Data Entry'!D43,Enviro.Stds,2))</f>
      </c>
      <c r="B43" s="233">
        <f>IF(ISBLANK('Data Entry'!D43),"",VLOOKUP('Data Entry'!D43,Enviro.Stds,3))</f>
      </c>
      <c r="C43" s="110">
        <f>IF(ISBLANK('Data Entry'!D43),"",VLOOKUP('Data Entry'!D43,Enviro.Stds,7))</f>
      </c>
      <c r="D43" s="111">
        <f>IF(ISBLANK('Data Entry'!D43),"",VLOOKUP('Data Entry'!D43,Enviro.Stds,8))</f>
      </c>
      <c r="E43" s="111">
        <f>IF(ISBLANK('Data Entry'!D43),"",VLOOKUP('Data Entry'!D43,Enviro.Stds,9))</f>
      </c>
    </row>
    <row r="44" spans="1:5" ht="24" customHeight="1" thickBot="1">
      <c r="A44" s="54" t="s">
        <v>66</v>
      </c>
      <c r="B44" s="60"/>
      <c r="C44" s="60"/>
      <c r="D44" s="60"/>
      <c r="E44" s="21"/>
    </row>
    <row r="45" spans="1:5" ht="55.5" customHeight="1">
      <c r="A45" s="356" t="s">
        <v>125</v>
      </c>
      <c r="B45" s="357"/>
      <c r="C45" s="357"/>
      <c r="D45" s="357"/>
      <c r="E45" s="357"/>
    </row>
    <row r="46" spans="1:5" ht="15.75">
      <c r="A46" s="66" t="s">
        <v>67</v>
      </c>
      <c r="B46" s="61"/>
      <c r="C46" s="61"/>
      <c r="D46" s="61"/>
      <c r="E46" s="61"/>
    </row>
    <row r="47" spans="1:5" ht="24" customHeight="1" thickBot="1">
      <c r="A47" s="54" t="s">
        <v>68</v>
      </c>
      <c r="B47" s="60"/>
      <c r="C47" s="60"/>
      <c r="D47" s="60"/>
      <c r="E47" s="21"/>
    </row>
    <row r="48" spans="1:5" ht="68.25" customHeight="1">
      <c r="A48" s="353" t="s">
        <v>381</v>
      </c>
      <c r="B48" s="353"/>
      <c r="C48" s="353"/>
      <c r="D48" s="353"/>
      <c r="E48" s="353"/>
    </row>
    <row r="49" spans="1:5" ht="24" customHeight="1" thickBot="1">
      <c r="A49" s="54" t="s">
        <v>69</v>
      </c>
      <c r="B49" s="60"/>
      <c r="C49" s="60"/>
      <c r="D49" s="60"/>
      <c r="E49" s="21"/>
    </row>
    <row r="50" spans="1:5" ht="81" customHeight="1">
      <c r="A50" s="354" t="s">
        <v>197</v>
      </c>
      <c r="B50" s="354"/>
      <c r="C50" s="354"/>
      <c r="D50" s="354"/>
      <c r="E50" s="354"/>
    </row>
    <row r="51" spans="1:5" ht="24" customHeight="1" thickBot="1">
      <c r="A51" s="54" t="s">
        <v>70</v>
      </c>
      <c r="B51" s="60"/>
      <c r="C51" s="60"/>
      <c r="D51" s="60"/>
      <c r="E51" s="21"/>
    </row>
    <row r="52" spans="1:5" ht="54.75" customHeight="1">
      <c r="A52" s="354" t="s">
        <v>383</v>
      </c>
      <c r="B52" s="354"/>
      <c r="C52" s="354"/>
      <c r="D52" s="354"/>
      <c r="E52" s="354"/>
    </row>
    <row r="53" spans="1:5" ht="15.75">
      <c r="A53" s="72"/>
      <c r="B53" s="72"/>
      <c r="C53" s="72"/>
      <c r="D53" s="72"/>
      <c r="E53" s="72"/>
    </row>
    <row r="54" spans="1:5" ht="15.75">
      <c r="A54" s="72"/>
      <c r="B54" s="72"/>
      <c r="C54" s="72"/>
      <c r="D54" s="72"/>
      <c r="E54" s="72"/>
    </row>
    <row r="55" spans="1:5" ht="15.75">
      <c r="A55" s="61"/>
      <c r="B55" s="61"/>
      <c r="C55" s="61"/>
      <c r="D55" s="61"/>
      <c r="E55" s="61"/>
    </row>
    <row r="56" spans="1:5" ht="15.75">
      <c r="A56" s="61"/>
      <c r="B56" s="61"/>
      <c r="C56" s="61"/>
      <c r="D56" s="61"/>
      <c r="E56" s="61"/>
    </row>
    <row r="57" spans="1:5" ht="15.75">
      <c r="A57" s="67"/>
      <c r="B57" s="61"/>
      <c r="C57" s="61"/>
      <c r="D57" s="61"/>
      <c r="E57" s="61"/>
    </row>
    <row r="58" spans="1:5" ht="23.25" customHeight="1">
      <c r="A58" s="67" t="s">
        <v>382</v>
      </c>
      <c r="B58" s="61"/>
      <c r="C58" s="61"/>
      <c r="D58" s="61"/>
      <c r="E58" s="61"/>
    </row>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sheetData>
  <sheetProtection selectLockedCells="1" selectUnlockedCells="1"/>
  <mergeCells count="11">
    <mergeCell ref="A48:E48"/>
    <mergeCell ref="A50:E50"/>
    <mergeCell ref="A52:E52"/>
    <mergeCell ref="A27:E27"/>
    <mergeCell ref="A45:E45"/>
    <mergeCell ref="A24:E24"/>
    <mergeCell ref="E3:E4"/>
    <mergeCell ref="A14:C17"/>
    <mergeCell ref="A23:E23"/>
    <mergeCell ref="D16:E16"/>
    <mergeCell ref="A21:E21"/>
  </mergeCells>
  <printOptions horizontalCentered="1"/>
  <pageMargins left="0.6" right="0.5" top="0.5" bottom="0.75" header="0.5" footer="0.5"/>
  <pageSetup horizontalDpi="600" verticalDpi="600" orientation="portrait" r:id="rId2"/>
  <headerFooter alignWithMargins="0">
    <oddFooter>&amp;L&amp;"Times New Roman,Regular"WAMRF-002, Rev. 03, 6/28/2005&amp;R&amp;"Times New Roman,Regular"Page &amp;P of &amp;N</oddFooter>
  </headerFooter>
  <drawing r:id="rId1"/>
</worksheet>
</file>

<file path=xl/worksheets/sheet3.xml><?xml version="1.0" encoding="utf-8"?>
<worksheet xmlns="http://schemas.openxmlformats.org/spreadsheetml/2006/main" xmlns:r="http://schemas.openxmlformats.org/officeDocument/2006/relationships">
  <sheetPr>
    <tabColor indexed="50"/>
  </sheetPr>
  <dimension ref="A1:R88"/>
  <sheetViews>
    <sheetView showGridLines="0" tabSelected="1" workbookViewId="0" topLeftCell="A1">
      <selection activeCell="I1" sqref="I1:J1"/>
    </sheetView>
  </sheetViews>
  <sheetFormatPr defaultColWidth="8.88671875" defaultRowHeight="15.75" zeroHeight="1"/>
  <cols>
    <col min="1" max="7" width="7.77734375" style="159" customWidth="1"/>
    <col min="8" max="8" width="8.4453125" style="159" customWidth="1"/>
    <col min="9" max="10" width="7.77734375" style="159" customWidth="1"/>
    <col min="11" max="11" width="1.99609375" style="159" customWidth="1"/>
    <col min="12" max="12" width="19.6640625" style="159" hidden="1" customWidth="1"/>
    <col min="13" max="13" width="10.6640625" style="159" hidden="1" customWidth="1"/>
    <col min="14" max="16384" width="0" style="159" hidden="1" customWidth="1"/>
  </cols>
  <sheetData>
    <row r="1" spans="1:10" s="156" customFormat="1" ht="19.5" thickBot="1">
      <c r="A1" s="153" t="s">
        <v>160</v>
      </c>
      <c r="B1" s="154"/>
      <c r="C1" s="154"/>
      <c r="D1" s="154"/>
      <c r="E1" s="154"/>
      <c r="F1" s="154"/>
      <c r="G1" s="154"/>
      <c r="H1" s="155" t="s">
        <v>183</v>
      </c>
      <c r="I1" s="417"/>
      <c r="J1" s="418"/>
    </row>
    <row r="2" spans="1:10" ht="12" customHeight="1">
      <c r="A2" s="157"/>
      <c r="B2" s="157"/>
      <c r="C2" s="157"/>
      <c r="D2" s="158"/>
      <c r="E2" s="158"/>
      <c r="F2" s="158"/>
      <c r="G2" s="158"/>
      <c r="H2" s="157"/>
      <c r="I2" s="157"/>
      <c r="J2" s="157"/>
    </row>
    <row r="3" spans="1:10" ht="15.75" customHeight="1" thickBot="1">
      <c r="A3" s="160" t="s">
        <v>2</v>
      </c>
      <c r="B3" s="161"/>
      <c r="C3" s="161"/>
      <c r="D3" s="161"/>
      <c r="E3" s="161"/>
      <c r="F3" s="161"/>
      <c r="G3" s="161"/>
      <c r="H3" s="161"/>
      <c r="I3" s="161"/>
      <c r="J3" s="161"/>
    </row>
    <row r="4" spans="1:10" ht="15.75" customHeight="1">
      <c r="A4" s="419" t="s">
        <v>72</v>
      </c>
      <c r="B4" s="419"/>
      <c r="C4" s="422"/>
      <c r="D4" s="423"/>
      <c r="E4" s="423"/>
      <c r="F4" s="423"/>
      <c r="G4" s="423"/>
      <c r="H4" s="180" t="s">
        <v>73</v>
      </c>
      <c r="I4" s="428"/>
      <c r="J4" s="429"/>
    </row>
    <row r="5" spans="1:10" ht="15.75" customHeight="1">
      <c r="A5" s="420"/>
      <c r="B5" s="420"/>
      <c r="C5" s="424"/>
      <c r="D5" s="424"/>
      <c r="E5" s="424"/>
      <c r="F5" s="424"/>
      <c r="G5" s="424"/>
      <c r="H5" s="139" t="s">
        <v>74</v>
      </c>
      <c r="I5" s="415"/>
      <c r="J5" s="335"/>
    </row>
    <row r="6" spans="1:10" ht="15.75" customHeight="1">
      <c r="A6" s="420"/>
      <c r="B6" s="420"/>
      <c r="C6" s="424"/>
      <c r="D6" s="424"/>
      <c r="E6" s="424"/>
      <c r="F6" s="424"/>
      <c r="G6" s="424"/>
      <c r="H6" s="139" t="s">
        <v>75</v>
      </c>
      <c r="I6" s="426"/>
      <c r="J6" s="427"/>
    </row>
    <row r="7" spans="1:8" ht="15.75" customHeight="1">
      <c r="A7" s="421"/>
      <c r="B7" s="421"/>
      <c r="C7" s="425"/>
      <c r="D7" s="425"/>
      <c r="E7" s="425"/>
      <c r="F7" s="425"/>
      <c r="G7" s="425"/>
      <c r="H7" s="162"/>
    </row>
    <row r="8" spans="1:10" ht="12" customHeight="1">
      <c r="A8" s="163"/>
      <c r="B8" s="163"/>
      <c r="C8" s="163"/>
      <c r="D8" s="163"/>
      <c r="E8" s="163"/>
      <c r="F8" s="163"/>
      <c r="G8" s="163"/>
      <c r="H8" s="163"/>
      <c r="I8" s="163"/>
      <c r="J8" s="163"/>
    </row>
    <row r="9" spans="1:10" ht="15.75" customHeight="1" thickBot="1">
      <c r="A9" s="164" t="s">
        <v>43</v>
      </c>
      <c r="B9" s="161"/>
      <c r="C9" s="161"/>
      <c r="D9" s="161"/>
      <c r="E9" s="161"/>
      <c r="F9" s="161"/>
      <c r="G9" s="161"/>
      <c r="H9" s="161"/>
      <c r="I9" s="161"/>
      <c r="J9" s="161"/>
    </row>
    <row r="10" spans="1:10" ht="15.75" customHeight="1">
      <c r="A10" s="408" t="s">
        <v>12</v>
      </c>
      <c r="B10" s="409"/>
      <c r="C10" s="412"/>
      <c r="D10" s="413"/>
      <c r="E10" s="414"/>
      <c r="F10" s="416" t="s">
        <v>161</v>
      </c>
      <c r="G10" s="368"/>
      <c r="H10" s="368"/>
      <c r="I10" s="434"/>
      <c r="J10" s="435"/>
    </row>
    <row r="11" spans="1:10" ht="15.75" customHeight="1">
      <c r="A11" s="416" t="s">
        <v>76</v>
      </c>
      <c r="B11" s="368"/>
      <c r="C11" s="415"/>
      <c r="D11" s="335"/>
      <c r="E11" s="335"/>
      <c r="F11" s="410" t="s">
        <v>80</v>
      </c>
      <c r="G11" s="411"/>
      <c r="H11" s="411"/>
      <c r="I11" s="425"/>
      <c r="J11" s="425"/>
    </row>
    <row r="12" spans="1:10" ht="15.75" customHeight="1">
      <c r="A12" s="416" t="s">
        <v>77</v>
      </c>
      <c r="B12" s="368"/>
      <c r="C12" s="415"/>
      <c r="D12" s="335"/>
      <c r="E12" s="335"/>
      <c r="F12" s="416" t="s">
        <v>3</v>
      </c>
      <c r="G12" s="368"/>
      <c r="H12" s="368"/>
      <c r="I12" s="415"/>
      <c r="J12" s="335"/>
    </row>
    <row r="13" spans="1:10" ht="15.75" customHeight="1">
      <c r="A13" s="448" t="s">
        <v>90</v>
      </c>
      <c r="B13" s="449"/>
      <c r="C13" s="449"/>
      <c r="D13" s="454">
        <f>IF(ISERROR(VLOOKUP(C12,CCE,2)),"",VLOOKUP(C12,CCE,2))</f>
      </c>
      <c r="E13" s="455"/>
      <c r="F13" s="438" t="s">
        <v>124</v>
      </c>
      <c r="G13" s="439"/>
      <c r="H13" s="415"/>
      <c r="I13" s="415"/>
      <c r="J13" s="415"/>
    </row>
    <row r="14" spans="1:10" ht="15.75" customHeight="1">
      <c r="A14" s="440" t="s">
        <v>135</v>
      </c>
      <c r="B14" s="441"/>
      <c r="C14" s="342"/>
      <c r="D14" s="453"/>
      <c r="E14" s="340"/>
      <c r="F14" s="436" t="s">
        <v>323</v>
      </c>
      <c r="G14" s="437"/>
      <c r="H14" s="437"/>
      <c r="I14" s="415"/>
      <c r="J14" s="335"/>
    </row>
    <row r="15" spans="1:10" ht="15.75" customHeight="1">
      <c r="A15" s="431" t="s">
        <v>120</v>
      </c>
      <c r="B15" s="432"/>
      <c r="C15" s="432"/>
      <c r="D15" s="432"/>
      <c r="E15" s="432"/>
      <c r="F15" s="432"/>
      <c r="G15" s="432"/>
      <c r="H15" s="433"/>
      <c r="I15" s="415"/>
      <c r="J15" s="415"/>
    </row>
    <row r="16" spans="1:10" ht="15.75" customHeight="1">
      <c r="A16" s="459" t="s">
        <v>121</v>
      </c>
      <c r="B16" s="460"/>
      <c r="C16" s="460"/>
      <c r="D16" s="460"/>
      <c r="E16" s="460"/>
      <c r="F16" s="140"/>
      <c r="G16" s="416" t="s">
        <v>122</v>
      </c>
      <c r="H16" s="430"/>
      <c r="I16" s="430"/>
      <c r="J16" s="140"/>
    </row>
    <row r="17" spans="1:10" ht="12" customHeight="1">
      <c r="A17" s="165"/>
      <c r="B17" s="165"/>
      <c r="C17" s="165"/>
      <c r="D17" s="165"/>
      <c r="E17" s="165"/>
      <c r="F17" s="165"/>
      <c r="G17" s="165"/>
      <c r="H17" s="165"/>
      <c r="I17" s="52"/>
      <c r="J17" s="52"/>
    </row>
    <row r="18" spans="1:10" ht="15.75" customHeight="1" thickBot="1">
      <c r="A18" s="164" t="s">
        <v>23</v>
      </c>
      <c r="B18" s="161"/>
      <c r="C18" s="161"/>
      <c r="D18" s="161"/>
      <c r="E18" s="161"/>
      <c r="F18" s="161"/>
      <c r="G18" s="161"/>
      <c r="H18" s="161"/>
      <c r="I18" s="161"/>
      <c r="J18" s="161"/>
    </row>
    <row r="19" spans="1:10" ht="15.75" customHeight="1">
      <c r="A19" s="450" t="s">
        <v>194</v>
      </c>
      <c r="B19" s="451"/>
      <c r="C19" s="452"/>
      <c r="D19" s="464"/>
      <c r="E19" s="429"/>
      <c r="F19" s="469" t="s">
        <v>136</v>
      </c>
      <c r="G19" s="469"/>
      <c r="H19" s="429"/>
      <c r="I19" s="429"/>
      <c r="J19" s="429"/>
    </row>
    <row r="20" spans="1:10" ht="15.75" customHeight="1">
      <c r="A20" s="446" t="s">
        <v>322</v>
      </c>
      <c r="B20" s="447"/>
      <c r="C20" s="232"/>
      <c r="D20" s="231" t="s">
        <v>86</v>
      </c>
      <c r="E20" s="456">
        <f>IF(ISBLANK(C20),"",VLOOKUP(C20,Balance,2))</f>
      </c>
      <c r="F20" s="457"/>
      <c r="G20" s="458"/>
      <c r="H20" s="467" t="s">
        <v>193</v>
      </c>
      <c r="I20" s="468"/>
      <c r="J20" s="183">
        <f>IF(ISBLANK(C20),"",VLOOKUP(C20,Balance,3))</f>
      </c>
    </row>
    <row r="21" spans="1:10" ht="15.75" customHeight="1">
      <c r="A21" s="446" t="s">
        <v>87</v>
      </c>
      <c r="B21" s="465"/>
      <c r="C21" s="466"/>
      <c r="D21" s="415"/>
      <c r="E21" s="335"/>
      <c r="F21" s="416" t="s">
        <v>88</v>
      </c>
      <c r="G21" s="368"/>
      <c r="H21" s="368"/>
      <c r="I21" s="415"/>
      <c r="J21" s="335"/>
    </row>
    <row r="22" spans="1:10" ht="15.75" customHeight="1">
      <c r="A22" s="431" t="s">
        <v>180</v>
      </c>
      <c r="B22" s="432"/>
      <c r="C22" s="432"/>
      <c r="D22" s="432"/>
      <c r="E22" s="432"/>
      <c r="F22" s="432"/>
      <c r="G22" s="432"/>
      <c r="H22" s="433"/>
      <c r="I22" s="442"/>
      <c r="J22" s="443"/>
    </row>
    <row r="23" spans="1:18" s="156" customFormat="1" ht="15.75" customHeight="1">
      <c r="A23" s="461" t="s">
        <v>195</v>
      </c>
      <c r="B23" s="462"/>
      <c r="C23" s="462"/>
      <c r="D23" s="462"/>
      <c r="E23" s="462"/>
      <c r="F23" s="462"/>
      <c r="G23" s="462"/>
      <c r="H23" s="463"/>
      <c r="I23" s="335"/>
      <c r="J23" s="335"/>
      <c r="L23" s="159"/>
      <c r="M23" s="159"/>
      <c r="N23" s="159"/>
      <c r="O23" s="159"/>
      <c r="P23" s="159"/>
      <c r="Q23" s="166"/>
      <c r="R23" s="166"/>
    </row>
    <row r="24" spans="1:18" s="156" customFormat="1" ht="12" customHeight="1">
      <c r="A24" s="167"/>
      <c r="B24" s="167"/>
      <c r="C24" s="167"/>
      <c r="D24" s="167"/>
      <c r="E24" s="167"/>
      <c r="F24" s="167"/>
      <c r="G24" s="167"/>
      <c r="H24" s="167"/>
      <c r="I24" s="167"/>
      <c r="J24" s="167"/>
      <c r="L24" s="159"/>
      <c r="M24" s="159"/>
      <c r="N24" s="159"/>
      <c r="O24" s="159"/>
      <c r="Q24" s="166"/>
      <c r="R24" s="166"/>
    </row>
    <row r="25" spans="1:18" ht="15.75" customHeight="1" thickBot="1">
      <c r="A25" s="160" t="s">
        <v>173</v>
      </c>
      <c r="B25" s="161"/>
      <c r="C25" s="161"/>
      <c r="D25" s="161"/>
      <c r="E25" s="161"/>
      <c r="F25" s="161"/>
      <c r="G25" s="161"/>
      <c r="H25" s="161"/>
      <c r="I25" s="161"/>
      <c r="J25" s="154"/>
      <c r="P25" s="156"/>
      <c r="Q25" s="166"/>
      <c r="R25" s="166"/>
    </row>
    <row r="26" spans="1:18" ht="15.75" customHeight="1">
      <c r="A26" s="380" t="s">
        <v>171</v>
      </c>
      <c r="B26" s="381"/>
      <c r="C26" s="381"/>
      <c r="D26" s="381"/>
      <c r="E26" s="381"/>
      <c r="F26" s="381"/>
      <c r="G26" s="381"/>
      <c r="H26" s="381"/>
      <c r="I26" s="381"/>
      <c r="J26" s="382"/>
      <c r="P26" s="156"/>
      <c r="Q26" s="166"/>
      <c r="R26" s="166"/>
    </row>
    <row r="27" spans="1:10" s="168" customFormat="1" ht="48" customHeight="1">
      <c r="A27" s="129" t="s">
        <v>126</v>
      </c>
      <c r="B27" s="130" t="s">
        <v>6</v>
      </c>
      <c r="C27" s="131" t="s">
        <v>18</v>
      </c>
      <c r="D27" s="444" t="s">
        <v>4</v>
      </c>
      <c r="E27" s="445"/>
      <c r="F27" s="397" t="s">
        <v>71</v>
      </c>
      <c r="G27" s="398"/>
      <c r="H27" s="133" t="s">
        <v>5</v>
      </c>
      <c r="I27" s="131" t="s">
        <v>154</v>
      </c>
      <c r="J27" s="132" t="s">
        <v>196</v>
      </c>
    </row>
    <row r="28" spans="1:10" ht="15.75" customHeight="1">
      <c r="A28" s="394">
        <f>IF(option="","",IF(option="Option A","Ms","Ms1 (empty/
drained)"))</f>
      </c>
      <c r="B28" s="138"/>
      <c r="C28" s="169">
        <f>IF(ISBLANK(B28),"",VLOOKUP(B28,Stds.Table,4))</f>
      </c>
      <c r="D28" s="385">
        <f>IF(ISBLANK(B28),"",VLOOKUP(B28,Stds.Table,5))</f>
      </c>
      <c r="E28" s="386"/>
      <c r="F28" s="383">
        <f>IF(ISBLANK(B28),"",VLOOKUP(B28,Stds.Table,6))</f>
      </c>
      <c r="G28" s="384"/>
      <c r="H28" s="169">
        <f>IF(ISBLANK(B28),"",VLOOKUP(B28,Stds.Table,7))</f>
      </c>
      <c r="I28" s="169">
        <f>IF(ISBLANK(B28),"",VLOOKUP(B28,Stds.Table,8))</f>
      </c>
      <c r="J28" s="169">
        <f>IF(ISBLANK(B28),"",VLOOKUP(B28,Stds.Table,9))</f>
      </c>
    </row>
    <row r="29" spans="1:10" ht="15.75" customHeight="1">
      <c r="A29" s="394"/>
      <c r="B29" s="27"/>
      <c r="C29" s="170">
        <f>IF(ISBLANK(B28),"",IF(ISBLANK(B29),0,VLOOKUP(B29,Stds.Table,4)))</f>
      </c>
      <c r="D29" s="369">
        <f>IF(ISBLANK(B28),"",IF(ISBLANK(B29),"0",VLOOKUP(B29,Stds.Table,5)))</f>
      </c>
      <c r="E29" s="370"/>
      <c r="F29" s="376">
        <f>IF(ISBLANK(B28),"",IF(ISBLANK(B29),0,VLOOKUP(B29,Stds.Table,6)))</f>
      </c>
      <c r="G29" s="377"/>
      <c r="H29" s="170">
        <f>IF(ISBLANK(B28),"",IF(ISBLANK(B29),1,VLOOKUP(B29,Stds.Table,7)))</f>
      </c>
      <c r="I29" s="170">
        <f>IF(ISBLANK(B28),"",IF(ISBLANK(B29),1,VLOOKUP(B29,Stds.Table,8)))</f>
      </c>
      <c r="J29" s="170">
        <f>IF(ISBLANK(B28),"",IF(ISBLANK(B29),1,VLOOKUP(B29,Stds.Table,9)))</f>
      </c>
    </row>
    <row r="30" spans="1:10" ht="15.75" customHeight="1">
      <c r="A30" s="394"/>
      <c r="B30" s="27"/>
      <c r="C30" s="170">
        <f>IF(ISBLANK(B28),"",IF(ISBLANK(B30),0,VLOOKUP(B30,Stds.Table,4)))</f>
      </c>
      <c r="D30" s="369">
        <f>IF(ISBLANK(B28),"",IF(ISBLANK(B30),"0",VLOOKUP(B30,Stds.Table,5)))</f>
      </c>
      <c r="E30" s="370"/>
      <c r="F30" s="376">
        <f>IF(ISBLANK(B28),"",IF(ISBLANK(B30),0,VLOOKUP(B30,Stds.Table,6)))</f>
      </c>
      <c r="G30" s="377"/>
      <c r="H30" s="170">
        <f>IF(ISBLANK(B28),"",IF(ISBLANK(B30),1,VLOOKUP(B30,Stds.Table,7)))</f>
      </c>
      <c r="I30" s="170">
        <f>IF(ISBLANK(B28),"",IF(ISBLANK(B30),1,VLOOKUP(B30,Stds.Table,8)))</f>
      </c>
      <c r="J30" s="170">
        <f>IF(ISBLANK(B28),"",IF(ISBLANK(B30),1,VLOOKUP(B30,Stds.Table,9)))</f>
      </c>
    </row>
    <row r="31" spans="1:10" ht="15.75" customHeight="1" thickBot="1">
      <c r="A31" s="396"/>
      <c r="B31" s="73">
        <f>IF(ISBLANK(B28),"",IF(option="Option A","Ms =","Ms1 ="))</f>
      </c>
      <c r="C31" s="74">
        <f>IF(ISBLANK(B28),"",SUM(C28:C30))</f>
      </c>
      <c r="D31" s="389">
        <f>IF(ISBLANK(B28),"",SUM(D28:E30))</f>
      </c>
      <c r="E31" s="390"/>
      <c r="F31" s="399">
        <f>IF(ISBLANK(B28),"",SQRT((F28/H28)^2+(F29/H29)^2+(F30/H30)^2))</f>
      </c>
      <c r="G31" s="400"/>
      <c r="H31" s="74">
        <f>IF(ISBLANK(B28),"",1)</f>
      </c>
      <c r="I31" s="74">
        <f>IF(ISBLANK(B28),"",(Ms1_nom+Cs_1/1000)/((C28+D28/1000)/I28+(C29+D29/1000)/I29+(C30+D30/1000)/I30))</f>
      </c>
      <c r="J31" s="74">
        <f>IF(ISBLANK(B28),"",(Ms1_nom+Cs_1/1000)/((C28+D28/1000)/J28+(C29+D29/1000)/J29+(C30+D30/1000)/J30))</f>
      </c>
    </row>
    <row r="32" spans="1:10" ht="15.75" customHeight="1">
      <c r="A32" s="393">
        <f>IF(OR(option="",option="Option A"),"","Ms2 (filled)")</f>
      </c>
      <c r="B32" s="27"/>
      <c r="C32" s="170">
        <f>IF(OR(option="Option A",ISBLANK(B32)),"",VLOOKUP(B32,Stds.Table,4))</f>
      </c>
      <c r="D32" s="369">
        <f>IF(OR(option="Option A",ISBLANK(B32)),"",VLOOKUP(B32,Stds.Table,5))</f>
      </c>
      <c r="E32" s="370"/>
      <c r="F32" s="383">
        <f>IF(OR(option="Option A",ISBLANK(B32)),"",VLOOKUP(B32,Stds.Table,6))</f>
      </c>
      <c r="G32" s="384"/>
      <c r="H32" s="170">
        <f>IF(OR(option="Option A",ISBLANK(B32)),"",VLOOKUP(B32,Stds.Table,7))</f>
      </c>
      <c r="I32" s="170">
        <f>IF(OR(option="Option A",ISBLANK(B32)),"",VLOOKUP(B32,Stds.Table,8))</f>
      </c>
      <c r="J32" s="170">
        <f>IF(OR(option="Option A",ISBLANK(B32)),"",VLOOKUP(B32,Stds.Table,9))</f>
      </c>
    </row>
    <row r="33" spans="1:10" ht="15.75" customHeight="1">
      <c r="A33" s="394"/>
      <c r="B33" s="27"/>
      <c r="C33" s="170">
        <f>IF(OR(option="Option A",ISBLANK(B32)),"",IF(ISBLANK(B33),0,VLOOKUP(B33,Stds.Table,4)))</f>
      </c>
      <c r="D33" s="369">
        <f>IF(OR(option="Option A",ISBLANK(option)),"",IF(ISBLANK(B33),"0",VLOOKUP(B33,Stds.Table,5)))</f>
      </c>
      <c r="E33" s="370"/>
      <c r="F33" s="376">
        <f>IF(OR(option="Option A",ISBLANK(B32)),"",IF(ISBLANK(B33),0,VLOOKUP(B33,Stds.Table,6)))</f>
      </c>
      <c r="G33" s="377"/>
      <c r="H33" s="170">
        <f>IF(OR(option="Option A",ISBLANK(B32)),"",IF(ISBLANK(B33),1,VLOOKUP(B33,Stds.Table,7)))</f>
      </c>
      <c r="I33" s="170">
        <f>IF(OR(option="Option A",ISBLANK(B32)),"",IF(ISBLANK(B33),1,VLOOKUP(B33,Stds.Table,8)))</f>
      </c>
      <c r="J33" s="170">
        <f>IF(OR(option="Option A",ISBLANK(B32)),"",IF(ISBLANK(B33),1,VLOOKUP(B33,Stds.Table,9)))</f>
      </c>
    </row>
    <row r="34" spans="1:10" ht="15.75" customHeight="1">
      <c r="A34" s="394"/>
      <c r="B34" s="27"/>
      <c r="C34" s="170">
        <f>IF(OR(option="Option A",ISBLANK(B32)),"",IF(ISBLANK(B34),0,VLOOKUP(B34,Stds.Table,4)))</f>
      </c>
      <c r="D34" s="369">
        <f>IF(OR(option="Option A",ISBLANK(option)),"",IF(ISBLANK(B34),"0",VLOOKUP(B34,Stds.Table,5)))</f>
      </c>
      <c r="E34" s="370"/>
      <c r="F34" s="376">
        <f>IF(OR(option="Option A",ISBLANK(B32)),"",IF(ISBLANK(B34),0,VLOOKUP(B34,Stds.Table,6)))</f>
      </c>
      <c r="G34" s="377"/>
      <c r="H34" s="170">
        <f>IF(OR(option="Option A",ISBLANK(B32)),"",IF(ISBLANK(B34),1,VLOOKUP(B34,Stds.Table,7)))</f>
      </c>
      <c r="I34" s="170">
        <f>IF(OR(option="Option A",ISBLANK(B32)),"",IF(ISBLANK(B34),1,VLOOKUP(B34,Stds.Table,8)))</f>
      </c>
      <c r="J34" s="170">
        <f>IF(OR(option="Option A",ISBLANK(B32)),"",IF(ISBLANK(B34),1,VLOOKUP(B34,Stds.Table,9)))</f>
      </c>
    </row>
    <row r="35" spans="1:10" ht="15.75" customHeight="1">
      <c r="A35" s="395"/>
      <c r="B35" s="75">
        <f>IF(OR(option="Option A",ISBLANK(B32)),"","Ms2 =")</f>
      </c>
      <c r="C35" s="76">
        <f>IF(OR(option="Option A",ISBLANK(B32)),"",SUM(C32:C34))</f>
      </c>
      <c r="D35" s="387">
        <f>IF(OR(option="Option A",ISBLANK(B32)),"",SUM(D32:E34))</f>
      </c>
      <c r="E35" s="388"/>
      <c r="F35" s="391">
        <f>IF(OR(option="Option A",ISBLANK(B32)),"",SQRT((F32/H32)^2+(F33/H33)^2+(F34/H34)^2))</f>
      </c>
      <c r="G35" s="392"/>
      <c r="H35" s="76">
        <f>IF(OR(option="Option A",ISBLANK(B32)),"",1)</f>
      </c>
      <c r="I35" s="76">
        <f>IF(OR(option="Option A",ISBLANK(B32)),"",(Ms2_nom+Cs_2/1000)/((C32+D32/1000)/I32+(C33+D33/1000)/I33+(C34+D34/1000)/I34))</f>
      </c>
      <c r="J35" s="76">
        <f>IF(OR(option="Option A",ISBLANK(B32)),"",Ms2_nom/((C32+D32/1000)/J32+(C33+D33/1000)/J33+(C34+D34/1000)/J34))</f>
      </c>
    </row>
    <row r="36" spans="1:16" s="156" customFormat="1" ht="12" customHeight="1">
      <c r="A36" s="167"/>
      <c r="B36" s="167"/>
      <c r="C36" s="167"/>
      <c r="D36" s="167"/>
      <c r="E36" s="167"/>
      <c r="F36" s="167"/>
      <c r="G36" s="167"/>
      <c r="H36" s="167"/>
      <c r="I36" s="167"/>
      <c r="J36" s="167"/>
      <c r="L36" s="159"/>
      <c r="M36" s="159"/>
      <c r="N36" s="159"/>
      <c r="O36" s="159"/>
      <c r="P36" s="159"/>
    </row>
    <row r="37" spans="1:15" s="156" customFormat="1" ht="15.75" customHeight="1" thickBot="1">
      <c r="A37" s="171" t="s">
        <v>11</v>
      </c>
      <c r="B37" s="172"/>
      <c r="C37" s="172"/>
      <c r="D37" s="172"/>
      <c r="E37" s="172"/>
      <c r="F37" s="172"/>
      <c r="G37" s="173"/>
      <c r="H37" s="173"/>
      <c r="I37" s="173"/>
      <c r="J37" s="173"/>
      <c r="L37" s="159"/>
      <c r="M37" s="159"/>
      <c r="N37" s="159"/>
      <c r="O37" s="174"/>
    </row>
    <row r="38" spans="1:15" s="156" customFormat="1" ht="15.75" customHeight="1">
      <c r="A38" s="380" t="s">
        <v>170</v>
      </c>
      <c r="B38" s="381"/>
      <c r="C38" s="381"/>
      <c r="D38" s="381"/>
      <c r="E38" s="381"/>
      <c r="F38" s="381"/>
      <c r="G38" s="381"/>
      <c r="H38" s="381"/>
      <c r="I38" s="381"/>
      <c r="J38" s="382"/>
      <c r="L38" s="159"/>
      <c r="M38" s="159"/>
      <c r="N38" s="159"/>
      <c r="O38" s="174"/>
    </row>
    <row r="39" spans="1:15" s="156" customFormat="1" ht="30.75" customHeight="1">
      <c r="A39" s="361" t="s">
        <v>133</v>
      </c>
      <c r="B39" s="361"/>
      <c r="C39" s="361"/>
      <c r="D39" s="343" t="s">
        <v>6</v>
      </c>
      <c r="E39" s="371" t="s">
        <v>13</v>
      </c>
      <c r="F39" s="372"/>
      <c r="G39" s="374" t="s">
        <v>158</v>
      </c>
      <c r="H39" s="361"/>
      <c r="I39" s="374" t="s">
        <v>376</v>
      </c>
      <c r="J39" s="361"/>
      <c r="L39" s="159"/>
      <c r="M39" s="159"/>
      <c r="N39" s="159"/>
      <c r="O39" s="159"/>
    </row>
    <row r="40" spans="1:15" s="156" customFormat="1" ht="15.75" customHeight="1">
      <c r="A40" s="375" t="s">
        <v>130</v>
      </c>
      <c r="B40" s="375"/>
      <c r="C40" s="375"/>
      <c r="D40" s="138"/>
      <c r="E40" s="378">
        <f>IF(ISBLANK(D40),"",VLOOKUP(D40,Enviro.Stds,4))</f>
      </c>
      <c r="F40" s="379"/>
      <c r="G40" s="358">
        <f>IF(ISBLANK(D40),"",VLOOKUP(D40,Enviro.Stds,5))</f>
      </c>
      <c r="H40" s="358"/>
      <c r="I40" s="358">
        <f>IF(ISBLANK(D40),"",VLOOKUP(D40,Enviro.Stds,6))</f>
      </c>
      <c r="J40" s="358"/>
      <c r="L40" s="159"/>
      <c r="M40" s="168"/>
      <c r="N40" s="168"/>
      <c r="O40" s="168"/>
    </row>
    <row r="41" spans="1:15" s="156" customFormat="1" ht="15.75" customHeight="1">
      <c r="A41" s="360" t="s">
        <v>129</v>
      </c>
      <c r="B41" s="360"/>
      <c r="C41" s="360"/>
      <c r="D41" s="138"/>
      <c r="E41" s="378">
        <f>IF(ISBLANK(D41),"",VLOOKUP(D41,Enviro.Stds,4))</f>
      </c>
      <c r="F41" s="379"/>
      <c r="G41" s="373">
        <f>IF(ISBLANK(D41),"",VLOOKUP(D41,Enviro.Stds,5))</f>
      </c>
      <c r="H41" s="373"/>
      <c r="I41" s="358">
        <f>IF(ISBLANK(D41),"",VLOOKUP(D41,Enviro.Stds,6))</f>
      </c>
      <c r="J41" s="358"/>
      <c r="L41" s="159"/>
      <c r="M41" s="168"/>
      <c r="N41" s="159"/>
      <c r="O41" s="159"/>
    </row>
    <row r="42" spans="1:15" s="156" customFormat="1" ht="15.75" customHeight="1">
      <c r="A42" s="360" t="s">
        <v>131</v>
      </c>
      <c r="B42" s="360"/>
      <c r="C42" s="360"/>
      <c r="D42" s="138"/>
      <c r="E42" s="378">
        <f>IF(ISBLANK(D42),"",VLOOKUP(D42,Enviro.Stds,4))</f>
      </c>
      <c r="F42" s="379"/>
      <c r="G42" s="373">
        <f>IF(ISBLANK(D42),"",VLOOKUP(D42,Enviro.Stds,5))</f>
      </c>
      <c r="H42" s="373"/>
      <c r="I42" s="358">
        <f>IF(ISBLANK(D42),"",VLOOKUP(D42,Enviro.Stds,6))</f>
      </c>
      <c r="J42" s="358"/>
      <c r="L42" s="159"/>
      <c r="M42" s="159"/>
      <c r="N42" s="159"/>
      <c r="O42" s="159"/>
    </row>
    <row r="43" spans="1:15" s="156" customFormat="1" ht="15.75" customHeight="1">
      <c r="A43" s="360" t="s">
        <v>132</v>
      </c>
      <c r="B43" s="360"/>
      <c r="C43" s="360"/>
      <c r="D43" s="138"/>
      <c r="E43" s="378">
        <f>IF(ISBLANK(D43),"",VLOOKUP(D43,Enviro.Stds,4))</f>
      </c>
      <c r="F43" s="379"/>
      <c r="G43" s="373">
        <f>IF(ISBLANK(D43),"",VLOOKUP(D43,Enviro.Stds,5))</f>
      </c>
      <c r="H43" s="373"/>
      <c r="I43" s="358">
        <f>IF(ISBLANK(D43),"",VLOOKUP(D43,Enviro.Stds,6))</f>
      </c>
      <c r="J43" s="358"/>
      <c r="L43" s="159"/>
      <c r="M43" s="159"/>
      <c r="N43" s="159"/>
      <c r="O43" s="159"/>
    </row>
    <row r="44" spans="1:15" s="156" customFormat="1" ht="12" customHeight="1">
      <c r="A44" s="167"/>
      <c r="B44" s="167"/>
      <c r="C44" s="167"/>
      <c r="D44" s="167"/>
      <c r="E44" s="167"/>
      <c r="F44" s="167"/>
      <c r="G44" s="167"/>
      <c r="H44" s="167"/>
      <c r="I44" s="167"/>
      <c r="J44" s="167"/>
      <c r="L44" s="159"/>
      <c r="M44" s="159"/>
      <c r="N44" s="159"/>
      <c r="O44" s="159"/>
    </row>
    <row r="45" spans="1:10" ht="15.75" customHeight="1">
      <c r="A45" s="175" t="s">
        <v>7</v>
      </c>
      <c r="B45" s="176"/>
      <c r="C45" s="176"/>
      <c r="D45" s="176"/>
      <c r="E45" s="177"/>
      <c r="F45" s="176"/>
      <c r="G45" s="176"/>
      <c r="H45" s="176"/>
      <c r="I45" s="176"/>
      <c r="J45" s="176"/>
    </row>
    <row r="46" spans="1:12" s="156" customFormat="1" ht="15.75" customHeight="1">
      <c r="A46" s="336" t="s">
        <v>44</v>
      </c>
      <c r="B46" s="336"/>
      <c r="C46" s="336"/>
      <c r="D46" s="336"/>
      <c r="E46" s="336"/>
      <c r="F46" s="336"/>
      <c r="G46" s="336"/>
      <c r="H46" s="336"/>
      <c r="I46" s="336"/>
      <c r="J46" s="336"/>
      <c r="L46" s="159"/>
    </row>
    <row r="47" spans="1:12" s="156" customFormat="1" ht="15.75" customHeight="1">
      <c r="A47" s="402" t="s">
        <v>24</v>
      </c>
      <c r="B47" s="403"/>
      <c r="C47" s="403"/>
      <c r="D47" s="403"/>
      <c r="E47" s="403"/>
      <c r="F47" s="338" t="s">
        <v>184</v>
      </c>
      <c r="G47" s="338"/>
      <c r="H47" s="338"/>
      <c r="I47" s="339"/>
      <c r="J47" s="339"/>
      <c r="L47" s="159"/>
    </row>
    <row r="48" spans="1:12" s="156" customFormat="1" ht="15.75" customHeight="1">
      <c r="A48" s="404"/>
      <c r="B48" s="405"/>
      <c r="C48" s="405"/>
      <c r="D48" s="405"/>
      <c r="E48" s="405"/>
      <c r="F48" s="338" t="s">
        <v>151</v>
      </c>
      <c r="G48" s="338"/>
      <c r="H48" s="338"/>
      <c r="I48" s="335"/>
      <c r="J48" s="335"/>
      <c r="L48" s="159"/>
    </row>
    <row r="49" spans="1:12" s="156" customFormat="1" ht="15.75" customHeight="1">
      <c r="A49" s="404"/>
      <c r="B49" s="405"/>
      <c r="C49" s="405"/>
      <c r="D49" s="405"/>
      <c r="E49" s="405"/>
      <c r="F49" s="338" t="s">
        <v>153</v>
      </c>
      <c r="G49" s="338"/>
      <c r="H49" s="338"/>
      <c r="I49" s="335"/>
      <c r="J49" s="335"/>
      <c r="L49" s="159"/>
    </row>
    <row r="50" spans="1:12" s="156" customFormat="1" ht="15.75" customHeight="1">
      <c r="A50" s="404"/>
      <c r="B50" s="405"/>
      <c r="C50" s="405"/>
      <c r="D50" s="405"/>
      <c r="E50" s="405"/>
      <c r="F50" s="338" t="s">
        <v>89</v>
      </c>
      <c r="G50" s="338"/>
      <c r="H50" s="338"/>
      <c r="I50" s="335"/>
      <c r="J50" s="335"/>
      <c r="L50" s="159"/>
    </row>
    <row r="51" spans="1:12" s="156" customFormat="1" ht="15.75" customHeight="1">
      <c r="A51" s="406"/>
      <c r="B51" s="407"/>
      <c r="C51" s="407"/>
      <c r="D51" s="407"/>
      <c r="E51" s="407"/>
      <c r="F51" s="338" t="s">
        <v>152</v>
      </c>
      <c r="G51" s="338"/>
      <c r="H51" s="338"/>
      <c r="I51" s="335"/>
      <c r="J51" s="335"/>
      <c r="L51" s="159"/>
    </row>
    <row r="52" spans="1:15" s="178" customFormat="1" ht="15.75" customHeight="1">
      <c r="A52" s="362" t="s">
        <v>58</v>
      </c>
      <c r="B52" s="363"/>
      <c r="C52" s="363"/>
      <c r="D52" s="363"/>
      <c r="E52" s="363"/>
      <c r="F52" s="363"/>
      <c r="G52" s="363"/>
      <c r="H52" s="363"/>
      <c r="I52" s="363"/>
      <c r="J52" s="363"/>
      <c r="M52" s="156"/>
      <c r="N52" s="156"/>
      <c r="O52" s="156"/>
    </row>
    <row r="53" spans="1:10" s="179" customFormat="1" ht="15" customHeight="1">
      <c r="A53" s="331">
        <f>IF(option="","",IF(option="Option A","Mass Standard(s), Ms, slightly larger than the mass of the filled vessel (OBS 1):","Mass Standard(s), Ms1, slightly larger than the mass of the empty drained or dry vessel (OBS 1):"))</f>
      </c>
      <c r="B53" s="368"/>
      <c r="C53" s="368"/>
      <c r="D53" s="368"/>
      <c r="E53" s="368"/>
      <c r="F53" s="368"/>
      <c r="G53" s="368"/>
      <c r="H53" s="368"/>
      <c r="I53" s="335"/>
      <c r="J53" s="335"/>
    </row>
    <row r="54" spans="1:12" s="156" customFormat="1" ht="15" customHeight="1">
      <c r="A54" s="368"/>
      <c r="B54" s="368"/>
      <c r="C54" s="368"/>
      <c r="D54" s="368"/>
      <c r="E54" s="368"/>
      <c r="F54" s="368"/>
      <c r="G54" s="368"/>
      <c r="H54" s="368"/>
      <c r="I54" s="335"/>
      <c r="J54" s="335"/>
      <c r="L54" s="159"/>
    </row>
    <row r="55" spans="1:14" s="179" customFormat="1" ht="15" customHeight="1">
      <c r="A55" s="331">
        <f>IF(option="","","Empty dry or 'wet-down' vessel (OBS 2):")</f>
      </c>
      <c r="B55" s="368"/>
      <c r="C55" s="368"/>
      <c r="D55" s="368"/>
      <c r="E55" s="368"/>
      <c r="F55" s="368"/>
      <c r="G55" s="368"/>
      <c r="H55" s="368"/>
      <c r="I55" s="335"/>
      <c r="J55" s="335"/>
      <c r="L55" s="174"/>
      <c r="N55" s="156"/>
    </row>
    <row r="56" spans="1:14" s="179" customFormat="1" ht="15" customHeight="1">
      <c r="A56" s="368"/>
      <c r="B56" s="368"/>
      <c r="C56" s="368"/>
      <c r="D56" s="368"/>
      <c r="E56" s="368"/>
      <c r="F56" s="368"/>
      <c r="G56" s="368"/>
      <c r="H56" s="368"/>
      <c r="I56" s="335"/>
      <c r="J56" s="335"/>
      <c r="L56" s="174"/>
      <c r="N56" s="156"/>
    </row>
    <row r="57" spans="1:14" s="179" customFormat="1" ht="15" customHeight="1">
      <c r="A57" s="331">
        <f>IF(option="","",IF(option="Option A","Filled vessel (OBS 3):","Mass Standard(s), Ms2, slightly larger than the mass of the filled vessel (OBS 3):"))</f>
      </c>
      <c r="B57" s="331"/>
      <c r="C57" s="331"/>
      <c r="D57" s="331"/>
      <c r="E57" s="331"/>
      <c r="F57" s="331"/>
      <c r="G57" s="331"/>
      <c r="H57" s="331"/>
      <c r="I57" s="335"/>
      <c r="J57" s="335"/>
      <c r="L57" s="174"/>
      <c r="N57" s="156"/>
    </row>
    <row r="58" spans="1:14" s="179" customFormat="1" ht="15" customHeight="1">
      <c r="A58" s="331"/>
      <c r="B58" s="331"/>
      <c r="C58" s="331"/>
      <c r="D58" s="331"/>
      <c r="E58" s="331"/>
      <c r="F58" s="331"/>
      <c r="G58" s="331"/>
      <c r="H58" s="331"/>
      <c r="I58" s="335"/>
      <c r="J58" s="335"/>
      <c r="L58" s="174"/>
      <c r="N58" s="156"/>
    </row>
    <row r="59" spans="1:14" s="179" customFormat="1" ht="15" customHeight="1">
      <c r="A59" s="332">
        <f>IF(OR(option="",option="Option A"),"","Filled vessel (OBS 4):")</f>
      </c>
      <c r="B59" s="333"/>
      <c r="C59" s="333"/>
      <c r="D59" s="333"/>
      <c r="E59" s="333"/>
      <c r="F59" s="333"/>
      <c r="G59" s="333"/>
      <c r="H59" s="333"/>
      <c r="I59" s="364"/>
      <c r="J59" s="365"/>
      <c r="N59" s="156"/>
    </row>
    <row r="60" spans="1:10" s="179" customFormat="1" ht="15" customHeight="1">
      <c r="A60" s="333"/>
      <c r="B60" s="333"/>
      <c r="C60" s="333"/>
      <c r="D60" s="333"/>
      <c r="E60" s="333"/>
      <c r="F60" s="333"/>
      <c r="G60" s="333"/>
      <c r="H60" s="333"/>
      <c r="I60" s="366"/>
      <c r="J60" s="367"/>
    </row>
    <row r="61" spans="1:10" s="179" customFormat="1" ht="19.5" customHeight="1">
      <c r="A61" s="402" t="s">
        <v>157</v>
      </c>
      <c r="B61" s="403"/>
      <c r="C61" s="403"/>
      <c r="D61" s="403"/>
      <c r="E61" s="403"/>
      <c r="F61" s="338" t="s">
        <v>152</v>
      </c>
      <c r="G61" s="338"/>
      <c r="H61" s="338"/>
      <c r="I61" s="342"/>
      <c r="J61" s="340"/>
    </row>
    <row r="62" spans="1:10" s="156" customFormat="1" ht="15.75" customHeight="1">
      <c r="A62" s="404"/>
      <c r="B62" s="405"/>
      <c r="C62" s="405"/>
      <c r="D62" s="405"/>
      <c r="E62" s="405"/>
      <c r="F62" s="338" t="s">
        <v>151</v>
      </c>
      <c r="G62" s="338"/>
      <c r="H62" s="338"/>
      <c r="I62" s="342"/>
      <c r="J62" s="340"/>
    </row>
    <row r="63" spans="1:10" s="156" customFormat="1" ht="15.75" customHeight="1">
      <c r="A63" s="404"/>
      <c r="B63" s="405"/>
      <c r="C63" s="405"/>
      <c r="D63" s="405"/>
      <c r="E63" s="405"/>
      <c r="F63" s="338" t="s">
        <v>153</v>
      </c>
      <c r="G63" s="338"/>
      <c r="H63" s="338"/>
      <c r="I63" s="342"/>
      <c r="J63" s="340"/>
    </row>
    <row r="64" spans="1:10" s="156" customFormat="1" ht="15.75" customHeight="1">
      <c r="A64" s="404"/>
      <c r="B64" s="405"/>
      <c r="C64" s="405"/>
      <c r="D64" s="405"/>
      <c r="E64" s="405"/>
      <c r="F64" s="338" t="s">
        <v>89</v>
      </c>
      <c r="G64" s="338"/>
      <c r="H64" s="338"/>
      <c r="I64" s="342"/>
      <c r="J64" s="340"/>
    </row>
    <row r="65" spans="1:10" s="179" customFormat="1" ht="15.75" customHeight="1">
      <c r="A65" s="406"/>
      <c r="B65" s="407"/>
      <c r="C65" s="407"/>
      <c r="D65" s="407"/>
      <c r="E65" s="407"/>
      <c r="F65" s="338" t="s">
        <v>185</v>
      </c>
      <c r="G65" s="338"/>
      <c r="H65" s="338"/>
      <c r="I65" s="341"/>
      <c r="J65" s="337"/>
    </row>
    <row r="66" spans="1:10" s="179" customFormat="1" ht="19.5" customHeight="1">
      <c r="A66" s="334">
        <f>IF(option="","",IF(MAX(I51,tw1)-MIN(J15,tw1)&gt;0.2," ***Water Temperature is Outside Parameters, Redo Trial 1 ***","*** Water Temperature is Within Parameters, Continue With Trial 2 Measurements ***"))</f>
      </c>
      <c r="B66" s="359"/>
      <c r="C66" s="359"/>
      <c r="D66" s="359"/>
      <c r="E66" s="359"/>
      <c r="F66" s="359"/>
      <c r="G66" s="359"/>
      <c r="H66" s="359"/>
      <c r="I66" s="359"/>
      <c r="J66" s="359"/>
    </row>
    <row r="67" spans="1:10" s="179" customFormat="1" ht="12" customHeight="1">
      <c r="A67" s="167"/>
      <c r="B67" s="167"/>
      <c r="C67" s="167"/>
      <c r="D67" s="167"/>
      <c r="E67" s="167"/>
      <c r="F67" s="167"/>
      <c r="G67" s="167"/>
      <c r="H67" s="167"/>
      <c r="I67" s="167"/>
      <c r="J67" s="177"/>
    </row>
    <row r="68" spans="1:10" s="156" customFormat="1" ht="15.75" customHeight="1">
      <c r="A68" s="336" t="s">
        <v>45</v>
      </c>
      <c r="B68" s="336"/>
      <c r="C68" s="336"/>
      <c r="D68" s="336"/>
      <c r="E68" s="336"/>
      <c r="F68" s="336"/>
      <c r="G68" s="336"/>
      <c r="H68" s="336"/>
      <c r="I68" s="336"/>
      <c r="J68" s="336"/>
    </row>
    <row r="69" spans="1:10" s="156" customFormat="1" ht="15.75" customHeight="1">
      <c r="A69" s="402" t="s">
        <v>24</v>
      </c>
      <c r="B69" s="403"/>
      <c r="C69" s="403"/>
      <c r="D69" s="403"/>
      <c r="E69" s="403"/>
      <c r="F69" s="338" t="s">
        <v>184</v>
      </c>
      <c r="G69" s="338"/>
      <c r="H69" s="338"/>
      <c r="I69" s="339"/>
      <c r="J69" s="339"/>
    </row>
    <row r="70" spans="1:10" s="156" customFormat="1" ht="15.75" customHeight="1">
      <c r="A70" s="404"/>
      <c r="B70" s="405"/>
      <c r="C70" s="405"/>
      <c r="D70" s="405"/>
      <c r="E70" s="405"/>
      <c r="F70" s="338" t="s">
        <v>151</v>
      </c>
      <c r="G70" s="338"/>
      <c r="H70" s="338"/>
      <c r="I70" s="335"/>
      <c r="J70" s="335"/>
    </row>
    <row r="71" spans="1:10" s="156" customFormat="1" ht="15.75" customHeight="1">
      <c r="A71" s="404"/>
      <c r="B71" s="405"/>
      <c r="C71" s="405"/>
      <c r="D71" s="405"/>
      <c r="E71" s="405"/>
      <c r="F71" s="338" t="s">
        <v>153</v>
      </c>
      <c r="G71" s="338"/>
      <c r="H71" s="338"/>
      <c r="I71" s="335"/>
      <c r="J71" s="335"/>
    </row>
    <row r="72" spans="1:10" s="156" customFormat="1" ht="15.75" customHeight="1">
      <c r="A72" s="404"/>
      <c r="B72" s="405"/>
      <c r="C72" s="405"/>
      <c r="D72" s="405"/>
      <c r="E72" s="405"/>
      <c r="F72" s="338" t="s">
        <v>89</v>
      </c>
      <c r="G72" s="338"/>
      <c r="H72" s="338"/>
      <c r="I72" s="335"/>
      <c r="J72" s="335"/>
    </row>
    <row r="73" spans="1:10" s="156" customFormat="1" ht="15.75" customHeight="1">
      <c r="A73" s="406"/>
      <c r="B73" s="407"/>
      <c r="C73" s="407"/>
      <c r="D73" s="407"/>
      <c r="E73" s="407"/>
      <c r="F73" s="338" t="s">
        <v>152</v>
      </c>
      <c r="G73" s="338"/>
      <c r="H73" s="338"/>
      <c r="I73" s="335"/>
      <c r="J73" s="335"/>
    </row>
    <row r="74" spans="1:10" s="178" customFormat="1" ht="15.75">
      <c r="A74" s="362" t="s">
        <v>57</v>
      </c>
      <c r="B74" s="363"/>
      <c r="C74" s="363"/>
      <c r="D74" s="363"/>
      <c r="E74" s="363"/>
      <c r="F74" s="363"/>
      <c r="G74" s="363"/>
      <c r="H74" s="363"/>
      <c r="I74" s="363"/>
      <c r="J74" s="363"/>
    </row>
    <row r="75" spans="1:10" s="179" customFormat="1" ht="15" customHeight="1">
      <c r="A75" s="331">
        <f>IF(option="","",IF(option="Option A","Mass Standard(s), Ms, slightly larger than the mass of the filled vessel (OBS 1):","Mass Standard(s), Ms1, slightly larger than the mass of the empty drained or dry vessel (OBS 1):"))</f>
      </c>
      <c r="B75" s="368"/>
      <c r="C75" s="368"/>
      <c r="D75" s="368"/>
      <c r="E75" s="368"/>
      <c r="F75" s="368"/>
      <c r="G75" s="368"/>
      <c r="H75" s="368"/>
      <c r="I75" s="335"/>
      <c r="J75" s="335"/>
    </row>
    <row r="76" spans="1:10" s="156" customFormat="1" ht="15" customHeight="1">
      <c r="A76" s="368"/>
      <c r="B76" s="368"/>
      <c r="C76" s="368"/>
      <c r="D76" s="368"/>
      <c r="E76" s="368"/>
      <c r="F76" s="368"/>
      <c r="G76" s="368"/>
      <c r="H76" s="368"/>
      <c r="I76" s="335"/>
      <c r="J76" s="335"/>
    </row>
    <row r="77" spans="1:14" s="179" customFormat="1" ht="15" customHeight="1">
      <c r="A77" s="331">
        <f>IF(option="","","Empty dry or 'wet-down' vessel (OBS 2):")</f>
      </c>
      <c r="B77" s="368"/>
      <c r="C77" s="368"/>
      <c r="D77" s="368"/>
      <c r="E77" s="368"/>
      <c r="F77" s="368"/>
      <c r="G77" s="368"/>
      <c r="H77" s="368"/>
      <c r="I77" s="335"/>
      <c r="J77" s="335"/>
      <c r="N77" s="156"/>
    </row>
    <row r="78" spans="1:10" s="179" customFormat="1" ht="15" customHeight="1">
      <c r="A78" s="368"/>
      <c r="B78" s="368"/>
      <c r="C78" s="368"/>
      <c r="D78" s="368"/>
      <c r="E78" s="368"/>
      <c r="F78" s="368"/>
      <c r="G78" s="368"/>
      <c r="H78" s="368"/>
      <c r="I78" s="335"/>
      <c r="J78" s="335"/>
    </row>
    <row r="79" spans="1:10" s="179" customFormat="1" ht="15" customHeight="1">
      <c r="A79" s="331">
        <f>IF(option="","",IF(option="Option A","Filled vessel (OBS 3):","Mass Standard(s), Ms2, slightly larger than the mass of the filled vessel (OBS 3):"))</f>
      </c>
      <c r="B79" s="331"/>
      <c r="C79" s="331"/>
      <c r="D79" s="331"/>
      <c r="E79" s="331"/>
      <c r="F79" s="331"/>
      <c r="G79" s="331"/>
      <c r="H79" s="331"/>
      <c r="I79" s="335"/>
      <c r="J79" s="335"/>
    </row>
    <row r="80" spans="1:10" s="179" customFormat="1" ht="15" customHeight="1">
      <c r="A80" s="331"/>
      <c r="B80" s="331"/>
      <c r="C80" s="331"/>
      <c r="D80" s="331"/>
      <c r="E80" s="331"/>
      <c r="F80" s="331"/>
      <c r="G80" s="331"/>
      <c r="H80" s="331"/>
      <c r="I80" s="335"/>
      <c r="J80" s="335"/>
    </row>
    <row r="81" spans="1:14" s="179" customFormat="1" ht="15" customHeight="1">
      <c r="A81" s="332">
        <f>IF(OR(option="",option="Option A"),"","Filled vessel (OBS 4):")</f>
      </c>
      <c r="B81" s="333"/>
      <c r="C81" s="333"/>
      <c r="D81" s="333"/>
      <c r="E81" s="333"/>
      <c r="F81" s="333"/>
      <c r="G81" s="333"/>
      <c r="H81" s="333"/>
      <c r="I81" s="401"/>
      <c r="J81" s="401"/>
      <c r="N81" s="156"/>
    </row>
    <row r="82" spans="1:10" s="179" customFormat="1" ht="15" customHeight="1">
      <c r="A82" s="333"/>
      <c r="B82" s="333"/>
      <c r="C82" s="333"/>
      <c r="D82" s="333"/>
      <c r="E82" s="333"/>
      <c r="F82" s="333"/>
      <c r="G82" s="333"/>
      <c r="H82" s="333"/>
      <c r="I82" s="401"/>
      <c r="J82" s="401"/>
    </row>
    <row r="83" spans="1:10" s="179" customFormat="1" ht="19.5" customHeight="1">
      <c r="A83" s="402" t="s">
        <v>157</v>
      </c>
      <c r="B83" s="403"/>
      <c r="C83" s="403"/>
      <c r="D83" s="403"/>
      <c r="E83" s="403"/>
      <c r="F83" s="338" t="s">
        <v>152</v>
      </c>
      <c r="G83" s="338"/>
      <c r="H83" s="338"/>
      <c r="I83" s="342"/>
      <c r="J83" s="340"/>
    </row>
    <row r="84" spans="1:10" s="156" customFormat="1" ht="15.75" customHeight="1">
      <c r="A84" s="404"/>
      <c r="B84" s="405"/>
      <c r="C84" s="405"/>
      <c r="D84" s="405"/>
      <c r="E84" s="405"/>
      <c r="F84" s="338" t="s">
        <v>151</v>
      </c>
      <c r="G84" s="338"/>
      <c r="H84" s="338"/>
      <c r="I84" s="342"/>
      <c r="J84" s="340"/>
    </row>
    <row r="85" spans="1:10" s="156" customFormat="1" ht="15.75" customHeight="1">
      <c r="A85" s="404"/>
      <c r="B85" s="405"/>
      <c r="C85" s="405"/>
      <c r="D85" s="405"/>
      <c r="E85" s="405"/>
      <c r="F85" s="338" t="s">
        <v>153</v>
      </c>
      <c r="G85" s="338"/>
      <c r="H85" s="338"/>
      <c r="I85" s="342"/>
      <c r="J85" s="340"/>
    </row>
    <row r="86" spans="1:10" s="156" customFormat="1" ht="15.75" customHeight="1">
      <c r="A86" s="404"/>
      <c r="B86" s="405"/>
      <c r="C86" s="405"/>
      <c r="D86" s="405"/>
      <c r="E86" s="405"/>
      <c r="F86" s="338" t="s">
        <v>89</v>
      </c>
      <c r="G86" s="338"/>
      <c r="H86" s="338"/>
      <c r="I86" s="342"/>
      <c r="J86" s="340"/>
    </row>
    <row r="87" spans="1:10" s="179" customFormat="1" ht="15.75" customHeight="1">
      <c r="A87" s="406"/>
      <c r="B87" s="407"/>
      <c r="C87" s="407"/>
      <c r="D87" s="407"/>
      <c r="E87" s="407"/>
      <c r="F87" s="338" t="s">
        <v>185</v>
      </c>
      <c r="G87" s="338"/>
      <c r="H87" s="338"/>
      <c r="I87" s="341"/>
      <c r="J87" s="337"/>
    </row>
    <row r="88" spans="1:10" s="179" customFormat="1" ht="19.5" customHeight="1">
      <c r="A88" s="334">
        <f>IF(option="","",IF(MAX(I73,tw1)-MIN(J37,tw1)&gt;0.2," ***Water Temperature is Outside Parameters, Redo Trial 1 ***","*** Water Temperature is Within Parameters, Continue With Trial 2 Measurements ***"))</f>
      </c>
      <c r="B88" s="359"/>
      <c r="C88" s="359"/>
      <c r="D88" s="359"/>
      <c r="E88" s="359"/>
      <c r="F88" s="359"/>
      <c r="G88" s="359"/>
      <c r="H88" s="359"/>
      <c r="I88" s="359"/>
      <c r="J88" s="359"/>
    </row>
    <row r="89" ht="12.75"/>
    <row r="90" ht="12.75" hidden="1"/>
    <row r="91" ht="12.75"/>
  </sheetData>
  <sheetProtection password="FFED" sheet="1" objects="1" scenarios="1" selectLockedCells="1"/>
  <mergeCells count="153">
    <mergeCell ref="D19:E19"/>
    <mergeCell ref="A21:C21"/>
    <mergeCell ref="A22:H22"/>
    <mergeCell ref="D21:E21"/>
    <mergeCell ref="H20:I20"/>
    <mergeCell ref="F19:G19"/>
    <mergeCell ref="H19:J19"/>
    <mergeCell ref="A42:C42"/>
    <mergeCell ref="F21:H21"/>
    <mergeCell ref="D27:E27"/>
    <mergeCell ref="I14:J14"/>
    <mergeCell ref="A20:B20"/>
    <mergeCell ref="A19:C19"/>
    <mergeCell ref="C14:E14"/>
    <mergeCell ref="E20:G20"/>
    <mergeCell ref="A16:E16"/>
    <mergeCell ref="A23:H23"/>
    <mergeCell ref="I23:J23"/>
    <mergeCell ref="I22:J22"/>
    <mergeCell ref="F50:H50"/>
    <mergeCell ref="I50:J50"/>
    <mergeCell ref="F49:H49"/>
    <mergeCell ref="I49:J49"/>
    <mergeCell ref="I47:J47"/>
    <mergeCell ref="F47:H47"/>
    <mergeCell ref="E42:F42"/>
    <mergeCell ref="E43:F43"/>
    <mergeCell ref="A47:E51"/>
    <mergeCell ref="I79:J80"/>
    <mergeCell ref="A79:H80"/>
    <mergeCell ref="A43:C43"/>
    <mergeCell ref="A69:E73"/>
    <mergeCell ref="I77:J78"/>
    <mergeCell ref="A53:H54"/>
    <mergeCell ref="I53:J54"/>
    <mergeCell ref="A61:E65"/>
    <mergeCell ref="I63:J63"/>
    <mergeCell ref="F51:H51"/>
    <mergeCell ref="I10:J10"/>
    <mergeCell ref="F10:H10"/>
    <mergeCell ref="I11:J11"/>
    <mergeCell ref="I21:J21"/>
    <mergeCell ref="F14:H14"/>
    <mergeCell ref="H13:J13"/>
    <mergeCell ref="F13:G13"/>
    <mergeCell ref="I12:J12"/>
    <mergeCell ref="I15:J15"/>
    <mergeCell ref="G16:I16"/>
    <mergeCell ref="F12:H12"/>
    <mergeCell ref="A15:H15"/>
    <mergeCell ref="A14:B14"/>
    <mergeCell ref="A12:B12"/>
    <mergeCell ref="C12:E12"/>
    <mergeCell ref="A13:C13"/>
    <mergeCell ref="D13:E13"/>
    <mergeCell ref="I5:J5"/>
    <mergeCell ref="I1:J1"/>
    <mergeCell ref="A4:B7"/>
    <mergeCell ref="C4:G7"/>
    <mergeCell ref="I6:J6"/>
    <mergeCell ref="I4:J4"/>
    <mergeCell ref="A10:B10"/>
    <mergeCell ref="F11:H11"/>
    <mergeCell ref="C10:E10"/>
    <mergeCell ref="C11:E11"/>
    <mergeCell ref="A11:B11"/>
    <mergeCell ref="A88:J88"/>
    <mergeCell ref="I81:J82"/>
    <mergeCell ref="A74:J74"/>
    <mergeCell ref="A75:H76"/>
    <mergeCell ref="A77:H78"/>
    <mergeCell ref="I75:J76"/>
    <mergeCell ref="A83:E87"/>
    <mergeCell ref="A81:H82"/>
    <mergeCell ref="I85:J85"/>
    <mergeCell ref="F87:H87"/>
    <mergeCell ref="F48:H48"/>
    <mergeCell ref="A26:J26"/>
    <mergeCell ref="D32:E32"/>
    <mergeCell ref="D30:E30"/>
    <mergeCell ref="A32:A35"/>
    <mergeCell ref="D29:E29"/>
    <mergeCell ref="A28:A31"/>
    <mergeCell ref="F27:G27"/>
    <mergeCell ref="F31:G31"/>
    <mergeCell ref="F33:G33"/>
    <mergeCell ref="F28:G28"/>
    <mergeCell ref="D28:E28"/>
    <mergeCell ref="D35:E35"/>
    <mergeCell ref="F29:G29"/>
    <mergeCell ref="D31:E31"/>
    <mergeCell ref="F30:G30"/>
    <mergeCell ref="F35:G35"/>
    <mergeCell ref="F32:G32"/>
    <mergeCell ref="D34:E34"/>
    <mergeCell ref="E41:F41"/>
    <mergeCell ref="G41:H41"/>
    <mergeCell ref="E40:F40"/>
    <mergeCell ref="A38:J38"/>
    <mergeCell ref="I39:J39"/>
    <mergeCell ref="I40:J40"/>
    <mergeCell ref="I41:J41"/>
    <mergeCell ref="D33:E33"/>
    <mergeCell ref="E39:F39"/>
    <mergeCell ref="I48:J48"/>
    <mergeCell ref="G42:H42"/>
    <mergeCell ref="G43:H43"/>
    <mergeCell ref="G39:H39"/>
    <mergeCell ref="G40:H40"/>
    <mergeCell ref="A46:J46"/>
    <mergeCell ref="A40:C40"/>
    <mergeCell ref="F34:G34"/>
    <mergeCell ref="A41:C41"/>
    <mergeCell ref="A39:C39"/>
    <mergeCell ref="I65:J65"/>
    <mergeCell ref="A52:J52"/>
    <mergeCell ref="I55:J56"/>
    <mergeCell ref="I59:J60"/>
    <mergeCell ref="A55:H56"/>
    <mergeCell ref="I57:J58"/>
    <mergeCell ref="F64:H64"/>
    <mergeCell ref="F62:H62"/>
    <mergeCell ref="F71:H71"/>
    <mergeCell ref="I51:J51"/>
    <mergeCell ref="A68:J68"/>
    <mergeCell ref="A57:H58"/>
    <mergeCell ref="A59:H60"/>
    <mergeCell ref="A66:J66"/>
    <mergeCell ref="I61:J61"/>
    <mergeCell ref="F61:H61"/>
    <mergeCell ref="I62:J62"/>
    <mergeCell ref="F65:H65"/>
    <mergeCell ref="F63:H63"/>
    <mergeCell ref="F73:H73"/>
    <mergeCell ref="I69:J69"/>
    <mergeCell ref="I70:J70"/>
    <mergeCell ref="I71:J71"/>
    <mergeCell ref="I72:J72"/>
    <mergeCell ref="I73:J73"/>
    <mergeCell ref="F69:H69"/>
    <mergeCell ref="F70:H70"/>
    <mergeCell ref="F72:H72"/>
    <mergeCell ref="F83:H83"/>
    <mergeCell ref="F84:H84"/>
    <mergeCell ref="F85:H85"/>
    <mergeCell ref="F86:H86"/>
    <mergeCell ref="I42:J42"/>
    <mergeCell ref="I43:J43"/>
    <mergeCell ref="I86:J86"/>
    <mergeCell ref="I87:J87"/>
    <mergeCell ref="I84:J84"/>
    <mergeCell ref="I83:J83"/>
    <mergeCell ref="I64:J64"/>
  </mergeCells>
  <conditionalFormatting sqref="M76 M54">
    <cfRule type="expression" priority="1" dxfId="0" stopIfTrue="1">
      <formula>ABS(#REF!-#REF!)&lt;0.2</formula>
    </cfRule>
  </conditionalFormatting>
  <conditionalFormatting sqref="A81:H82 A59:H60">
    <cfRule type="expression" priority="2" dxfId="1" stopIfTrue="1">
      <formula>$I$23="Option A"</formula>
    </cfRule>
    <cfRule type="expression" priority="3" dxfId="2" stopIfTrue="1">
      <formula>$I$23="Option B"</formula>
    </cfRule>
    <cfRule type="expression" priority="4" dxfId="2" stopIfTrue="1">
      <formula>$I$23=""</formula>
    </cfRule>
  </conditionalFormatting>
  <conditionalFormatting sqref="I59:J60 I81:J82">
    <cfRule type="expression" priority="5" dxfId="1" stopIfTrue="1">
      <formula>$I$23="Option A"</formula>
    </cfRule>
    <cfRule type="expression" priority="6" dxfId="3" stopIfTrue="1">
      <formula>$I$23="Option B"</formula>
    </cfRule>
    <cfRule type="expression" priority="7" dxfId="3" stopIfTrue="1">
      <formula>$I$23=""</formula>
    </cfRule>
  </conditionalFormatting>
  <conditionalFormatting sqref="A88:J88">
    <cfRule type="expression" priority="8" dxfId="4" stopIfTrue="1">
      <formula>MAX($I$73,tw2)-MIN($I$73,tw2)&gt;0.2</formula>
    </cfRule>
    <cfRule type="expression" priority="9" dxfId="5" stopIfTrue="1">
      <formula>MAX($I$73,tw2)-MIN($I$73,tw2)&lt;=0.2</formula>
    </cfRule>
  </conditionalFormatting>
  <conditionalFormatting sqref="A66:J66">
    <cfRule type="expression" priority="10" dxfId="4" stopIfTrue="1">
      <formula>MAX($I$51,tw1)-MIN($J$15,tw1)&gt;0.2</formula>
    </cfRule>
    <cfRule type="expression" priority="11" dxfId="5" stopIfTrue="1">
      <formula>MAX($I$51,tw1)-MIN($J$15,tw1)&lt;=0.2</formula>
    </cfRule>
  </conditionalFormatting>
  <conditionalFormatting sqref="D40:D43">
    <cfRule type="expression" priority="12" dxfId="6" stopIfTrue="1">
      <formula>VLOOKUP(D40,Enviro.Stds,9)&lt;Cal_Date</formula>
    </cfRule>
  </conditionalFormatting>
  <conditionalFormatting sqref="B28:B30 B32:B34">
    <cfRule type="expression" priority="13" dxfId="6" stopIfTrue="1">
      <formula>VLOOKUP(B28,Stds.Table,12)&lt;Cal_Date</formula>
    </cfRule>
  </conditionalFormatting>
  <dataValidations count="9">
    <dataValidation type="list" allowBlank="1" showInputMessage="1" showErrorMessage="1" promptTitle="Measurement Option" prompt="Pick from list" sqref="I23:J23">
      <formula1>Option.List</formula1>
    </dataValidation>
    <dataValidation type="list" allowBlank="1" showInputMessage="1" showErrorMessage="1" promptTitle="Reference Temperature Unit" prompt="Pick from list" sqref="F14:H14">
      <formula1>Ref_Temp.List</formula1>
    </dataValidation>
    <dataValidation type="list" allowBlank="1" showInputMessage="1" showErrorMessage="1" promptTitle="Type of Calibration" prompt="Pick from list" sqref="I17:J17 I15:J15">
      <formula1>TypeCal.List</formula1>
    </dataValidation>
    <dataValidation type="list" allowBlank="1" showInputMessage="1" showErrorMessage="1" promptTitle="Yes or No" prompt="Pick from list" sqref="F16">
      <formula1>Q.list</formula1>
    </dataValidation>
    <dataValidation type="list" allowBlank="1" showInputMessage="1" showErrorMessage="1" promptTitle="Nominal Volume Unit" prompt="Pick from list" sqref="F11:H11">
      <formula1>Nom_Val.List</formula1>
    </dataValidation>
    <dataValidation type="list" allowBlank="1" showInputMessage="1" showErrorMessage="1" promptTitle="Material" prompt="Pick from list" sqref="C12:E12">
      <formula1>Material.List</formula1>
    </dataValidation>
    <dataValidation type="textLength" operator="equal" allowBlank="1" showInputMessage="1" showErrorMessage="1" promptTitle="Phone Number" prompt="Enter ten (10) digit phone number. Enter numbers only." sqref="I6:J6">
      <formula1>10</formula1>
    </dataValidation>
    <dataValidation type="list" allowBlank="1" showInputMessage="1" showErrorMessage="1" promptTitle="Artifact Specification" prompt="Pick from list. For User Specified Tolerences enter the tolerence in the Tolerance Vlookup Table found in the Tables &amp; Lists Worksheet." sqref="H13:J13">
      <formula1>Spec.List</formula1>
    </dataValidation>
    <dataValidation type="list" allowBlank="1" showInputMessage="1" showErrorMessage="1" promptTitle="Artifact Description" prompt="Pick from list" sqref="C10:E10">
      <formula1>Description.list</formula1>
    </dataValidation>
  </dataValidations>
  <printOptions horizontalCentered="1"/>
  <pageMargins left="0.5" right="0.5" top="1.25" bottom="0.75" header="0.75" footer="0.5"/>
  <pageSetup horizontalDpi="300" verticalDpi="300" orientation="portrait" scale="91" r:id="rId4"/>
  <headerFooter alignWithMargins="0">
    <oddHeader>&amp;L&amp;"Trebuchet MS,Regular"Gravimetric Calibration of Volumetric Ware
Using an Electronic Balance&amp;R&amp;"Trebuchet MS,Regular"WAMRF-005, Rev. 13, 2/6/2007</oddHeader>
    <oddFooter>&amp;L&amp;"Trebuchet MS,Regular"&amp;F&amp;R&amp;"Trebuchet MS,Regular"&amp;A Worksheet Page &amp;P of &amp;N</oddFooter>
  </headerFooter>
  <rowBreaks count="1" manualBreakCount="1">
    <brk id="43" max="9" man="1"/>
  </rowBreaks>
  <ignoredErrors>
    <ignoredError sqref="D31" 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21"/>
  </sheetPr>
  <dimension ref="A1:H16"/>
  <sheetViews>
    <sheetView showGridLines="0" workbookViewId="0" topLeftCell="A1">
      <selection activeCell="A1" sqref="A1"/>
    </sheetView>
  </sheetViews>
  <sheetFormatPr defaultColWidth="8.88671875" defaultRowHeight="15.75" zeroHeight="1"/>
  <cols>
    <col min="3" max="3" width="11.5546875" style="0" bestFit="1" customWidth="1"/>
    <col min="6" max="6" width="8.99609375" style="0" bestFit="1" customWidth="1"/>
    <col min="9" max="9" width="1.77734375" style="0" customWidth="1"/>
    <col min="10" max="16384" width="8.88671875" style="0" hidden="1" customWidth="1"/>
  </cols>
  <sheetData>
    <row r="1" spans="1:8" ht="19.5" thickBot="1">
      <c r="A1" s="114" t="s">
        <v>163</v>
      </c>
      <c r="B1" s="20"/>
      <c r="C1" s="20"/>
      <c r="D1" s="20"/>
      <c r="E1" s="20"/>
      <c r="F1" s="20"/>
      <c r="G1" s="20"/>
      <c r="H1" s="115">
        <f>IF(ISBLANK(RptNo),"","Report Number: "&amp;RptNo)</f>
      </c>
    </row>
    <row r="2" spans="1:8" ht="12" customHeight="1">
      <c r="A2" s="119"/>
      <c r="B2" s="119"/>
      <c r="C2" s="119"/>
      <c r="D2" s="119"/>
      <c r="E2" s="119"/>
      <c r="F2" s="119"/>
      <c r="G2" s="119"/>
      <c r="H2" s="119"/>
    </row>
    <row r="3" spans="1:8" ht="19.5" customHeight="1">
      <c r="A3" s="480" t="s">
        <v>28</v>
      </c>
      <c r="B3" s="480"/>
      <c r="C3" s="480"/>
      <c r="D3" s="480"/>
      <c r="E3" s="480"/>
      <c r="F3" s="480"/>
      <c r="G3" s="480"/>
      <c r="H3" s="480"/>
    </row>
    <row r="4" spans="1:8" ht="18" customHeight="1">
      <c r="A4" s="481" t="s">
        <v>9</v>
      </c>
      <c r="B4" s="482"/>
      <c r="C4" s="482"/>
      <c r="D4" s="482"/>
      <c r="E4" s="483"/>
      <c r="F4" s="473" t="s">
        <v>102</v>
      </c>
      <c r="G4" s="474"/>
      <c r="H4" s="474"/>
    </row>
    <row r="5" spans="1:8" ht="16.5" customHeight="1">
      <c r="A5" s="479" t="s">
        <v>98</v>
      </c>
      <c r="B5" s="479"/>
      <c r="C5" s="479"/>
      <c r="D5" s="477">
        <f>IF(ISBLANK(P_1_start),"",AVERAGE(P_1_start+P_corr,P_1_end+P_corr))</f>
      </c>
      <c r="E5" s="477"/>
      <c r="F5" s="475"/>
      <c r="G5" s="475"/>
      <c r="H5" s="475"/>
    </row>
    <row r="6" spans="1:8" ht="15.75">
      <c r="A6" s="479" t="s">
        <v>99</v>
      </c>
      <c r="B6" s="479"/>
      <c r="C6" s="479"/>
      <c r="D6" s="477">
        <f>IF(ISBLANK(t_air1_start),"",AVERAGE(t_air1_start+t_air_corr,t_air1_end+t_air_corr))</f>
      </c>
      <c r="E6" s="477"/>
      <c r="F6" s="471">
        <f>IF(D5="","",D5*133.322368421053)</f>
      </c>
      <c r="G6" s="472"/>
      <c r="H6" s="142" t="s">
        <v>8</v>
      </c>
    </row>
    <row r="7" spans="1:8" ht="15.75">
      <c r="A7" s="479" t="s">
        <v>100</v>
      </c>
      <c r="B7" s="479"/>
      <c r="C7" s="479"/>
      <c r="D7" s="477">
        <f>IF(ISBLANK(U_1_start),"",AVERAGE(U_1_start+U_corr,U_1_end+U_corr))</f>
      </c>
      <c r="E7" s="477"/>
      <c r="F7" s="471">
        <f>IF(D6="","",D6+273.15)</f>
      </c>
      <c r="G7" s="472"/>
      <c r="H7" s="142" t="s">
        <v>26</v>
      </c>
    </row>
    <row r="8" spans="1:8" ht="15.75">
      <c r="A8" s="476" t="s">
        <v>101</v>
      </c>
      <c r="B8" s="476"/>
      <c r="C8" s="476"/>
      <c r="D8" s="470">
        <f>IF(D7="","",0.0289635*($F$6)/(((1-($F$6)/($F$7)*(0.00000158123+(-0.000000029331*($D$6))+(0.00000000011043*($D$6)^2)+(0.000005707+(-0.00000002051*($D$6)))*(($F$8/100)*(1.00062+0.0000000314*($F$6)+0.00000056*($D$6)^2)*(EXP(0.000012378847*($F$7)^2+(-0.019121316)*($F$7)+33.93711047+(-6343.1645/($F$7))))/($F$6))+(0.00019898+(-0.000002376*($D$6)))*(($F$8/100)*(1.00062+0.0000000314*($F$6)+0.00000056*($D$6)^2)*(EXP(0.000012378847*($F$7)^2+(-0.019121316)*($F$7)+33.93711047+(-6343.1645/($F$7))))/($F$6))^2)+($F$6)^2/($F$7)^2*(0.0000000000183+(-0.00000000765*(($F$8/100)*(1.00062+0.0000000314*($F$6)+0.00000056*($D$6)^2)*(EXP(0.000012378847*($F$7)^2+(-0.019121316)*($F$7)+33.93711047+(-6343.1645/($F$7))))/($F$6))^2))))*8.31451*($F$7))*(1-(0.378*(($F$8/100)*(1.00062+0.0000000314*($F$6)+0.00000056*($D$6)^2)*(EXP(0.000012378847*($F$7)^2+(-0.019121316)*($F$7)+33.93711047+(-6343.1645/($F$7))))/($F$6)))))</f>
      </c>
      <c r="E8" s="470"/>
      <c r="F8" s="471">
        <f>D7</f>
      </c>
      <c r="G8" s="472"/>
      <c r="H8" s="142" t="s">
        <v>27</v>
      </c>
    </row>
    <row r="9" spans="1:8" ht="15.75">
      <c r="A9" s="120"/>
      <c r="B9" s="120"/>
      <c r="C9" s="120"/>
      <c r="D9" s="120"/>
      <c r="E9" s="121"/>
      <c r="F9" s="121"/>
      <c r="G9" s="121"/>
      <c r="H9" s="121"/>
    </row>
    <row r="10" spans="1:8" ht="16.5">
      <c r="A10" s="478" t="s">
        <v>10</v>
      </c>
      <c r="B10" s="478"/>
      <c r="C10" s="478"/>
      <c r="D10" s="478"/>
      <c r="E10" s="478"/>
      <c r="F10" s="473" t="s">
        <v>102</v>
      </c>
      <c r="G10" s="474"/>
      <c r="H10" s="474"/>
    </row>
    <row r="11" spans="1:8" ht="15.75">
      <c r="A11" s="479" t="s">
        <v>98</v>
      </c>
      <c r="B11" s="479"/>
      <c r="C11" s="479"/>
      <c r="D11" s="477">
        <f>IF(ISBLANK(P_2_start),"",AVERAGE(P_2_start+P_corr,P_2_end+P_corr))</f>
      </c>
      <c r="E11" s="477"/>
      <c r="F11" s="475"/>
      <c r="G11" s="475"/>
      <c r="H11" s="475"/>
    </row>
    <row r="12" spans="1:8" ht="15.75">
      <c r="A12" s="479" t="s">
        <v>99</v>
      </c>
      <c r="B12" s="479"/>
      <c r="C12" s="479"/>
      <c r="D12" s="477">
        <f>IF(ISBLANK(t_air2_start),"",AVERAGE(t_air2_start+t_air_corr,t_air2_end+t_air_corr))</f>
      </c>
      <c r="E12" s="477"/>
      <c r="F12" s="471">
        <f>IF(D11="","",D11*133.322368421053)</f>
      </c>
      <c r="G12" s="472"/>
      <c r="H12" s="142" t="s">
        <v>8</v>
      </c>
    </row>
    <row r="13" spans="1:8" ht="15.75">
      <c r="A13" s="479" t="s">
        <v>100</v>
      </c>
      <c r="B13" s="479"/>
      <c r="C13" s="479"/>
      <c r="D13" s="477">
        <f>IF(ISBLANK(U_2_start),"",AVERAGE(U_2_start+U_corr,U_2_end+U_corr))</f>
      </c>
      <c r="E13" s="477"/>
      <c r="F13" s="471">
        <f>IF(D12="","",D12+273.15)</f>
      </c>
      <c r="G13" s="472"/>
      <c r="H13" s="142" t="s">
        <v>26</v>
      </c>
    </row>
    <row r="14" spans="1:8" ht="15.75">
      <c r="A14" s="476" t="s">
        <v>101</v>
      </c>
      <c r="B14" s="476"/>
      <c r="C14" s="476"/>
      <c r="D14" s="470">
        <f>IF(D13="","",0.0289635*($F$12)/(((1-($F$12)/($F$13)*(0.00000158123+(-0.000000029331*($D$12))+(0.00000000011043*($D$12)^2)+(0.000005707+(-0.00000002051*($D$12)))*(($F$14/100)*(1.00062+0.0000000314*($F$12)+0.00000056*($D$12)^2)*(EXP(0.000012378847*($F$13)^2+(-0.019121316)*($F$13)+33.93711047+(-6343.1645/($F$13))))/($F$12))+(0.00019898+(-0.000002376*($D$12)))*(($F$14/100)*(1.00062+0.0000000314*($F$12)+0.00000056*($D$12)^2)*(EXP(0.000012378847*($F$13)^2+(-0.019121316)*($F$13)+33.93711047+(-6343.1645/($F$13))))/($F$12))^2)+($F$12)^2/($F$13)^2*(0.0000000000183+(-0.00000000765*(($F$14/100)*(1.00062+0.0000000314*($F$12)+0.00000056*($D$12)^2)*(EXP(0.000012378847*($F$13)^2+(-0.019121316)*($F$13)+33.93711047+(-6343.1645/($F$13))))/($F$12))^2))))*8.31451*($F$13))*(1-(0.378*(($F$14/100)*(1.00062+0.0000000314*($F$12)+0.00000056*($D$12)^2)*(EXP(0.000012378847*($F$13)^2+(-0.019121316)*($F$13)+33.93711047+(-6343.1645/($F$13))))/($F$12)))))</f>
      </c>
      <c r="E14" s="470"/>
      <c r="F14" s="471">
        <f>D13</f>
      </c>
      <c r="G14" s="472"/>
      <c r="H14" s="142" t="s">
        <v>27</v>
      </c>
    </row>
    <row r="15" ht="15.75">
      <c r="E15" s="4"/>
    </row>
    <row r="16" ht="15.75" hidden="1">
      <c r="E16" s="4"/>
    </row>
    <row r="17" ht="15.75" hidden="1"/>
    <row r="18" ht="15.75" hidden="1"/>
    <row r="19" ht="15.75" hidden="1"/>
    <row r="20" ht="15.75" hidden="1"/>
    <row r="21" ht="15.75" hidden="1"/>
  </sheetData>
  <sheetProtection password="FFED" sheet="1" objects="1" scenarios="1" selectLockedCells="1" selectUnlockedCells="1"/>
  <mergeCells count="27">
    <mergeCell ref="A6:C6"/>
    <mergeCell ref="A5:C5"/>
    <mergeCell ref="A7:C7"/>
    <mergeCell ref="A3:H3"/>
    <mergeCell ref="F4:H5"/>
    <mergeCell ref="A4:E4"/>
    <mergeCell ref="D5:E5"/>
    <mergeCell ref="F6:G6"/>
    <mergeCell ref="F7:G7"/>
    <mergeCell ref="F8:G8"/>
    <mergeCell ref="D8:E8"/>
    <mergeCell ref="D6:E6"/>
    <mergeCell ref="D7:E7"/>
    <mergeCell ref="F10:H11"/>
    <mergeCell ref="A14:C14"/>
    <mergeCell ref="D11:E11"/>
    <mergeCell ref="A8:C8"/>
    <mergeCell ref="A10:E10"/>
    <mergeCell ref="A11:C11"/>
    <mergeCell ref="A12:C12"/>
    <mergeCell ref="A13:C13"/>
    <mergeCell ref="D12:E12"/>
    <mergeCell ref="D13:E13"/>
    <mergeCell ref="D14:E14"/>
    <mergeCell ref="F12:G12"/>
    <mergeCell ref="F13:G13"/>
    <mergeCell ref="F14:G14"/>
  </mergeCells>
  <printOptions/>
  <pageMargins left="0.75" right="0.75" top="1.25" bottom="0.75" header="0.75" footer="0.5"/>
  <pageSetup horizontalDpi="600" verticalDpi="600" orientation="portrait" r:id="rId1"/>
  <headerFooter alignWithMargins="0">
    <oddHeader>&amp;L&amp;"Trebuchet MS,Regular"Gravimetric Calibration of Volumetric Ware
Using an Electronic Balance&amp;R&amp;"Trebuchet MS,Regular"WAMRF-005, Rev. 13, 2/6/2007</oddHeader>
    <oddFooter>&amp;L&amp;"Trebuchet MS,Regular"&amp;F&amp;R&amp;"Trebuchet MS,Regular"&amp;A Worksheet Page &amp;P of &amp;N</oddFooter>
  </headerFooter>
</worksheet>
</file>

<file path=xl/worksheets/sheet5.xml><?xml version="1.0" encoding="utf-8"?>
<worksheet xmlns="http://schemas.openxmlformats.org/spreadsheetml/2006/main" xmlns:r="http://schemas.openxmlformats.org/officeDocument/2006/relationships">
  <sheetPr>
    <tabColor indexed="17"/>
  </sheetPr>
  <dimension ref="A1:I43"/>
  <sheetViews>
    <sheetView showGridLines="0" workbookViewId="0" topLeftCell="A1">
      <selection activeCell="A1" sqref="A1"/>
    </sheetView>
  </sheetViews>
  <sheetFormatPr defaultColWidth="8.88671875" defaultRowHeight="15.75" zeroHeight="1"/>
  <cols>
    <col min="1" max="8" width="10.77734375" style="1" customWidth="1"/>
    <col min="9" max="9" width="1.77734375" style="1" customWidth="1"/>
    <col min="10" max="10" width="15.77734375" style="1" hidden="1" customWidth="1"/>
    <col min="11" max="11" width="14.5546875" style="1" hidden="1" customWidth="1"/>
    <col min="12" max="16384" width="0" style="1" hidden="1" customWidth="1"/>
  </cols>
  <sheetData>
    <row r="1" spans="1:8" ht="19.5" thickBot="1">
      <c r="A1" s="114" t="s">
        <v>37</v>
      </c>
      <c r="B1" s="20"/>
      <c r="C1" s="20"/>
      <c r="D1" s="20"/>
      <c r="E1" s="20"/>
      <c r="F1" s="20"/>
      <c r="G1" s="20"/>
      <c r="H1" s="115">
        <f>IF(ISBLANK(RptNo),"","Report Number: "&amp;RptNo)</f>
      </c>
    </row>
    <row r="2" ht="12" customHeight="1"/>
    <row r="3" spans="1:8" ht="19.5" customHeight="1" thickBot="1">
      <c r="A3" s="39" t="s">
        <v>174</v>
      </c>
      <c r="B3" s="39"/>
      <c r="C3" s="39"/>
      <c r="D3" s="39"/>
      <c r="E3" s="39"/>
      <c r="F3" s="39"/>
      <c r="G3" s="39"/>
      <c r="H3" s="39"/>
    </row>
    <row r="4" spans="1:8" ht="19.5" customHeight="1">
      <c r="A4" s="40"/>
      <c r="B4" s="41" t="s">
        <v>105</v>
      </c>
      <c r="C4" s="495">
        <f>IF(ISERROR(CIPM_Pa1/1000),"",CIPM_Pa1/1000)</f>
      </c>
      <c r="D4" s="495"/>
      <c r="E4" s="40" t="s">
        <v>109</v>
      </c>
      <c r="F4" s="491" t="s">
        <v>110</v>
      </c>
      <c r="G4" s="491"/>
      <c r="H4" s="491"/>
    </row>
    <row r="5" spans="1:8" ht="19.5" customHeight="1">
      <c r="A5" s="40"/>
      <c r="B5" s="41" t="s">
        <v>106</v>
      </c>
      <c r="C5" s="495">
        <f>IF(ISERROR(CIPM_Pa2/1000),"",CIPM_Pa2/1000)</f>
      </c>
      <c r="D5" s="495"/>
      <c r="E5" s="40" t="s">
        <v>109</v>
      </c>
      <c r="F5" s="492"/>
      <c r="G5" s="492"/>
      <c r="H5" s="492"/>
    </row>
    <row r="6" ht="12" customHeight="1"/>
    <row r="7" spans="1:8" ht="19.5" customHeight="1" thickBot="1">
      <c r="A7" s="39" t="s">
        <v>175</v>
      </c>
      <c r="B7" s="39"/>
      <c r="C7" s="39"/>
      <c r="D7" s="39"/>
      <c r="E7" s="39"/>
      <c r="F7" s="39"/>
      <c r="G7" s="39"/>
      <c r="H7" s="39"/>
    </row>
    <row r="8" spans="1:8" ht="19.5" customHeight="1">
      <c r="A8" s="43"/>
      <c r="B8" s="41" t="s">
        <v>107</v>
      </c>
      <c r="C8" s="495">
        <f>IF(ISBLANK(option),"",IF(option="Option A",(999.97358*(1-(0.000000070134*((tw1+t_water_corr)-3.9818)+0.000007926504*((tw1+t_water_corr)-3.9818)^2+-0.00000007575677*((tw1+t_water_corr)-3.9818)^3+0.0000000007314894*((tw1+t_water_corr)-3.9818)^4+-0.000000000003596458*((tw1+t_water_corr)-3.9818)^5)))/1000,IF(option="Option B",(999.97358*(1-(0.000000070134*((tw1+t_water_corr)-3.9818)+0.000007926504*((tw1+t_water_corr)-3.9818)^2+-0.00000007575677*((tw1+t_water_corr)-3.9818)^3+0.0000000007314894*((tw1+t_water_corr)-3.9818)^4+-0.000000000003596458*((tw1+t_water_corr)-3.9818)^5)))/1000)))</f>
      </c>
      <c r="D8" s="495"/>
      <c r="E8" s="40" t="s">
        <v>109</v>
      </c>
      <c r="F8" s="491" t="s">
        <v>111</v>
      </c>
      <c r="G8" s="491"/>
      <c r="H8" s="491"/>
    </row>
    <row r="9" spans="1:8" ht="19.5" customHeight="1">
      <c r="A9" s="43"/>
      <c r="B9" s="41" t="s">
        <v>108</v>
      </c>
      <c r="C9" s="495">
        <f>IF(ISBLANK(option),"",IF(option="Option A",(999.97358*(1-(0.000000070134*((tw2+t_water_corr)-3.9818)+0.000007926504*((tw2+t_water_corr)-3.9818)^2+-0.00000007575677*((tw2+t_water_corr)-3.9818)^3+0.0000000007314894*((tw2+t_water_corr)-3.9818)^4+-0.000000000003596458*((tw2+t_water_corr)-3.9818)^5)))/1000,IF(option="Option B",(999.97358*(1-(0.000000070134*((tw2+t_water_corr)-3.9818)+0.000007926504*((tw2+t_water_corr)-3.9818)^2+-0.00000007575677*((tw2+t_water_corr)-3.9818)^3+0.0000000007314894*((tw2+t_water_corr)-3.9818)^4+-0.000000000003596458*((tw2+t_water_corr)-3.9818)^5)))/1000)))</f>
      </c>
      <c r="D9" s="495"/>
      <c r="E9" s="40" t="s">
        <v>109</v>
      </c>
      <c r="F9" s="492"/>
      <c r="G9" s="492"/>
      <c r="H9" s="492"/>
    </row>
    <row r="10" ht="12" customHeight="1"/>
    <row r="11" spans="1:8" ht="19.5" customHeight="1" thickBot="1">
      <c r="A11" s="39" t="s">
        <v>0</v>
      </c>
      <c r="B11" s="39"/>
      <c r="C11" s="39"/>
      <c r="D11" s="39"/>
      <c r="E11" s="39"/>
      <c r="F11" s="39"/>
      <c r="G11" s="39"/>
      <c r="H11" s="39"/>
    </row>
    <row r="12" spans="1:8" ht="19.5" customHeight="1">
      <c r="A12" s="44"/>
      <c r="B12" s="41" t="str">
        <f>IF(option="","Ms",IF(option="Option A","Ms","Ms1 (empty/drained) ="))</f>
        <v>Ms</v>
      </c>
      <c r="C12" s="485">
        <f>IF(ISBLANK(option),"",IF(Ms1_nom+Cs_1/1000=0,"",Ms1_nom+Cs_1/1000))</f>
      </c>
      <c r="D12" s="485"/>
      <c r="E12" s="40" t="s">
        <v>1</v>
      </c>
      <c r="F12" s="40" t="s">
        <v>46</v>
      </c>
      <c r="G12" s="42"/>
      <c r="H12" s="42"/>
    </row>
    <row r="13" spans="1:8" ht="19.5" customHeight="1">
      <c r="A13" s="44"/>
      <c r="B13" s="41">
        <f>IF(OR(option="",option="Option A"),"","Ms2 (filled) =")</f>
      </c>
      <c r="C13" s="485">
        <f>IF(OR(option="",option="Option A"),"",Ms2_nom+Cs_2/1000)</f>
      </c>
      <c r="D13" s="485"/>
      <c r="E13" s="40">
        <f>IF(OR(option="",option="Option A"),"","g")</f>
      </c>
      <c r="F13" s="40">
        <f>IF(OR(option="",option="Option A"),"","true mass of standard(s)")</f>
      </c>
      <c r="G13" s="42"/>
      <c r="H13" s="42"/>
    </row>
    <row r="14" ht="12" customHeight="1"/>
    <row r="15" spans="1:8" s="2" customFormat="1" ht="19.5" customHeight="1" thickBot="1">
      <c r="A15" s="39" t="s">
        <v>176</v>
      </c>
      <c r="B15" s="39"/>
      <c r="C15" s="39"/>
      <c r="D15" s="39"/>
      <c r="E15" s="39"/>
      <c r="F15" s="39"/>
      <c r="G15" s="39"/>
      <c r="H15" s="39"/>
    </row>
    <row r="16" spans="1:8" ht="19.5" customHeight="1">
      <c r="A16" s="146"/>
      <c r="B16" s="147" t="s">
        <v>103</v>
      </c>
      <c r="C16" s="486">
        <f>IF(ISBLANK(option),"",IF(option="Option A",((Obs3-Obs2)*(Ms_1*(1-Pa/P_Ms1)/Obs1))*(1/(Pw1-Pa)),((Obs4*(Ms_2*(1-Pa/P_Ms2)/Obs3))-(Obs2*(Ms_1*(1-Pa/P_Ms1)/Obs1)))*(1/(Pw1-Pa))))</f>
      </c>
      <c r="D16" s="486"/>
      <c r="E16" s="146" t="s">
        <v>25</v>
      </c>
      <c r="F16" s="491" t="s">
        <v>177</v>
      </c>
      <c r="G16" s="491"/>
      <c r="H16" s="491"/>
    </row>
    <row r="17" spans="1:8" ht="19.5" customHeight="1">
      <c r="A17" s="148"/>
      <c r="B17" s="149" t="s">
        <v>104</v>
      </c>
      <c r="C17" s="487">
        <f>IF(ISBLANK(option),"",IF(option="Option A",((Obs3_Run2-Obs2_Run2)*(Ms_1*(1-Pa2/P_Ms1)/Obs1_Run2))*(1/(Pw2-Pa2)),((Obs4_Run2*(Ms_2*(1-Pa2/P_Ms2)/Obs3_Run2))-(Obs2_Run2*(Ms_1*(1-Pa2/P_Ms1)/Obs1_Run2)))*(1/(Pw2-Pa2))))</f>
      </c>
      <c r="D17" s="487"/>
      <c r="E17" s="148" t="s">
        <v>25</v>
      </c>
      <c r="F17" s="493"/>
      <c r="G17" s="493"/>
      <c r="H17" s="493"/>
    </row>
    <row r="18" spans="1:8" ht="19.5" customHeight="1">
      <c r="A18" s="150"/>
      <c r="B18" s="151" t="str">
        <f>IF(RefTempUnit="Reference Temperature (ºF)","Trial 1 V @ "&amp;RefTemp&amp;" "&amp;CHAR(186)&amp;"F =","Trial 1 V @ "&amp;RefTemp&amp;" "&amp;CHAR(186)&amp;"C =")</f>
        <v>Trial 1 V @  ºF =</v>
      </c>
      <c r="C18" s="488">
        <f>IF(ISBLANK(option),"",IF(RefTempUnit="Reference Temperature (ºF)",C16*(1-a*((tw1+t_water_corr)-((RefTemp-32)/1.8))),C16*(1-a*((tw1+t_water_corr)-RefTemp))))</f>
      </c>
      <c r="D18" s="488"/>
      <c r="E18" s="150" t="s">
        <v>25</v>
      </c>
      <c r="F18" s="494" t="s">
        <v>178</v>
      </c>
      <c r="G18" s="494"/>
      <c r="H18" s="494"/>
    </row>
    <row r="19" spans="1:8" ht="19.5" customHeight="1">
      <c r="A19" s="148"/>
      <c r="B19" s="152" t="str">
        <f>IF(RefTempUnit="Reference Temperature (ºF)","Trial 2 V @ "&amp;RefTemp&amp;" "&amp;CHAR(186)&amp;"F =","Trial 2 V @ "&amp;RefTemp&amp;" "&amp;CHAR(186)&amp;"C =")</f>
        <v>Trial 2 V @  ºF =</v>
      </c>
      <c r="C19" s="487">
        <f>IF(ISBLANK(option),"",IF(RefTempUnit="Reference Temperature (ºF)",C17*(1-a*((tw2+t_water_corr)-((RefTemp-32)/1.8))),C17*(1-a*((tw2+t_water_corr)-RefTemp))))</f>
      </c>
      <c r="D19" s="487"/>
      <c r="E19" s="148" t="s">
        <v>25</v>
      </c>
      <c r="F19" s="493"/>
      <c r="G19" s="493"/>
      <c r="H19" s="493"/>
    </row>
    <row r="20" spans="1:8" ht="19.5" customHeight="1">
      <c r="A20" s="43"/>
      <c r="B20" s="46" t="str">
        <f>IF(RefTempUnit="Reference Temperature (ºF)","V @ "&amp;RefTemp&amp;" "&amp;CHAR(186)&amp;"F =","V @ "&amp;RefTemp&amp;" "&amp;CHAR(186)&amp;"C =")</f>
        <v>V @  ºF =</v>
      </c>
      <c r="C20" s="485">
        <f>IF(ISERROR(AVERAGE(C18,C19)),"",AVERAGE(C18,C19))</f>
      </c>
      <c r="D20" s="485"/>
      <c r="E20" s="43" t="s">
        <v>25</v>
      </c>
      <c r="F20" s="141" t="s">
        <v>179</v>
      </c>
      <c r="G20" s="42"/>
      <c r="H20" s="42"/>
    </row>
    <row r="21" spans="1:8" ht="12" customHeight="1">
      <c r="A21" s="43"/>
      <c r="B21" s="46"/>
      <c r="C21" s="127"/>
      <c r="D21" s="127"/>
      <c r="E21" s="43"/>
      <c r="F21" s="141"/>
      <c r="G21" s="42"/>
      <c r="H21" s="42"/>
    </row>
    <row r="22" spans="1:8" ht="19.5" customHeight="1" thickBot="1">
      <c r="A22" s="39" t="s">
        <v>239</v>
      </c>
      <c r="B22" s="39"/>
      <c r="C22" s="39"/>
      <c r="D22" s="39"/>
      <c r="E22" s="39"/>
      <c r="F22" s="39"/>
      <c r="G22" s="39"/>
      <c r="H22" s="39"/>
    </row>
    <row r="23" spans="1:8" ht="35.25" customHeight="1">
      <c r="A23" s="489" t="s">
        <v>270</v>
      </c>
      <c r="B23" s="489"/>
      <c r="C23" s="489"/>
      <c r="D23" s="489"/>
      <c r="E23" s="489"/>
      <c r="F23" s="489"/>
      <c r="G23" s="489"/>
      <c r="H23" s="489"/>
    </row>
    <row r="24" spans="2:8" ht="19.5" customHeight="1">
      <c r="B24" s="46" t="str">
        <f>IF(Spec="NIST HB 105-3","0.07 % of Measured Volume =","1/3 of Tolerance =")</f>
        <v>1/3 of Tolerance =</v>
      </c>
      <c r="C24" s="485">
        <f>IF(Spec="","",IF(Spec="Not Applicable","N/A",IF(Spec="NIST HB 105-3",0.07%*C20,VLOOKUP(Spec,tolerance,2)/3)))</f>
      </c>
      <c r="D24" s="485"/>
      <c r="E24" s="43" t="s">
        <v>25</v>
      </c>
      <c r="F24" s="496">
        <f>IF(OR(C24="",C24="N/A"),"",IF(C25&lt;C24,"Uncertainty Meets Criteria.","Uncertainty Fails Criteria, Re-evaluate or Use Different Calibration Method."))</f>
      </c>
      <c r="G24" s="496"/>
      <c r="H24" s="496"/>
    </row>
    <row r="25" spans="1:8" ht="19.5" customHeight="1">
      <c r="A25" s="43"/>
      <c r="B25" s="46" t="s">
        <v>240</v>
      </c>
      <c r="C25" s="485">
        <f>IF(C20="","",IF(Spec="Not Applicable","N/A",ReportedUnc))</f>
      </c>
      <c r="D25" s="485"/>
      <c r="E25" s="43" t="s">
        <v>25</v>
      </c>
      <c r="F25" s="496"/>
      <c r="G25" s="496"/>
      <c r="H25" s="496"/>
    </row>
    <row r="26" spans="1:8" ht="12" customHeight="1">
      <c r="A26" s="43"/>
      <c r="B26" s="46"/>
      <c r="C26" s="127"/>
      <c r="D26" s="127"/>
      <c r="E26" s="43"/>
      <c r="F26" s="141"/>
      <c r="G26" s="42"/>
      <c r="H26" s="42"/>
    </row>
    <row r="27" spans="1:8" ht="19.5" customHeight="1" thickBot="1">
      <c r="A27" s="39" t="s">
        <v>241</v>
      </c>
      <c r="B27" s="39"/>
      <c r="C27" s="39"/>
      <c r="D27" s="39"/>
      <c r="E27" s="39"/>
      <c r="F27" s="39"/>
      <c r="G27" s="39"/>
      <c r="H27" s="39"/>
    </row>
    <row r="28" spans="1:8" ht="35.25" customHeight="1">
      <c r="A28" s="489" t="s">
        <v>242</v>
      </c>
      <c r="B28" s="489"/>
      <c r="C28" s="489"/>
      <c r="D28" s="489"/>
      <c r="E28" s="489"/>
      <c r="F28" s="489"/>
      <c r="G28" s="489"/>
      <c r="H28" s="489"/>
    </row>
    <row r="29" spans="1:8" ht="19.5" customHeight="1">
      <c r="A29" s="43"/>
      <c r="B29" s="46" t="s">
        <v>243</v>
      </c>
      <c r="C29" s="485">
        <f>IF(C20="","",IF(Spec="Not Applicable","N/A",C20-VLOOKUP(NomValueUnit,VolTable,9)))</f>
      </c>
      <c r="D29" s="485"/>
      <c r="E29" s="43" t="s">
        <v>25</v>
      </c>
      <c r="F29" s="496">
        <f>IF(C29="","",IF(C29&lt;=ABS(C30),Description&amp;" is Within Tolerence.",Description&amp;" is Out-Of-Tolerance."))</f>
      </c>
      <c r="G29" s="496"/>
      <c r="H29" s="496"/>
    </row>
    <row r="30" spans="1:8" ht="19.5" customHeight="1">
      <c r="A30" s="43"/>
      <c r="B30" s="46" t="s">
        <v>244</v>
      </c>
      <c r="C30" s="485">
        <f>IF(C20="","",IF(Spec="Not Applicable","N/A",VLOOKUP(Spec,tolerance,2)-ReportedUnc))</f>
      </c>
      <c r="D30" s="485"/>
      <c r="E30" s="43" t="s">
        <v>25</v>
      </c>
      <c r="F30" s="496"/>
      <c r="G30" s="496"/>
      <c r="H30" s="496"/>
    </row>
    <row r="31" ht="12" customHeight="1"/>
    <row r="32" spans="1:8" ht="19.5" customHeight="1" thickBot="1">
      <c r="A32" s="77" t="s">
        <v>137</v>
      </c>
      <c r="B32" s="78"/>
      <c r="C32" s="79"/>
      <c r="D32" s="80"/>
      <c r="E32" s="80"/>
      <c r="F32" s="81"/>
      <c r="G32" s="82"/>
      <c r="H32" s="82"/>
    </row>
    <row r="33" spans="1:8" ht="39" customHeight="1">
      <c r="A33" s="45"/>
      <c r="B33" s="47" t="s">
        <v>21</v>
      </c>
      <c r="C33" s="485">
        <f>IF(ISERROR(ABS(C18-C19)),"",ABS(C18-C19))</f>
      </c>
      <c r="D33" s="485"/>
      <c r="E33" s="43" t="s">
        <v>25</v>
      </c>
      <c r="F33" s="484">
        <f>IF(ISBLANK(Rmean),"",IF(C33&lt;Rmean*3.267,"The Range of the Trials is Within the Control Limits, Plot Range on Control Chart.","Range Test Fails, Investigate and Correct Any Problems, Then Redo Measurements"))</f>
      </c>
      <c r="G33" s="484"/>
      <c r="H33" s="484"/>
    </row>
    <row r="34" ht="12" customHeight="1"/>
    <row r="35" spans="1:8" s="2" customFormat="1" ht="19.5" customHeight="1" thickBot="1">
      <c r="A35" s="77" t="s">
        <v>138</v>
      </c>
      <c r="B35" s="39"/>
      <c r="C35" s="39"/>
      <c r="D35" s="39"/>
      <c r="E35" s="39"/>
      <c r="F35" s="39"/>
      <c r="G35" s="39"/>
      <c r="H35" s="39"/>
    </row>
    <row r="36" spans="1:8" s="2" customFormat="1" ht="19.5" customHeight="1">
      <c r="A36" s="135"/>
      <c r="B36" s="137" t="s">
        <v>172</v>
      </c>
      <c r="C36" s="136">
        <f>IF(C20="","",VLOOKUP(NomValueUnit,VolTable,6))</f>
      </c>
      <c r="D36" s="136"/>
      <c r="E36" s="136"/>
      <c r="F36" s="136"/>
      <c r="G36" s="136"/>
      <c r="H36" s="136"/>
    </row>
    <row r="37" spans="1:9" ht="19.5" customHeight="1">
      <c r="A37" s="43"/>
      <c r="B37" s="46" t="str">
        <f>IF(RefTempUnit="Reference Temerature (ºF)","V @ "&amp;RefTemp&amp;" "&amp;CHAR(186)&amp;"F =","V @ "&amp;RefTemp&amp;" "&amp;CHAR(186)&amp;"C =")</f>
        <v>V @  ºC =</v>
      </c>
      <c r="C37" s="127">
        <f>IF(C20="","",VLOOKUP(NomValueUnit,VolTable,4))</f>
      </c>
      <c r="D37" s="134">
        <f>IF(C20="","",VLOOKUP(NomValueUnit,VolTable,8))</f>
      </c>
      <c r="E37" s="43"/>
      <c r="F37" s="48"/>
      <c r="G37" s="42"/>
      <c r="H37" s="49"/>
      <c r="I37" s="3"/>
    </row>
    <row r="38" spans="1:9" ht="19.5" customHeight="1">
      <c r="A38" s="43"/>
      <c r="B38" s="46" t="s">
        <v>48</v>
      </c>
      <c r="C38" s="51">
        <f>IF(C20="","",VLOOKUP(NomValueUnit,VolTable,5))</f>
      </c>
      <c r="D38" s="50">
        <f>IF(C20="","",VLOOKUP(NomValueUnit,VolTable,8))</f>
      </c>
      <c r="E38" s="43"/>
      <c r="F38" s="48"/>
      <c r="G38" s="42"/>
      <c r="H38" s="49"/>
      <c r="I38" s="3"/>
    </row>
    <row r="39" ht="12" customHeight="1"/>
    <row r="40" ht="13.5" customHeight="1" hidden="1"/>
    <row r="41" ht="12.75" hidden="1"/>
    <row r="42" ht="12.75" hidden="1">
      <c r="B42" s="6"/>
    </row>
    <row r="43" spans="3:4" ht="12.75" hidden="1">
      <c r="C43" s="490"/>
      <c r="D43" s="490"/>
    </row>
    <row r="44" ht="12.75" hidden="1"/>
    <row r="45" ht="12.75" hidden="1"/>
    <row r="46" ht="12.75" hidden="1"/>
    <row r="47" ht="12.75" hidden="1"/>
  </sheetData>
  <sheetProtection password="FFED" sheet="1" objects="1" scenarios="1" selectLockedCells="1" selectUnlockedCells="1"/>
  <mergeCells count="26">
    <mergeCell ref="F24:H25"/>
    <mergeCell ref="F29:H30"/>
    <mergeCell ref="C24:D24"/>
    <mergeCell ref="C25:D25"/>
    <mergeCell ref="C29:D29"/>
    <mergeCell ref="C30:D30"/>
    <mergeCell ref="C43:D43"/>
    <mergeCell ref="F4:H5"/>
    <mergeCell ref="F8:H9"/>
    <mergeCell ref="F16:H17"/>
    <mergeCell ref="F18:H19"/>
    <mergeCell ref="C4:D4"/>
    <mergeCell ref="C5:D5"/>
    <mergeCell ref="C8:D8"/>
    <mergeCell ref="C9:D9"/>
    <mergeCell ref="C12:D12"/>
    <mergeCell ref="F33:H33"/>
    <mergeCell ref="C13:D13"/>
    <mergeCell ref="C33:D33"/>
    <mergeCell ref="C20:D20"/>
    <mergeCell ref="C16:D16"/>
    <mergeCell ref="C17:D17"/>
    <mergeCell ref="C18:D18"/>
    <mergeCell ref="C19:D19"/>
    <mergeCell ref="A23:H23"/>
    <mergeCell ref="A28:H28"/>
  </mergeCells>
  <conditionalFormatting sqref="F24">
    <cfRule type="expression" priority="1" dxfId="5" stopIfTrue="1">
      <formula>$C$25&lt;$C$24</formula>
    </cfRule>
    <cfRule type="expression" priority="2" dxfId="4" stopIfTrue="1">
      <formula>$C$25&gt;$C$24</formula>
    </cfRule>
    <cfRule type="expression" priority="3" dxfId="7" stopIfTrue="1">
      <formula>"spec=""Not Applicable"""</formula>
    </cfRule>
  </conditionalFormatting>
  <conditionalFormatting sqref="F29:H30">
    <cfRule type="expression" priority="4" dxfId="5" stopIfTrue="1">
      <formula>AND(ISNUMBER($C$29),$C$29&lt;=ABS($C$30))</formula>
    </cfRule>
    <cfRule type="expression" priority="5" dxfId="4" stopIfTrue="1">
      <formula>$C$29&gt;ABS($C$30)</formula>
    </cfRule>
    <cfRule type="expression" priority="6" dxfId="1" stopIfTrue="1">
      <formula>Spec="Not Applicable"</formula>
    </cfRule>
  </conditionalFormatting>
  <conditionalFormatting sqref="F33:H33">
    <cfRule type="expression" priority="7" dxfId="5" stopIfTrue="1">
      <formula>AND(ISNUMBER(C33),C33&lt;Rmean*3.267)</formula>
    </cfRule>
    <cfRule type="expression" priority="8" dxfId="4" stopIfTrue="1">
      <formula>AND(ISNUMBER(C33),C33&gt;Rmean*3.267)</formula>
    </cfRule>
    <cfRule type="expression" priority="9" dxfId="1" stopIfTrue="1">
      <formula>$C$33=""</formula>
    </cfRule>
  </conditionalFormatting>
  <printOptions horizontalCentered="1"/>
  <pageMargins left="0.5" right="0.5" top="1.25" bottom="0.75" header="0.75" footer="0.5"/>
  <pageSetup horizontalDpi="180" verticalDpi="180" orientation="portrait" scale="92" r:id="rId1"/>
  <headerFooter alignWithMargins="0">
    <oddHeader>&amp;L&amp;"Trebuchet MS,Regular"Gravimetric Calibration of Volumetric Ware
Using an Electronic Balance&amp;R&amp;"Trebuchet MS,Regular"WAMRF-005, Rev. 13, 2/6/2007</oddHeader>
    <oddFooter>&amp;L&amp;"Trebuchet MS,Regular"&amp;F&amp;R&amp;"Trebuchet MS,Regular"&amp;A Worksheet Page &amp;P of &amp;N</oddFooter>
  </headerFooter>
  <rowBreaks count="1" manualBreakCount="1">
    <brk id="34" max="7" man="1"/>
  </rowBreaks>
</worksheet>
</file>

<file path=xl/worksheets/sheet6.xml><?xml version="1.0" encoding="utf-8"?>
<worksheet xmlns="http://schemas.openxmlformats.org/spreadsheetml/2006/main" xmlns:r="http://schemas.openxmlformats.org/officeDocument/2006/relationships">
  <sheetPr>
    <tabColor indexed="18"/>
  </sheetPr>
  <dimension ref="A1:Q176"/>
  <sheetViews>
    <sheetView showGridLines="0" workbookViewId="0" topLeftCell="A1">
      <selection activeCell="A1" sqref="A1"/>
    </sheetView>
  </sheetViews>
  <sheetFormatPr defaultColWidth="8.88671875" defaultRowHeight="15.75" zeroHeight="1"/>
  <cols>
    <col min="1" max="17" width="12.3359375" style="7" customWidth="1"/>
    <col min="18" max="18" width="1.77734375" style="7" customWidth="1"/>
    <col min="19" max="16384" width="10.77734375" style="7" hidden="1" customWidth="1"/>
  </cols>
  <sheetData>
    <row r="1" spans="1:17" ht="19.5" thickBot="1">
      <c r="A1" s="114" t="s">
        <v>165</v>
      </c>
      <c r="B1" s="20"/>
      <c r="C1" s="20"/>
      <c r="D1" s="20"/>
      <c r="E1" s="20"/>
      <c r="F1" s="20"/>
      <c r="G1" s="20"/>
      <c r="H1" s="20"/>
      <c r="I1" s="20"/>
      <c r="J1" s="238"/>
      <c r="K1" s="20"/>
      <c r="L1" s="20"/>
      <c r="M1" s="20"/>
      <c r="N1" s="20"/>
      <c r="O1" s="20"/>
      <c r="P1" s="20"/>
      <c r="Q1" s="115">
        <f>IF(ISBLANK(RptNo),"","Report Number: "&amp;RptNo)</f>
      </c>
    </row>
    <row r="2" spans="1:10" ht="12" customHeight="1">
      <c r="A2" s="92"/>
      <c r="B2" s="92"/>
      <c r="C2" s="90"/>
      <c r="D2" s="91"/>
      <c r="E2" s="90"/>
      <c r="F2" s="90"/>
      <c r="G2" s="90"/>
      <c r="H2" s="90"/>
      <c r="I2" s="91"/>
      <c r="J2" s="91"/>
    </row>
    <row r="3" spans="1:17" ht="18.75" thickBot="1">
      <c r="A3" s="500" t="s">
        <v>29</v>
      </c>
      <c r="B3" s="500"/>
      <c r="C3" s="500"/>
      <c r="D3" s="500"/>
      <c r="E3" s="500"/>
      <c r="F3" s="500"/>
      <c r="G3" s="500"/>
      <c r="H3" s="500"/>
      <c r="I3" s="500"/>
      <c r="J3" s="500"/>
      <c r="K3" s="500"/>
      <c r="L3" s="500"/>
      <c r="M3" s="500"/>
      <c r="N3" s="500"/>
      <c r="O3" s="500"/>
      <c r="P3" s="500"/>
      <c r="Q3" s="500"/>
    </row>
    <row r="4" spans="1:11" ht="15.75">
      <c r="A4" s="95" t="s">
        <v>167</v>
      </c>
      <c r="B4" s="90"/>
      <c r="C4" s="90"/>
      <c r="D4" s="90"/>
      <c r="E4" s="90"/>
      <c r="F4" s="93"/>
      <c r="G4" s="93"/>
      <c r="H4" s="90"/>
      <c r="I4" s="91"/>
      <c r="J4" s="91"/>
      <c r="K4" s="8"/>
    </row>
    <row r="5" spans="1:11" ht="12" customHeight="1">
      <c r="A5" s="94"/>
      <c r="B5" s="90"/>
      <c r="C5" s="90"/>
      <c r="D5" s="90"/>
      <c r="E5" s="90"/>
      <c r="F5" s="93"/>
      <c r="G5" s="93"/>
      <c r="H5" s="90"/>
      <c r="I5" s="91"/>
      <c r="J5" s="91"/>
      <c r="K5" s="8"/>
    </row>
    <row r="6" spans="1:17" ht="18.75" thickBot="1">
      <c r="A6" s="500" t="s">
        <v>30</v>
      </c>
      <c r="B6" s="500"/>
      <c r="C6" s="500"/>
      <c r="D6" s="500"/>
      <c r="E6" s="500"/>
      <c r="F6" s="500"/>
      <c r="G6" s="500"/>
      <c r="H6" s="500"/>
      <c r="I6" s="500"/>
      <c r="J6" s="500"/>
      <c r="K6" s="500"/>
      <c r="L6" s="500"/>
      <c r="M6" s="500"/>
      <c r="N6" s="500"/>
      <c r="O6" s="500"/>
      <c r="P6" s="500"/>
      <c r="Q6" s="500"/>
    </row>
    <row r="7" spans="1:12" ht="15">
      <c r="A7" s="91" t="s">
        <v>168</v>
      </c>
      <c r="B7" s="91"/>
      <c r="C7" s="91"/>
      <c r="D7" s="91"/>
      <c r="E7" s="91" t="s">
        <v>169</v>
      </c>
      <c r="F7" s="91"/>
      <c r="G7" s="91"/>
      <c r="H7" s="91"/>
      <c r="I7" s="91"/>
      <c r="J7" s="91"/>
      <c r="L7" s="91" t="s">
        <v>156</v>
      </c>
    </row>
    <row r="8" spans="1:12" ht="66.75" customHeight="1">
      <c r="A8" s="94"/>
      <c r="B8" s="91"/>
      <c r="C8" s="90"/>
      <c r="D8" s="90"/>
      <c r="E8" s="90"/>
      <c r="F8" s="90"/>
      <c r="G8" s="90"/>
      <c r="H8" s="90"/>
      <c r="I8" s="91"/>
      <c r="J8" s="91"/>
      <c r="L8" s="91"/>
    </row>
    <row r="9" spans="1:13" ht="15">
      <c r="A9" s="198"/>
      <c r="B9" s="90"/>
      <c r="C9" s="90"/>
      <c r="D9" s="90"/>
      <c r="E9" s="90"/>
      <c r="F9" s="93"/>
      <c r="H9" s="90"/>
      <c r="I9" s="91"/>
      <c r="J9" s="91"/>
      <c r="L9" s="128" t="s">
        <v>17</v>
      </c>
      <c r="M9" s="91"/>
    </row>
    <row r="10" spans="1:13" ht="17.25">
      <c r="A10" s="128" t="s">
        <v>17</v>
      </c>
      <c r="B10" s="90"/>
      <c r="D10" s="90"/>
      <c r="E10" s="90"/>
      <c r="F10" s="93"/>
      <c r="L10" s="96" t="s">
        <v>148</v>
      </c>
      <c r="M10" s="90" t="s">
        <v>31</v>
      </c>
    </row>
    <row r="11" spans="1:13" ht="17.25">
      <c r="A11" s="96" t="s">
        <v>142</v>
      </c>
      <c r="B11" s="91" t="s">
        <v>32</v>
      </c>
      <c r="D11" s="90"/>
      <c r="E11" s="91"/>
      <c r="F11" s="93"/>
      <c r="L11" s="96" t="s">
        <v>141</v>
      </c>
      <c r="M11" s="100" t="s">
        <v>327</v>
      </c>
    </row>
    <row r="12" spans="1:13" ht="17.25">
      <c r="A12" s="96" t="s">
        <v>143</v>
      </c>
      <c r="B12" s="91" t="s">
        <v>318</v>
      </c>
      <c r="D12" s="90"/>
      <c r="E12" s="90"/>
      <c r="F12" s="93"/>
      <c r="L12" s="96" t="s">
        <v>22</v>
      </c>
      <c r="M12" s="90" t="s">
        <v>33</v>
      </c>
    </row>
    <row r="13" spans="1:13" ht="17.25">
      <c r="A13" s="96" t="s">
        <v>316</v>
      </c>
      <c r="B13" s="91" t="s">
        <v>319</v>
      </c>
      <c r="D13" s="90"/>
      <c r="E13" s="90"/>
      <c r="F13" s="93"/>
      <c r="L13" s="96" t="s">
        <v>149</v>
      </c>
      <c r="M13" s="90" t="s">
        <v>34</v>
      </c>
    </row>
    <row r="14" spans="1:13" ht="17.25">
      <c r="A14" s="96" t="s">
        <v>317</v>
      </c>
      <c r="B14" s="91" t="s">
        <v>318</v>
      </c>
      <c r="D14" s="90"/>
      <c r="E14" s="90"/>
      <c r="F14" s="93"/>
      <c r="L14" s="96"/>
      <c r="M14" s="90"/>
    </row>
    <row r="15" spans="1:6" ht="17.25">
      <c r="A15" s="96" t="s">
        <v>144</v>
      </c>
      <c r="B15" s="91" t="s">
        <v>320</v>
      </c>
      <c r="D15" s="90"/>
      <c r="E15" s="90"/>
      <c r="F15" s="93"/>
    </row>
    <row r="16" spans="1:6" ht="17.25">
      <c r="A16" s="96" t="s">
        <v>145</v>
      </c>
      <c r="B16" s="91" t="s">
        <v>35</v>
      </c>
      <c r="D16" s="90"/>
      <c r="E16" s="90"/>
      <c r="F16" s="90"/>
    </row>
    <row r="17" spans="1:6" ht="17.25">
      <c r="A17" s="96" t="s">
        <v>146</v>
      </c>
      <c r="B17" s="91" t="s">
        <v>140</v>
      </c>
      <c r="D17" s="91"/>
      <c r="E17" s="91"/>
      <c r="F17" s="93"/>
    </row>
    <row r="18" spans="1:6" ht="17.25">
      <c r="A18" s="96" t="s">
        <v>147</v>
      </c>
      <c r="B18" s="91" t="s">
        <v>36</v>
      </c>
      <c r="D18" s="91"/>
      <c r="E18" s="91"/>
      <c r="F18" s="93"/>
    </row>
    <row r="19" spans="1:11" ht="12" customHeight="1">
      <c r="A19" s="94"/>
      <c r="B19" s="90"/>
      <c r="C19" s="90"/>
      <c r="D19" s="90"/>
      <c r="E19" s="90"/>
      <c r="F19" s="93"/>
      <c r="G19" s="93"/>
      <c r="H19" s="90"/>
      <c r="I19" s="91"/>
      <c r="J19" s="91"/>
      <c r="K19" s="8"/>
    </row>
    <row r="20" spans="1:17" ht="18.75" thickBot="1">
      <c r="A20" s="500" t="s">
        <v>303</v>
      </c>
      <c r="B20" s="500"/>
      <c r="C20" s="500"/>
      <c r="D20" s="500"/>
      <c r="E20" s="500"/>
      <c r="F20" s="500"/>
      <c r="G20" s="500"/>
      <c r="H20" s="500"/>
      <c r="I20" s="500"/>
      <c r="J20" s="500"/>
      <c r="K20" s="500"/>
      <c r="L20" s="500"/>
      <c r="M20" s="500"/>
      <c r="N20" s="500"/>
      <c r="O20" s="500"/>
      <c r="P20" s="500"/>
      <c r="Q20" s="500"/>
    </row>
    <row r="21" spans="1:17" ht="15.75">
      <c r="A21" s="508" t="s">
        <v>321</v>
      </c>
      <c r="B21" s="509"/>
      <c r="C21" s="509"/>
      <c r="D21" s="509"/>
      <c r="E21" s="509"/>
      <c r="F21" s="509"/>
      <c r="G21" s="510"/>
      <c r="H21" s="497" t="s">
        <v>272</v>
      </c>
      <c r="I21" s="498"/>
      <c r="J21" s="498"/>
      <c r="K21" s="498"/>
      <c r="L21" s="498"/>
      <c r="M21" s="498"/>
      <c r="N21" s="498"/>
      <c r="O21" s="498"/>
      <c r="P21" s="498"/>
      <c r="Q21" s="499"/>
    </row>
    <row r="22" spans="1:17" s="227" customFormat="1" ht="36" customHeight="1">
      <c r="A22" s="316">
        <f>IF(Ms_1="","",Ms_1)</f>
      </c>
      <c r="B22" s="317" t="s">
        <v>1</v>
      </c>
      <c r="C22" s="511" t="str">
        <f>IF(option="","(Ms) Mass standard(s)",IF(option="Option A","(Ms) Mass standard(s) slightly more than the mass of the filled vessel","(Ms1) Mass standard(s) slightly more than the mass of the empty/drained vessel"))</f>
        <v>(Ms) Mass standard(s)</v>
      </c>
      <c r="D22" s="511"/>
      <c r="E22" s="511"/>
      <c r="F22" s="511"/>
      <c r="G22" s="512"/>
      <c r="H22" s="318">
        <f>IF(U_Ms1="","",U_Ms1/1000)</f>
      </c>
      <c r="I22" s="317" t="s">
        <v>1</v>
      </c>
      <c r="J22" s="538" t="str">
        <f>IF(OR(option="",option="Option A"),"Uncertainty of mass standard(s), Ms, from calibration report, normal distribution, k =1","Uncertainty of mass standard(s), Ms1, from calibration report, normal distribution, k =1")</f>
        <v>Uncertainty of mass standard(s), Ms, from calibration report, normal distribution, k =1</v>
      </c>
      <c r="K22" s="538"/>
      <c r="L22" s="538"/>
      <c r="M22" s="538"/>
      <c r="N22" s="538"/>
      <c r="O22" s="538"/>
      <c r="P22" s="538"/>
      <c r="Q22" s="539"/>
    </row>
    <row r="23" spans="1:17" ht="18" customHeight="1">
      <c r="A23" s="218">
        <f>IF(P_Ms1="","",P_Ms1)</f>
      </c>
      <c r="B23" s="215" t="s">
        <v>150</v>
      </c>
      <c r="C23" s="504" t="str">
        <f>IF(OR(option="",option="Option A"),"(ρs) Density of mass standard(s) - Ms","(ρs1) Density of mass standard(s) - Ms1")</f>
        <v>(ρs) Density of mass standard(s) - Ms</v>
      </c>
      <c r="D23" s="504"/>
      <c r="E23" s="504"/>
      <c r="F23" s="504"/>
      <c r="G23" s="505"/>
      <c r="H23" s="217">
        <f>IF(U_P_Ms1="","",U_P_Ms1)</f>
      </c>
      <c r="I23" s="215" t="s">
        <v>150</v>
      </c>
      <c r="J23" s="526" t="s">
        <v>304</v>
      </c>
      <c r="K23" s="526"/>
      <c r="L23" s="526"/>
      <c r="M23" s="526"/>
      <c r="N23" s="526"/>
      <c r="O23" s="526"/>
      <c r="P23" s="526"/>
      <c r="Q23" s="527"/>
    </row>
    <row r="24" spans="1:17" ht="18" customHeight="1">
      <c r="A24" s="219">
        <f>IF(Ms_2="","",Ms_2)</f>
      </c>
      <c r="B24" s="222">
        <f>IF(OR(option="",option="Option A"),"","g")</f>
      </c>
      <c r="C24" s="506">
        <f>IF(OR(option="",option="Option A"),"","(Ms2) Mass standard(s) slightly more than the mass of the filled vessel")</f>
      </c>
      <c r="D24" s="506"/>
      <c r="E24" s="506"/>
      <c r="F24" s="506"/>
      <c r="G24" s="507"/>
      <c r="H24" s="221">
        <f>IF(U_Ms2="","",U_Ms2/1000)</f>
      </c>
      <c r="I24" s="220">
        <f>IF(OR(option="",option="Option A"),"","g")</f>
      </c>
      <c r="J24" s="521">
        <f>IF(OR(option="",option="Option A"),"","Uncertainty of mass standard(s), Ms2, from calibration report, normal distribution, k =1")</f>
      </c>
      <c r="K24" s="521"/>
      <c r="L24" s="521"/>
      <c r="M24" s="521"/>
      <c r="N24" s="521"/>
      <c r="O24" s="521"/>
      <c r="P24" s="521"/>
      <c r="Q24" s="533"/>
    </row>
    <row r="25" spans="1:17" ht="18" customHeight="1">
      <c r="A25" s="218">
        <f>IF(P_Ms2="","",P_Ms2)</f>
      </c>
      <c r="B25" s="216">
        <f>IF(OR(option="",option="Option A"),"","g/cm³")</f>
      </c>
      <c r="C25" s="504">
        <f>IF(OR(option="",option="Option A"),"","(ρs2) Density of mass standard(s) - Ms2")</f>
      </c>
      <c r="D25" s="504"/>
      <c r="E25" s="504"/>
      <c r="F25" s="504"/>
      <c r="G25" s="505"/>
      <c r="H25" s="217">
        <f>IF(U_P_Ms2="","",U_P_Ms2)</f>
      </c>
      <c r="I25" s="215">
        <f>IF(OR(option="",option="Option A"),"","g/cm³")</f>
      </c>
      <c r="J25" s="526">
        <f>IF(OR(option="",option="Option A"),"","Uncertainty of the density of the standard(s), ρs2, from the calibration report or from OIML R 111-1: 2004(E) para. B.7.9.3 and Table B.7, uniform distribution")</f>
      </c>
      <c r="K25" s="526"/>
      <c r="L25" s="526"/>
      <c r="M25" s="526"/>
      <c r="N25" s="526"/>
      <c r="O25" s="526"/>
      <c r="P25" s="526"/>
      <c r="Q25" s="527"/>
    </row>
    <row r="26" spans="1:17" ht="36" customHeight="1">
      <c r="A26" s="219">
        <f>IF(Obs1="","",IF(BalUnits="mg",Obs1/1000,Obs1))</f>
      </c>
      <c r="B26" s="222" t="s">
        <v>1</v>
      </c>
      <c r="C26" s="506" t="str">
        <f>IF(option="","(O1) Balance Obsevation 1",IF(option="Option A","(O1) Balance observation of the mass standard(s) - Ms","(O1) Balance observation of the mass standard(s) - Ms1"))</f>
        <v>(O1) Balance Obsevation 1</v>
      </c>
      <c r="D26" s="506"/>
      <c r="E26" s="506"/>
      <c r="F26" s="506"/>
      <c r="G26" s="507"/>
      <c r="H26" s="221">
        <f>IF(Rmean="","",(Rmean/VLOOKUP(dup_sets,Table_9.1,2,TRUE))/1.003)</f>
      </c>
      <c r="I26" s="220" t="s">
        <v>1</v>
      </c>
      <c r="J26" s="521" t="s">
        <v>305</v>
      </c>
      <c r="K26" s="521"/>
      <c r="L26" s="521"/>
      <c r="M26" s="521"/>
      <c r="N26" s="521"/>
      <c r="O26" s="521"/>
      <c r="P26" s="521"/>
      <c r="Q26" s="533"/>
    </row>
    <row r="27" spans="1:17" ht="18" customHeight="1">
      <c r="A27" s="218">
        <f>IF(Obs2="","",IF(BalUnits="mg",Obs2/1000,Obs2))</f>
      </c>
      <c r="B27" s="216" t="s">
        <v>1</v>
      </c>
      <c r="C27" s="504" t="str">
        <f>IF(option="","(O2) Balance Obsevation 2","(O2) Balance observation of the empty/drained vessel")</f>
        <v>(O2) Balance Obsevation 2</v>
      </c>
      <c r="D27" s="504"/>
      <c r="E27" s="504"/>
      <c r="F27" s="504"/>
      <c r="G27" s="505"/>
      <c r="H27" s="217">
        <f>IF(option="","",0)</f>
      </c>
      <c r="I27" s="215" t="s">
        <v>1</v>
      </c>
      <c r="J27" s="526" t="s">
        <v>306</v>
      </c>
      <c r="K27" s="526"/>
      <c r="L27" s="526"/>
      <c r="M27" s="526"/>
      <c r="N27" s="526"/>
      <c r="O27" s="526"/>
      <c r="P27" s="526"/>
      <c r="Q27" s="527"/>
    </row>
    <row r="28" spans="1:17" ht="18" customHeight="1">
      <c r="A28" s="219">
        <f>IF(Obs3="","",IF(BalUnits="mg",Obs3/1000,Obs3))</f>
      </c>
      <c r="B28" s="222" t="s">
        <v>1</v>
      </c>
      <c r="C28" s="506" t="str">
        <f>IF(option="","(O3) Balance Obsevation 3",IF(option="Option A","(O3) Balance observation of the filled vessel","(O3) Balance observation of the mass standard(s) - Ms2"))</f>
        <v>(O3) Balance Obsevation 3</v>
      </c>
      <c r="D28" s="506"/>
      <c r="E28" s="506"/>
      <c r="F28" s="506"/>
      <c r="G28" s="507"/>
      <c r="H28" s="221">
        <f>IF(option="","",0)</f>
      </c>
      <c r="I28" s="220" t="s">
        <v>1</v>
      </c>
      <c r="J28" s="521" t="s">
        <v>307</v>
      </c>
      <c r="K28" s="521"/>
      <c r="L28" s="521"/>
      <c r="M28" s="521"/>
      <c r="N28" s="521"/>
      <c r="O28" s="521"/>
      <c r="P28" s="521"/>
      <c r="Q28" s="533"/>
    </row>
    <row r="29" spans="1:17" ht="18" customHeight="1">
      <c r="A29" s="218">
        <f>IF(OR(option="",option="Option A"),"",IF(BalUnits="mg",Obs4/1000,Obs4))</f>
      </c>
      <c r="B29" s="216">
        <f>IF(OR(option="",option="Option A"),"","g")</f>
      </c>
      <c r="C29" s="504">
        <f>IF(OR(option="",option="Option A"),"","(O4) Balance observation of the filled vessel")</f>
      </c>
      <c r="D29" s="504"/>
      <c r="E29" s="504"/>
      <c r="F29" s="504"/>
      <c r="G29" s="505"/>
      <c r="H29" s="217">
        <f>IF(OR(option="",option="Option A"),"",0)</f>
      </c>
      <c r="I29" s="215">
        <f>IF(OR(option="",option="Option A"),"","g")</f>
      </c>
      <c r="J29" s="526">
        <f>IF(OR(option="",option="Option A"),"","Uncertainty of balance observation 4, included in sp and entered as u(O1 (sp))")</f>
      </c>
      <c r="K29" s="526"/>
      <c r="L29" s="526"/>
      <c r="M29" s="526"/>
      <c r="N29" s="526"/>
      <c r="O29" s="526"/>
      <c r="P29" s="526"/>
      <c r="Q29" s="527"/>
    </row>
    <row r="30" spans="1:17" ht="36" customHeight="1">
      <c r="A30" s="219">
        <f>Pa</f>
      </c>
      <c r="B30" s="222" t="s">
        <v>150</v>
      </c>
      <c r="C30" s="506" t="s">
        <v>289</v>
      </c>
      <c r="D30" s="506"/>
      <c r="E30" s="506"/>
      <c r="F30" s="506"/>
      <c r="G30" s="507"/>
      <c r="H30" s="224">
        <f>IF(option="","",0.0000012)</f>
      </c>
      <c r="I30" s="220" t="s">
        <v>150</v>
      </c>
      <c r="J30" s="521" t="s">
        <v>308</v>
      </c>
      <c r="K30" s="521"/>
      <c r="L30" s="521"/>
      <c r="M30" s="521"/>
      <c r="N30" s="521"/>
      <c r="O30" s="521"/>
      <c r="P30" s="521"/>
      <c r="Q30" s="533"/>
    </row>
    <row r="31" spans="1:17" ht="36" customHeight="1">
      <c r="A31" s="218">
        <f>Pw1</f>
      </c>
      <c r="B31" s="216" t="s">
        <v>150</v>
      </c>
      <c r="C31" s="504" t="s">
        <v>273</v>
      </c>
      <c r="D31" s="504"/>
      <c r="E31" s="504"/>
      <c r="F31" s="504"/>
      <c r="G31" s="505"/>
      <c r="H31" s="217">
        <f>IF(Pw1="","",0.00004)</f>
      </c>
      <c r="I31" s="215" t="s">
        <v>150</v>
      </c>
      <c r="J31" s="526" t="s">
        <v>309</v>
      </c>
      <c r="K31" s="526"/>
      <c r="L31" s="526"/>
      <c r="M31" s="526"/>
      <c r="N31" s="526"/>
      <c r="O31" s="526"/>
      <c r="P31" s="526"/>
      <c r="Q31" s="527"/>
    </row>
    <row r="32" spans="1:17" ht="18" customHeight="1">
      <c r="A32" s="219">
        <f>a</f>
      </c>
      <c r="B32" s="222" t="s">
        <v>155</v>
      </c>
      <c r="C32" s="506" t="s">
        <v>274</v>
      </c>
      <c r="D32" s="506"/>
      <c r="E32" s="506"/>
      <c r="F32" s="506"/>
      <c r="G32" s="507"/>
      <c r="H32" s="221">
        <f>IF(option="","",0.000009)</f>
      </c>
      <c r="I32" s="220" t="s">
        <v>155</v>
      </c>
      <c r="J32" s="521" t="s">
        <v>310</v>
      </c>
      <c r="K32" s="521"/>
      <c r="L32" s="521"/>
      <c r="M32" s="521"/>
      <c r="N32" s="521"/>
      <c r="O32" s="521"/>
      <c r="P32" s="521"/>
      <c r="Q32" s="533"/>
    </row>
    <row r="33" spans="1:17" ht="18" customHeight="1">
      <c r="A33" s="218">
        <f>IF(tw1="","",tw1+t_water_corr)</f>
      </c>
      <c r="B33" s="216" t="s">
        <v>128</v>
      </c>
      <c r="C33" s="504" t="s">
        <v>275</v>
      </c>
      <c r="D33" s="504"/>
      <c r="E33" s="504"/>
      <c r="F33" s="504"/>
      <c r="G33" s="505"/>
      <c r="H33" s="217">
        <f>IF(Ut_water_reported="","",Ut_water_reported)</f>
      </c>
      <c r="I33" s="215" t="s">
        <v>128</v>
      </c>
      <c r="J33" s="526" t="s">
        <v>311</v>
      </c>
      <c r="K33" s="526"/>
      <c r="L33" s="526"/>
      <c r="M33" s="526"/>
      <c r="N33" s="526"/>
      <c r="O33" s="526"/>
      <c r="P33" s="526"/>
      <c r="Q33" s="527"/>
    </row>
    <row r="34" spans="1:17" ht="18" customHeight="1">
      <c r="A34" s="292">
        <f>IF(ISBLANK(RefTemp),"",IF(RefTempUnit="Reference Temperature (ºF)",(RefTemp-32)/1.8,RefTemp))</f>
      </c>
      <c r="B34" s="222" t="s">
        <v>128</v>
      </c>
      <c r="C34" s="506" t="s">
        <v>276</v>
      </c>
      <c r="D34" s="506"/>
      <c r="E34" s="506"/>
      <c r="F34" s="506"/>
      <c r="G34" s="507"/>
      <c r="H34" s="221">
        <f>IF(ISBLANK(RefTemp),"",0)</f>
      </c>
      <c r="I34" s="222" t="s">
        <v>128</v>
      </c>
      <c r="J34" s="521" t="s">
        <v>312</v>
      </c>
      <c r="K34" s="521"/>
      <c r="L34" s="521"/>
      <c r="M34" s="521"/>
      <c r="N34" s="521"/>
      <c r="O34" s="521"/>
      <c r="P34" s="521"/>
      <c r="Q34" s="522"/>
    </row>
    <row r="35" spans="1:17" ht="12" customHeight="1">
      <c r="A35" s="193"/>
      <c r="B35" s="195"/>
      <c r="C35" s="194"/>
      <c r="D35" s="194"/>
      <c r="E35" s="194"/>
      <c r="F35" s="194"/>
      <c r="G35" s="93"/>
      <c r="H35" s="193"/>
      <c r="I35" s="195"/>
      <c r="J35" s="196"/>
      <c r="K35" s="196"/>
      <c r="L35" s="196"/>
      <c r="M35" s="196"/>
      <c r="N35" s="196"/>
      <c r="O35" s="196"/>
      <c r="P35" s="196"/>
      <c r="Q35" s="196"/>
    </row>
    <row r="36" spans="1:17" ht="18.75" thickBot="1">
      <c r="A36" s="500" t="s">
        <v>355</v>
      </c>
      <c r="B36" s="500"/>
      <c r="C36" s="500"/>
      <c r="D36" s="500"/>
      <c r="E36" s="500"/>
      <c r="F36" s="500"/>
      <c r="G36" s="500"/>
      <c r="H36" s="500"/>
      <c r="I36" s="500"/>
      <c r="J36" s="500"/>
      <c r="K36" s="500"/>
      <c r="L36" s="500"/>
      <c r="M36" s="500"/>
      <c r="N36" s="500"/>
      <c r="O36" s="500"/>
      <c r="P36" s="500"/>
      <c r="Q36" s="500"/>
    </row>
    <row r="37" spans="1:12" ht="36">
      <c r="A37" s="517" t="s">
        <v>277</v>
      </c>
      <c r="B37" s="516"/>
      <c r="C37" s="302" t="s">
        <v>278</v>
      </c>
      <c r="D37" s="303" t="s">
        <v>279</v>
      </c>
      <c r="E37" s="301" t="s">
        <v>280</v>
      </c>
      <c r="F37" s="301" t="s">
        <v>281</v>
      </c>
      <c r="G37" s="304" t="s">
        <v>14</v>
      </c>
      <c r="H37" s="304" t="s">
        <v>38</v>
      </c>
      <c r="I37" s="301" t="s">
        <v>282</v>
      </c>
      <c r="J37" s="305" t="s">
        <v>350</v>
      </c>
      <c r="K37" s="301" t="s">
        <v>351</v>
      </c>
      <c r="L37" s="306" t="s">
        <v>283</v>
      </c>
    </row>
    <row r="38" spans="1:12" ht="30" customHeight="1">
      <c r="A38" s="518" t="s">
        <v>288</v>
      </c>
      <c r="B38" s="514"/>
      <c r="C38" s="293" t="s">
        <v>352</v>
      </c>
      <c r="D38" s="294">
        <f>IF(option="Option B","",A22)</f>
      </c>
      <c r="E38" s="295" t="str">
        <f>B22</f>
        <v>g</v>
      </c>
      <c r="F38" s="296">
        <f>IF(option="Option B","",H22)</f>
      </c>
      <c r="G38" s="297" t="s">
        <v>15</v>
      </c>
      <c r="H38" s="297" t="s">
        <v>300</v>
      </c>
      <c r="I38" s="298">
        <v>1</v>
      </c>
      <c r="J38" s="204" t="e">
        <f>F38/I38</f>
        <v>#VALUE!</v>
      </c>
      <c r="K38" s="299" t="e">
        <f>J38/D38</f>
        <v>#VALUE!</v>
      </c>
      <c r="L38" s="300"/>
    </row>
    <row r="39" spans="1:12" ht="27.75" customHeight="1">
      <c r="A39" s="515" t="s">
        <v>291</v>
      </c>
      <c r="B39" s="513"/>
      <c r="C39" s="240" t="s">
        <v>353</v>
      </c>
      <c r="D39" s="243">
        <f>IF(option="Option B","",A23)</f>
      </c>
      <c r="E39" s="274" t="str">
        <f>B23</f>
        <v>g/cm³</v>
      </c>
      <c r="F39" s="203">
        <f>IF(option="Option B","",H23)</f>
      </c>
      <c r="G39" s="200" t="s">
        <v>15</v>
      </c>
      <c r="H39" s="200" t="s">
        <v>300</v>
      </c>
      <c r="I39" s="199">
        <v>1</v>
      </c>
      <c r="J39" s="204" t="e">
        <f aca="true" t="shared" si="0" ref="J39:J47">F39/I39</f>
        <v>#VALUE!</v>
      </c>
      <c r="K39" s="223" t="e">
        <f aca="true" t="shared" si="1" ref="K39:K47">J39/D39</f>
        <v>#VALUE!</v>
      </c>
      <c r="L39" s="202"/>
    </row>
    <row r="40" spans="1:12" ht="24" customHeight="1">
      <c r="A40" s="515" t="s">
        <v>292</v>
      </c>
      <c r="B40" s="513"/>
      <c r="C40" s="240" t="s">
        <v>334</v>
      </c>
      <c r="D40" s="243">
        <f>IF(option="Option B","",A26)</f>
      </c>
      <c r="E40" s="274" t="str">
        <f>B26</f>
        <v>g</v>
      </c>
      <c r="F40" s="203">
        <f>IF(option="Option B","",H26)</f>
      </c>
      <c r="G40" s="200" t="s">
        <v>16</v>
      </c>
      <c r="H40" s="200" t="s">
        <v>301</v>
      </c>
      <c r="I40" s="199">
        <v>1</v>
      </c>
      <c r="J40" s="204" t="e">
        <f t="shared" si="0"/>
        <v>#VALUE!</v>
      </c>
      <c r="K40" s="223" t="e">
        <f t="shared" si="1"/>
        <v>#VALUE!</v>
      </c>
      <c r="L40" s="202"/>
    </row>
    <row r="41" spans="1:12" ht="24" customHeight="1">
      <c r="A41" s="515" t="s">
        <v>293</v>
      </c>
      <c r="B41" s="513"/>
      <c r="C41" s="240" t="s">
        <v>335</v>
      </c>
      <c r="D41" s="243">
        <f>IF(option="Option B","",A27)</f>
      </c>
      <c r="E41" s="274" t="str">
        <f>B27</f>
        <v>g</v>
      </c>
      <c r="F41" s="203">
        <f>IF(option="Option B","",H27)</f>
      </c>
      <c r="G41" s="200" t="s">
        <v>16</v>
      </c>
      <c r="H41" s="200" t="s">
        <v>301</v>
      </c>
      <c r="I41" s="199">
        <v>1</v>
      </c>
      <c r="J41" s="204" t="e">
        <f t="shared" si="0"/>
        <v>#VALUE!</v>
      </c>
      <c r="K41" s="223" t="e">
        <f t="shared" si="1"/>
        <v>#VALUE!</v>
      </c>
      <c r="L41" s="202"/>
    </row>
    <row r="42" spans="1:12" ht="24" customHeight="1">
      <c r="A42" s="515" t="s">
        <v>294</v>
      </c>
      <c r="B42" s="513"/>
      <c r="C42" s="240" t="s">
        <v>336</v>
      </c>
      <c r="D42" s="243">
        <f>IF(option="Option B","",A28)</f>
      </c>
      <c r="E42" s="274" t="str">
        <f>B28</f>
        <v>g</v>
      </c>
      <c r="F42" s="203">
        <f>IF(option="Option B","",H28)</f>
      </c>
      <c r="G42" s="200" t="s">
        <v>16</v>
      </c>
      <c r="H42" s="200" t="s">
        <v>301</v>
      </c>
      <c r="I42" s="199">
        <v>1</v>
      </c>
      <c r="J42" s="204" t="e">
        <f t="shared" si="0"/>
        <v>#VALUE!</v>
      </c>
      <c r="K42" s="223" t="e">
        <f t="shared" si="1"/>
        <v>#VALUE!</v>
      </c>
      <c r="L42" s="202"/>
    </row>
    <row r="43" spans="1:12" ht="24" customHeight="1">
      <c r="A43" s="515" t="s">
        <v>295</v>
      </c>
      <c r="B43" s="513"/>
      <c r="C43" s="240" t="s">
        <v>338</v>
      </c>
      <c r="D43" s="243">
        <f>IF(option="Option B","",A30)</f>
      </c>
      <c r="E43" s="274" t="str">
        <f>B30</f>
        <v>g/cm³</v>
      </c>
      <c r="F43" s="226">
        <f>IF(option="Option B","",H30)</f>
      </c>
      <c r="G43" s="200" t="s">
        <v>15</v>
      </c>
      <c r="H43" s="200" t="s">
        <v>302</v>
      </c>
      <c r="I43" s="203">
        <f>SQRT(3)</f>
        <v>1.7320508075688772</v>
      </c>
      <c r="J43" s="204" t="e">
        <f t="shared" si="0"/>
        <v>#VALUE!</v>
      </c>
      <c r="K43" s="223" t="e">
        <f t="shared" si="1"/>
        <v>#VALUE!</v>
      </c>
      <c r="L43" s="202"/>
    </row>
    <row r="44" spans="1:12" ht="24" customHeight="1">
      <c r="A44" s="515" t="s">
        <v>296</v>
      </c>
      <c r="B44" s="513"/>
      <c r="C44" s="240" t="s">
        <v>339</v>
      </c>
      <c r="D44" s="243">
        <f>IF(option="Option B","",A31)</f>
      </c>
      <c r="E44" s="274" t="str">
        <f>B31</f>
        <v>g/cm³</v>
      </c>
      <c r="F44" s="203">
        <f>IF(option="Option B","",H31)</f>
      </c>
      <c r="G44" s="200" t="s">
        <v>15</v>
      </c>
      <c r="H44" s="200" t="s">
        <v>300</v>
      </c>
      <c r="I44" s="199">
        <v>1</v>
      </c>
      <c r="J44" s="204" t="e">
        <f t="shared" si="0"/>
        <v>#VALUE!</v>
      </c>
      <c r="K44" s="223" t="e">
        <f t="shared" si="1"/>
        <v>#VALUE!</v>
      </c>
      <c r="L44" s="202"/>
    </row>
    <row r="45" spans="1:12" ht="24" customHeight="1">
      <c r="A45" s="515" t="s">
        <v>297</v>
      </c>
      <c r="B45" s="513"/>
      <c r="C45" s="240" t="s">
        <v>290</v>
      </c>
      <c r="D45" s="243">
        <f>IF(option="Option B","",A32)</f>
      </c>
      <c r="E45" s="274" t="str">
        <f>B32</f>
        <v>/ºC</v>
      </c>
      <c r="F45" s="203">
        <f>IF(option="Option B","",H32)</f>
      </c>
      <c r="G45" s="200" t="s">
        <v>15</v>
      </c>
      <c r="H45" s="200" t="s">
        <v>302</v>
      </c>
      <c r="I45" s="203">
        <f>SQRT(3)</f>
        <v>1.7320508075688772</v>
      </c>
      <c r="J45" s="204" t="e">
        <f t="shared" si="0"/>
        <v>#VALUE!</v>
      </c>
      <c r="K45" s="223" t="e">
        <f t="shared" si="1"/>
        <v>#VALUE!</v>
      </c>
      <c r="L45" s="202"/>
    </row>
    <row r="46" spans="1:12" ht="24" customHeight="1">
      <c r="A46" s="515" t="s">
        <v>298</v>
      </c>
      <c r="B46" s="513"/>
      <c r="C46" s="240" t="s">
        <v>340</v>
      </c>
      <c r="D46" s="243">
        <f>IF(option="Option B","",A33)</f>
      </c>
      <c r="E46" s="274" t="str">
        <f>B33</f>
        <v>ºC</v>
      </c>
      <c r="F46" s="203">
        <f>IF(option="Option B","",H33)</f>
      </c>
      <c r="G46" s="200" t="s">
        <v>15</v>
      </c>
      <c r="H46" s="200" t="s">
        <v>302</v>
      </c>
      <c r="I46" s="203">
        <f>SQRT(3)</f>
        <v>1.7320508075688772</v>
      </c>
      <c r="J46" s="204" t="e">
        <f t="shared" si="0"/>
        <v>#VALUE!</v>
      </c>
      <c r="K46" s="223" t="e">
        <f t="shared" si="1"/>
        <v>#VALUE!</v>
      </c>
      <c r="L46" s="202"/>
    </row>
    <row r="47" spans="1:12" ht="24" customHeight="1">
      <c r="A47" s="515" t="s">
        <v>299</v>
      </c>
      <c r="B47" s="513"/>
      <c r="C47" s="240" t="s">
        <v>341</v>
      </c>
      <c r="D47" s="243">
        <f>IF(option="Option B","",A34)</f>
      </c>
      <c r="E47" s="274" t="str">
        <f>B34</f>
        <v>ºC</v>
      </c>
      <c r="F47" s="203">
        <f>IF(option="Option B","",H34)</f>
      </c>
      <c r="G47" s="200" t="s">
        <v>15</v>
      </c>
      <c r="H47" s="200" t="s">
        <v>302</v>
      </c>
      <c r="I47" s="203">
        <f>SQRT(3)</f>
        <v>1.7320508075688772</v>
      </c>
      <c r="J47" s="204" t="e">
        <f t="shared" si="0"/>
        <v>#VALUE!</v>
      </c>
      <c r="K47" s="223" t="e">
        <f t="shared" si="1"/>
        <v>#VALUE!</v>
      </c>
      <c r="L47" s="202"/>
    </row>
    <row r="48" spans="1:11" ht="12" customHeight="1">
      <c r="A48" s="192"/>
      <c r="B48" s="90"/>
      <c r="C48" s="93"/>
      <c r="D48" s="93"/>
      <c r="E48" s="90"/>
      <c r="F48" s="93"/>
      <c r="G48" s="93"/>
      <c r="H48" s="90"/>
      <c r="I48" s="93"/>
      <c r="J48" s="93"/>
      <c r="K48" s="8"/>
    </row>
    <row r="49" spans="1:17" ht="18.75" thickBot="1">
      <c r="A49" s="500" t="s">
        <v>356</v>
      </c>
      <c r="B49" s="500"/>
      <c r="C49" s="500"/>
      <c r="D49" s="500"/>
      <c r="E49" s="500"/>
      <c r="F49" s="500"/>
      <c r="G49" s="500"/>
      <c r="H49" s="500"/>
      <c r="I49" s="500"/>
      <c r="J49" s="500"/>
      <c r="K49" s="500"/>
      <c r="L49" s="500"/>
      <c r="M49" s="500"/>
      <c r="N49" s="500"/>
      <c r="O49" s="500"/>
      <c r="P49" s="500"/>
      <c r="Q49" s="500"/>
    </row>
    <row r="50" spans="1:14" ht="15">
      <c r="A50" s="501"/>
      <c r="B50" s="503"/>
      <c r="C50" s="205" t="str">
        <f>"u("&amp;A54&amp;")"</f>
        <v>u(Ms)</v>
      </c>
      <c r="D50" s="205" t="str">
        <f>"u("&amp;A55&amp;")"</f>
        <v>u(ρs)</v>
      </c>
      <c r="E50" s="206" t="str">
        <f>"u("&amp;A56&amp;")"</f>
        <v>u(O1 (sp))</v>
      </c>
      <c r="F50" s="205" t="str">
        <f>"u("&amp;A57&amp;")"</f>
        <v>u(O2)</v>
      </c>
      <c r="G50" s="205" t="str">
        <f>"u("&amp;A58&amp;")"</f>
        <v>u(O3)</v>
      </c>
      <c r="H50" s="205" t="str">
        <f>"u("&amp;A59&amp;")"</f>
        <v>u(ρa)</v>
      </c>
      <c r="I50" s="205" t="str">
        <f>"u("&amp;A60&amp;")"</f>
        <v>u(ρw)</v>
      </c>
      <c r="J50" s="205" t="str">
        <f>"u("&amp;A61&amp;")"</f>
        <v>u(α)</v>
      </c>
      <c r="K50" s="205" t="str">
        <f>"u("&amp;A62&amp;")"</f>
        <v>u(tw)</v>
      </c>
      <c r="L50" s="206" t="str">
        <f>"u("&amp;A63&amp;")"</f>
        <v>u(tref)</v>
      </c>
      <c r="M50" s="502"/>
      <c r="N50" s="502"/>
    </row>
    <row r="51" spans="1:14" ht="16.5" customHeight="1">
      <c r="A51" s="501"/>
      <c r="B51" s="503"/>
      <c r="C51" s="244" t="e">
        <f>J38</f>
        <v>#VALUE!</v>
      </c>
      <c r="D51" s="244" t="e">
        <f>J39</f>
        <v>#VALUE!</v>
      </c>
      <c r="E51" s="244" t="e">
        <f>J40</f>
        <v>#VALUE!</v>
      </c>
      <c r="F51" s="244" t="e">
        <f>J41</f>
        <v>#VALUE!</v>
      </c>
      <c r="G51" s="244" t="e">
        <f>J42</f>
        <v>#VALUE!</v>
      </c>
      <c r="H51" s="244" t="e">
        <f>J43</f>
        <v>#VALUE!</v>
      </c>
      <c r="I51" s="244" t="e">
        <f>J44</f>
        <v>#VALUE!</v>
      </c>
      <c r="J51" s="244" t="e">
        <f>J45</f>
        <v>#VALUE!</v>
      </c>
      <c r="K51" s="244" t="e">
        <f>J46</f>
        <v>#VALUE!</v>
      </c>
      <c r="L51" s="244" t="e">
        <f>J47</f>
        <v>#VALUE!</v>
      </c>
      <c r="M51" s="502"/>
      <c r="N51" s="502"/>
    </row>
    <row r="52" spans="1:14" ht="16.5" customHeight="1">
      <c r="A52" s="502"/>
      <c r="B52" s="207" t="s">
        <v>283</v>
      </c>
      <c r="C52" s="208"/>
      <c r="D52" s="208"/>
      <c r="E52" s="208"/>
      <c r="F52" s="208"/>
      <c r="G52" s="208"/>
      <c r="H52" s="208"/>
      <c r="I52" s="208"/>
      <c r="J52" s="208"/>
      <c r="K52" s="209"/>
      <c r="L52" s="209"/>
      <c r="M52" s="502"/>
      <c r="N52" s="502"/>
    </row>
    <row r="53" spans="1:14" ht="28.5">
      <c r="A53" s="275" t="s">
        <v>284</v>
      </c>
      <c r="B53" s="276" t="s">
        <v>279</v>
      </c>
      <c r="C53" s="523"/>
      <c r="D53" s="523"/>
      <c r="E53" s="523"/>
      <c r="F53" s="523"/>
      <c r="G53" s="523"/>
      <c r="H53" s="523"/>
      <c r="I53" s="523"/>
      <c r="J53" s="523"/>
      <c r="K53" s="523"/>
      <c r="L53" s="524"/>
      <c r="M53" s="503"/>
      <c r="N53" s="502"/>
    </row>
    <row r="54" spans="1:14" ht="16.5">
      <c r="A54" s="240" t="s">
        <v>352</v>
      </c>
      <c r="B54" s="280">
        <f>D38</f>
      </c>
      <c r="C54" s="281" t="e">
        <f>B54+C51</f>
        <v>#VALUE!</v>
      </c>
      <c r="D54" s="282">
        <f>B54</f>
      </c>
      <c r="E54" s="282">
        <f>B54</f>
      </c>
      <c r="F54" s="282">
        <f>B54</f>
      </c>
      <c r="G54" s="282">
        <f>B54</f>
      </c>
      <c r="H54" s="282">
        <f>B54</f>
      </c>
      <c r="I54" s="282">
        <f aca="true" t="shared" si="2" ref="I54:I59">B54</f>
      </c>
      <c r="J54" s="282">
        <f aca="true" t="shared" si="3" ref="J54:J60">B54</f>
      </c>
      <c r="K54" s="282">
        <f aca="true" t="shared" si="4" ref="K54:K61">B54</f>
      </c>
      <c r="L54" s="282">
        <f aca="true" t="shared" si="5" ref="L54:L62">B54</f>
      </c>
      <c r="M54" s="502"/>
      <c r="N54" s="502"/>
    </row>
    <row r="55" spans="1:14" ht="16.5">
      <c r="A55" s="240" t="s">
        <v>353</v>
      </c>
      <c r="B55" s="280">
        <f aca="true" t="shared" si="6" ref="B55:B63">D39</f>
      </c>
      <c r="C55" s="282">
        <f aca="true" t="shared" si="7" ref="C55:C63">B55</f>
      </c>
      <c r="D55" s="281" t="e">
        <f>B55+D51</f>
        <v>#VALUE!</v>
      </c>
      <c r="E55" s="283">
        <f>B55</f>
      </c>
      <c r="F55" s="282">
        <f>B55</f>
      </c>
      <c r="G55" s="282">
        <f>B55</f>
      </c>
      <c r="H55" s="282">
        <f>B55</f>
      </c>
      <c r="I55" s="282">
        <f t="shared" si="2"/>
      </c>
      <c r="J55" s="282">
        <f t="shared" si="3"/>
      </c>
      <c r="K55" s="282">
        <f t="shared" si="4"/>
      </c>
      <c r="L55" s="282">
        <f t="shared" si="5"/>
      </c>
      <c r="M55" s="502"/>
      <c r="N55" s="502"/>
    </row>
    <row r="56" spans="1:14" ht="16.5">
      <c r="A56" s="240" t="s">
        <v>334</v>
      </c>
      <c r="B56" s="280">
        <f t="shared" si="6"/>
      </c>
      <c r="C56" s="284">
        <f t="shared" si="7"/>
      </c>
      <c r="D56" s="283">
        <f aca="true" t="shared" si="8" ref="D56:D63">B56</f>
      </c>
      <c r="E56" s="281" t="e">
        <f>B56+E51</f>
        <v>#VALUE!</v>
      </c>
      <c r="F56" s="282">
        <f>B56</f>
      </c>
      <c r="G56" s="282">
        <f>B56</f>
      </c>
      <c r="H56" s="282">
        <f>B56</f>
      </c>
      <c r="I56" s="282">
        <f t="shared" si="2"/>
      </c>
      <c r="J56" s="282">
        <f t="shared" si="3"/>
      </c>
      <c r="K56" s="282">
        <f t="shared" si="4"/>
      </c>
      <c r="L56" s="282">
        <f t="shared" si="5"/>
      </c>
      <c r="M56" s="502"/>
      <c r="N56" s="502"/>
    </row>
    <row r="57" spans="1:14" ht="16.5">
      <c r="A57" s="240" t="s">
        <v>335</v>
      </c>
      <c r="B57" s="280">
        <f t="shared" si="6"/>
      </c>
      <c r="C57" s="284">
        <f t="shared" si="7"/>
      </c>
      <c r="D57" s="284">
        <f t="shared" si="8"/>
      </c>
      <c r="E57" s="284">
        <f aca="true" t="shared" si="9" ref="E57:E63">B57</f>
      </c>
      <c r="F57" s="281" t="e">
        <f>B57+F51</f>
        <v>#VALUE!</v>
      </c>
      <c r="G57" s="283">
        <f>B57</f>
      </c>
      <c r="H57" s="283">
        <f>B57</f>
      </c>
      <c r="I57" s="283">
        <f t="shared" si="2"/>
      </c>
      <c r="J57" s="283">
        <f t="shared" si="3"/>
      </c>
      <c r="K57" s="282">
        <f t="shared" si="4"/>
      </c>
      <c r="L57" s="282">
        <f t="shared" si="5"/>
      </c>
      <c r="M57" s="502"/>
      <c r="N57" s="502"/>
    </row>
    <row r="58" spans="1:14" ht="16.5">
      <c r="A58" s="240" t="s">
        <v>336</v>
      </c>
      <c r="B58" s="280">
        <f t="shared" si="6"/>
      </c>
      <c r="C58" s="284">
        <f t="shared" si="7"/>
      </c>
      <c r="D58" s="284">
        <f t="shared" si="8"/>
      </c>
      <c r="E58" s="284">
        <f t="shared" si="9"/>
      </c>
      <c r="F58" s="283">
        <f aca="true" t="shared" si="10" ref="F58:F63">B58</f>
      </c>
      <c r="G58" s="281" t="e">
        <f>B58+G51</f>
        <v>#VALUE!</v>
      </c>
      <c r="H58" s="283">
        <f>B58</f>
      </c>
      <c r="I58" s="282">
        <f t="shared" si="2"/>
      </c>
      <c r="J58" s="283">
        <f t="shared" si="3"/>
      </c>
      <c r="K58" s="282">
        <f t="shared" si="4"/>
      </c>
      <c r="L58" s="282">
        <f t="shared" si="5"/>
      </c>
      <c r="M58" s="502"/>
      <c r="N58" s="502"/>
    </row>
    <row r="59" spans="1:14" ht="16.5">
      <c r="A59" s="240" t="s">
        <v>338</v>
      </c>
      <c r="B59" s="280">
        <f t="shared" si="6"/>
      </c>
      <c r="C59" s="284">
        <f t="shared" si="7"/>
      </c>
      <c r="D59" s="284">
        <f t="shared" si="8"/>
      </c>
      <c r="E59" s="284">
        <f t="shared" si="9"/>
      </c>
      <c r="F59" s="283">
        <f t="shared" si="10"/>
      </c>
      <c r="G59" s="283">
        <f>B59</f>
      </c>
      <c r="H59" s="281" t="e">
        <f>B59+H51</f>
        <v>#VALUE!</v>
      </c>
      <c r="I59" s="282">
        <f t="shared" si="2"/>
      </c>
      <c r="J59" s="283">
        <f t="shared" si="3"/>
      </c>
      <c r="K59" s="282">
        <f t="shared" si="4"/>
      </c>
      <c r="L59" s="282">
        <f t="shared" si="5"/>
      </c>
      <c r="M59" s="502"/>
      <c r="N59" s="502"/>
    </row>
    <row r="60" spans="1:14" ht="16.5">
      <c r="A60" s="240" t="s">
        <v>339</v>
      </c>
      <c r="B60" s="280">
        <f t="shared" si="6"/>
      </c>
      <c r="C60" s="284">
        <f t="shared" si="7"/>
      </c>
      <c r="D60" s="284">
        <f t="shared" si="8"/>
      </c>
      <c r="E60" s="284">
        <f t="shared" si="9"/>
      </c>
      <c r="F60" s="283">
        <f t="shared" si="10"/>
      </c>
      <c r="G60" s="284">
        <f>B60</f>
      </c>
      <c r="H60" s="284">
        <f>B60</f>
      </c>
      <c r="I60" s="281" t="e">
        <f>B60+I51</f>
        <v>#VALUE!</v>
      </c>
      <c r="J60" s="283">
        <f t="shared" si="3"/>
      </c>
      <c r="K60" s="282">
        <f t="shared" si="4"/>
      </c>
      <c r="L60" s="282">
        <f t="shared" si="5"/>
      </c>
      <c r="M60" s="502"/>
      <c r="N60" s="502"/>
    </row>
    <row r="61" spans="1:14" ht="15">
      <c r="A61" s="240" t="s">
        <v>290</v>
      </c>
      <c r="B61" s="280">
        <f t="shared" si="6"/>
      </c>
      <c r="C61" s="284">
        <f t="shared" si="7"/>
      </c>
      <c r="D61" s="284">
        <f t="shared" si="8"/>
      </c>
      <c r="E61" s="284">
        <f t="shared" si="9"/>
      </c>
      <c r="F61" s="283">
        <f t="shared" si="10"/>
      </c>
      <c r="G61" s="283">
        <f>B61</f>
      </c>
      <c r="H61" s="283">
        <f>B61</f>
      </c>
      <c r="I61" s="283">
        <f>B61</f>
      </c>
      <c r="J61" s="281" t="e">
        <f>B61+J51</f>
        <v>#VALUE!</v>
      </c>
      <c r="K61" s="282">
        <f t="shared" si="4"/>
      </c>
      <c r="L61" s="282">
        <f t="shared" si="5"/>
      </c>
      <c r="M61" s="502"/>
      <c r="N61" s="502"/>
    </row>
    <row r="62" spans="1:14" ht="16.5">
      <c r="A62" s="240" t="s">
        <v>340</v>
      </c>
      <c r="B62" s="280">
        <f t="shared" si="6"/>
      </c>
      <c r="C62" s="284">
        <f t="shared" si="7"/>
      </c>
      <c r="D62" s="284">
        <f t="shared" si="8"/>
      </c>
      <c r="E62" s="284">
        <f t="shared" si="9"/>
      </c>
      <c r="F62" s="284">
        <f t="shared" si="10"/>
      </c>
      <c r="G62" s="284">
        <f>B62</f>
      </c>
      <c r="H62" s="284">
        <f>B62</f>
      </c>
      <c r="I62" s="284">
        <f>B62</f>
      </c>
      <c r="J62" s="284">
        <f>B62</f>
      </c>
      <c r="K62" s="281" t="e">
        <f>B62+K51</f>
        <v>#VALUE!</v>
      </c>
      <c r="L62" s="282">
        <f t="shared" si="5"/>
      </c>
      <c r="M62" s="502"/>
      <c r="N62" s="502"/>
    </row>
    <row r="63" spans="1:14" ht="16.5">
      <c r="A63" s="240" t="s">
        <v>341</v>
      </c>
      <c r="B63" s="280">
        <f t="shared" si="6"/>
      </c>
      <c r="C63" s="284">
        <f t="shared" si="7"/>
      </c>
      <c r="D63" s="284">
        <f t="shared" si="8"/>
      </c>
      <c r="E63" s="284">
        <f t="shared" si="9"/>
      </c>
      <c r="F63" s="284">
        <f t="shared" si="10"/>
      </c>
      <c r="G63" s="284">
        <f>B63</f>
      </c>
      <c r="H63" s="284">
        <f>B63</f>
      </c>
      <c r="I63" s="284">
        <f>B63</f>
      </c>
      <c r="J63" s="284">
        <f>B63</f>
      </c>
      <c r="K63" s="284">
        <f>B63</f>
      </c>
      <c r="L63" s="285" t="e">
        <f>B63+L51</f>
        <v>#VALUE!</v>
      </c>
      <c r="M63" s="502"/>
      <c r="N63" s="502"/>
    </row>
    <row r="64" spans="1:14" ht="15">
      <c r="A64" s="277" t="s">
        <v>285</v>
      </c>
      <c r="B64" s="286" t="e">
        <f>(((B58-B57)*(B54*(1-B59/B55)/B56))*(1/(B60-B59)))*(1-B61*(B62-B63))</f>
        <v>#VALUE!</v>
      </c>
      <c r="C64" s="286" t="e">
        <f aca="true" t="shared" si="11" ref="C64:L64">(((C58-C57)*(C54*(1-C59/C55)/C56))*(1/(C60-C59)))*(1-C61*(C62-C63))</f>
        <v>#VALUE!</v>
      </c>
      <c r="D64" s="286" t="e">
        <f t="shared" si="11"/>
        <v>#VALUE!</v>
      </c>
      <c r="E64" s="286" t="e">
        <f t="shared" si="11"/>
        <v>#VALUE!</v>
      </c>
      <c r="F64" s="286" t="e">
        <f t="shared" si="11"/>
        <v>#VALUE!</v>
      </c>
      <c r="G64" s="286" t="e">
        <f t="shared" si="11"/>
        <v>#VALUE!</v>
      </c>
      <c r="H64" s="286" t="e">
        <f t="shared" si="11"/>
        <v>#VALUE!</v>
      </c>
      <c r="I64" s="286" t="e">
        <f t="shared" si="11"/>
        <v>#VALUE!</v>
      </c>
      <c r="J64" s="286" t="e">
        <f t="shared" si="11"/>
        <v>#VALUE!</v>
      </c>
      <c r="K64" s="286" t="e">
        <f t="shared" si="11"/>
        <v>#VALUE!</v>
      </c>
      <c r="L64" s="286" t="e">
        <f t="shared" si="11"/>
        <v>#VALUE!</v>
      </c>
      <c r="M64" s="502"/>
      <c r="N64" s="502"/>
    </row>
    <row r="65" spans="1:14" ht="16.5">
      <c r="A65" s="255"/>
      <c r="B65" s="287"/>
      <c r="C65" s="282" t="e">
        <f>C64-B64</f>
        <v>#VALUE!</v>
      </c>
      <c r="D65" s="282" t="e">
        <f>D64-B64</f>
        <v>#VALUE!</v>
      </c>
      <c r="E65" s="282" t="e">
        <f>E64-B64</f>
        <v>#VALUE!</v>
      </c>
      <c r="F65" s="282" t="e">
        <f>F64-B64</f>
        <v>#VALUE!</v>
      </c>
      <c r="G65" s="282" t="e">
        <f>G64-B64</f>
        <v>#VALUE!</v>
      </c>
      <c r="H65" s="282" t="e">
        <f>H64-B64</f>
        <v>#VALUE!</v>
      </c>
      <c r="I65" s="282" t="e">
        <f>I64-B64</f>
        <v>#VALUE!</v>
      </c>
      <c r="J65" s="282" t="e">
        <f>J64-B64</f>
        <v>#VALUE!</v>
      </c>
      <c r="K65" s="282" t="e">
        <f>K64-B64</f>
        <v>#VALUE!</v>
      </c>
      <c r="L65" s="282" t="e">
        <f>L64-B64</f>
        <v>#VALUE!</v>
      </c>
      <c r="M65" s="268" t="s">
        <v>346</v>
      </c>
      <c r="N65" s="525"/>
    </row>
    <row r="66" spans="1:14" ht="18">
      <c r="A66" s="278" t="s">
        <v>354</v>
      </c>
      <c r="B66" s="282" t="e">
        <f>SQRT(SUM(C66:L66))</f>
        <v>#VALUE!</v>
      </c>
      <c r="C66" s="282" t="e">
        <f aca="true" t="shared" si="12" ref="C66:L66">C65^2</f>
        <v>#VALUE!</v>
      </c>
      <c r="D66" s="282" t="e">
        <f t="shared" si="12"/>
        <v>#VALUE!</v>
      </c>
      <c r="E66" s="282" t="e">
        <f t="shared" si="12"/>
        <v>#VALUE!</v>
      </c>
      <c r="F66" s="282" t="e">
        <f t="shared" si="12"/>
        <v>#VALUE!</v>
      </c>
      <c r="G66" s="282" t="e">
        <f t="shared" si="12"/>
        <v>#VALUE!</v>
      </c>
      <c r="H66" s="282" t="e">
        <f t="shared" si="12"/>
        <v>#VALUE!</v>
      </c>
      <c r="I66" s="282" t="e">
        <f t="shared" si="12"/>
        <v>#VALUE!</v>
      </c>
      <c r="J66" s="282" t="e">
        <f t="shared" si="12"/>
        <v>#VALUE!</v>
      </c>
      <c r="K66" s="282" t="e">
        <f t="shared" si="12"/>
        <v>#VALUE!</v>
      </c>
      <c r="L66" s="282" t="e">
        <f t="shared" si="12"/>
        <v>#VALUE!</v>
      </c>
      <c r="M66" s="269" t="s">
        <v>347</v>
      </c>
      <c r="N66" s="525"/>
    </row>
    <row r="67" spans="1:14" ht="17.25">
      <c r="A67" s="279" t="s">
        <v>283</v>
      </c>
      <c r="B67" s="288" t="e">
        <f>B66^4/(C65^4/C52+D65^4/D52+E65^4/E52+F65^4/F52+G65^4/G52+H65^4/H52+I65^4/I52+J65^4/J52+K65^4/K52+L65^4/L52)</f>
        <v>#VALUE!</v>
      </c>
      <c r="C67" s="289" t="e">
        <f>C66/B66^2</f>
        <v>#VALUE!</v>
      </c>
      <c r="D67" s="289" t="e">
        <f>D66/B66^2</f>
        <v>#VALUE!</v>
      </c>
      <c r="E67" s="289" t="e">
        <f>E66/B66^2</f>
        <v>#VALUE!</v>
      </c>
      <c r="F67" s="289" t="e">
        <f>F66/B66^2</f>
        <v>#VALUE!</v>
      </c>
      <c r="G67" s="289" t="e">
        <f>G66/B66^2</f>
        <v>#VALUE!</v>
      </c>
      <c r="H67" s="289" t="e">
        <f>H66/B66^2</f>
        <v>#VALUE!</v>
      </c>
      <c r="I67" s="289" t="e">
        <f>I66/B66^2</f>
        <v>#VALUE!</v>
      </c>
      <c r="J67" s="289" t="e">
        <f>J66/B66^2</f>
        <v>#VALUE!</v>
      </c>
      <c r="K67" s="289" t="e">
        <f>K66/B66^2</f>
        <v>#VALUE!</v>
      </c>
      <c r="L67" s="289" t="e">
        <f>L66/B66^2</f>
        <v>#VALUE!</v>
      </c>
      <c r="M67" s="267" t="s">
        <v>345</v>
      </c>
      <c r="N67" s="271" t="e">
        <f>SUM(C67:L67)</f>
        <v>#VALUE!</v>
      </c>
    </row>
    <row r="68" spans="1:14" ht="18">
      <c r="A68" s="278" t="s">
        <v>286</v>
      </c>
      <c r="B68" s="282">
        <f>2</f>
        <v>2</v>
      </c>
      <c r="C68" s="290" t="e">
        <f aca="true" t="shared" si="13" ref="C68:L68">C65/C51</f>
        <v>#VALUE!</v>
      </c>
      <c r="D68" s="290" t="e">
        <f t="shared" si="13"/>
        <v>#VALUE!</v>
      </c>
      <c r="E68" s="290" t="e">
        <f t="shared" si="13"/>
        <v>#VALUE!</v>
      </c>
      <c r="F68" s="290" t="e">
        <f t="shared" si="13"/>
        <v>#VALUE!</v>
      </c>
      <c r="G68" s="290" t="e">
        <f t="shared" si="13"/>
        <v>#VALUE!</v>
      </c>
      <c r="H68" s="290" t="e">
        <f t="shared" si="13"/>
        <v>#VALUE!</v>
      </c>
      <c r="I68" s="290" t="e">
        <f t="shared" si="13"/>
        <v>#VALUE!</v>
      </c>
      <c r="J68" s="290" t="e">
        <f t="shared" si="13"/>
        <v>#VALUE!</v>
      </c>
      <c r="K68" s="290" t="e">
        <f t="shared" si="13"/>
        <v>#VALUE!</v>
      </c>
      <c r="L68" s="266" t="e">
        <f t="shared" si="13"/>
        <v>#VALUE!</v>
      </c>
      <c r="M68" s="270" t="s">
        <v>348</v>
      </c>
      <c r="N68" s="272" t="s">
        <v>349</v>
      </c>
    </row>
    <row r="69" spans="1:14" ht="19.5">
      <c r="A69" s="278" t="s">
        <v>287</v>
      </c>
      <c r="B69" s="291" t="e">
        <f>B68*B66</f>
        <v>#VALUE!</v>
      </c>
      <c r="C69" s="262" t="s">
        <v>25</v>
      </c>
      <c r="D69" s="265" t="e">
        <f>B69/B64</f>
        <v>#VALUE!</v>
      </c>
      <c r="E69" s="263" t="s">
        <v>343</v>
      </c>
      <c r="F69" s="502"/>
      <c r="G69" s="502"/>
      <c r="H69" s="502"/>
      <c r="I69" s="502"/>
      <c r="J69" s="502"/>
      <c r="K69" s="502"/>
      <c r="L69" s="502"/>
      <c r="M69" s="502"/>
      <c r="N69" s="502"/>
    </row>
    <row r="70" spans="1:14" ht="12" customHeight="1">
      <c r="A70" s="197"/>
      <c r="B70" s="197"/>
      <c r="C70" s="197"/>
      <c r="D70" s="197"/>
      <c r="E70" s="197"/>
      <c r="F70" s="197"/>
      <c r="G70" s="197"/>
      <c r="H70" s="197"/>
      <c r="I70" s="197"/>
      <c r="J70" s="197"/>
      <c r="K70" s="197"/>
      <c r="L70" s="197"/>
      <c r="M70" s="197"/>
      <c r="N70" s="197"/>
    </row>
    <row r="71" spans="1:17" ht="18.75" thickBot="1">
      <c r="A71" s="239" t="s">
        <v>358</v>
      </c>
      <c r="B71" s="239"/>
      <c r="C71" s="239"/>
      <c r="D71" s="239"/>
      <c r="E71" s="273"/>
      <c r="F71" s="273"/>
      <c r="G71" s="273"/>
      <c r="H71" s="273"/>
      <c r="I71" s="273"/>
      <c r="J71" s="273"/>
      <c r="K71" s="273"/>
      <c r="L71" s="273"/>
      <c r="M71" s="273"/>
      <c r="N71" s="273"/>
      <c r="O71" s="273"/>
      <c r="P71" s="273"/>
      <c r="Q71" s="273"/>
    </row>
    <row r="72" spans="1:11" ht="18">
      <c r="A72" s="192"/>
      <c r="B72" s="90"/>
      <c r="C72" s="93"/>
      <c r="D72" s="93"/>
      <c r="E72" s="90"/>
      <c r="F72" s="93"/>
      <c r="G72" s="93"/>
      <c r="H72" s="90"/>
      <c r="I72" s="93"/>
      <c r="J72" s="93"/>
      <c r="K72" s="8"/>
    </row>
    <row r="73" spans="1:11" ht="18">
      <c r="A73" s="192"/>
      <c r="B73" s="90"/>
      <c r="C73" s="93"/>
      <c r="D73" s="93"/>
      <c r="E73" s="90"/>
      <c r="F73" s="93"/>
      <c r="G73" s="93"/>
      <c r="H73" s="90"/>
      <c r="I73" s="93"/>
      <c r="J73" s="93"/>
      <c r="K73" s="8"/>
    </row>
    <row r="74" spans="1:11" ht="18">
      <c r="A74" s="192"/>
      <c r="B74" s="90"/>
      <c r="C74" s="93"/>
      <c r="D74" s="93"/>
      <c r="E74" s="90"/>
      <c r="F74" s="93"/>
      <c r="G74" s="93"/>
      <c r="H74" s="90"/>
      <c r="I74" s="93"/>
      <c r="J74" s="93"/>
      <c r="K74" s="8"/>
    </row>
    <row r="75" spans="1:11" ht="18">
      <c r="A75" s="192"/>
      <c r="B75" s="90"/>
      <c r="C75" s="93"/>
      <c r="D75" s="93"/>
      <c r="E75" s="90"/>
      <c r="F75" s="93"/>
      <c r="G75" s="93"/>
      <c r="H75" s="90"/>
      <c r="I75" s="93"/>
      <c r="J75" s="93"/>
      <c r="K75" s="8"/>
    </row>
    <row r="76" spans="1:11" ht="18">
      <c r="A76" s="192"/>
      <c r="B76" s="90"/>
      <c r="C76" s="93"/>
      <c r="D76" s="93"/>
      <c r="E76" s="90"/>
      <c r="F76" s="93"/>
      <c r="G76" s="93"/>
      <c r="H76" s="90"/>
      <c r="I76" s="93"/>
      <c r="J76" s="93"/>
      <c r="K76" s="8"/>
    </row>
    <row r="77" spans="1:11" ht="18">
      <c r="A77" s="192"/>
      <c r="B77" s="90"/>
      <c r="C77" s="93"/>
      <c r="D77" s="93"/>
      <c r="E77" s="90"/>
      <c r="F77" s="93"/>
      <c r="G77" s="93"/>
      <c r="H77" s="90"/>
      <c r="I77" s="93"/>
      <c r="J77" s="93"/>
      <c r="K77" s="8"/>
    </row>
    <row r="78" spans="1:11" ht="18">
      <c r="A78" s="192"/>
      <c r="B78" s="90"/>
      <c r="C78" s="93"/>
      <c r="D78" s="93"/>
      <c r="E78" s="90"/>
      <c r="F78" s="93"/>
      <c r="G78" s="93"/>
      <c r="H78" s="90"/>
      <c r="I78" s="93"/>
      <c r="J78" s="93"/>
      <c r="K78" s="8"/>
    </row>
    <row r="79" spans="1:11" ht="18">
      <c r="A79" s="192"/>
      <c r="B79" s="90"/>
      <c r="C79" s="93"/>
      <c r="D79" s="93"/>
      <c r="E79" s="90"/>
      <c r="F79" s="93"/>
      <c r="G79" s="93"/>
      <c r="H79" s="90"/>
      <c r="I79" s="93"/>
      <c r="J79" s="93"/>
      <c r="K79" s="8"/>
    </row>
    <row r="80" spans="1:11" ht="18">
      <c r="A80" s="192"/>
      <c r="B80" s="90"/>
      <c r="C80" s="93"/>
      <c r="D80" s="93"/>
      <c r="E80" s="90"/>
      <c r="F80" s="93"/>
      <c r="G80" s="93"/>
      <c r="H80" s="90"/>
      <c r="I80" s="93"/>
      <c r="J80" s="93"/>
      <c r="K80" s="8"/>
    </row>
    <row r="81" spans="1:11" ht="18">
      <c r="A81" s="192"/>
      <c r="B81" s="90"/>
      <c r="C81" s="93"/>
      <c r="D81" s="93"/>
      <c r="E81" s="90"/>
      <c r="F81" s="93"/>
      <c r="G81" s="93"/>
      <c r="H81" s="90"/>
      <c r="I81" s="93"/>
      <c r="J81" s="93"/>
      <c r="K81" s="8"/>
    </row>
    <row r="82" spans="1:11" ht="18">
      <c r="A82" s="192"/>
      <c r="B82" s="90"/>
      <c r="C82" s="93"/>
      <c r="D82" s="93"/>
      <c r="E82" s="90"/>
      <c r="F82" s="93"/>
      <c r="G82" s="93"/>
      <c r="H82" s="90"/>
      <c r="I82" s="93"/>
      <c r="J82" s="93"/>
      <c r="K82" s="8"/>
    </row>
    <row r="83" spans="1:11" ht="18">
      <c r="A83" s="192"/>
      <c r="B83" s="90"/>
      <c r="C83" s="93"/>
      <c r="D83" s="93"/>
      <c r="E83" s="90"/>
      <c r="F83" s="93"/>
      <c r="G83" s="93"/>
      <c r="H83" s="90"/>
      <c r="I83" s="93"/>
      <c r="J83" s="93"/>
      <c r="K83" s="8"/>
    </row>
    <row r="84" spans="1:11" ht="18">
      <c r="A84" s="192"/>
      <c r="B84" s="90"/>
      <c r="C84" s="93"/>
      <c r="D84" s="93"/>
      <c r="E84" s="90"/>
      <c r="F84" s="93"/>
      <c r="G84" s="93"/>
      <c r="H84" s="90"/>
      <c r="I84" s="93"/>
      <c r="J84" s="93"/>
      <c r="K84" s="8"/>
    </row>
    <row r="85" spans="1:11" ht="18">
      <c r="A85" s="192"/>
      <c r="B85" s="90"/>
      <c r="C85" s="93"/>
      <c r="D85" s="93"/>
      <c r="E85" s="90"/>
      <c r="F85" s="93"/>
      <c r="G85" s="93"/>
      <c r="H85" s="90"/>
      <c r="I85" s="93"/>
      <c r="J85" s="93"/>
      <c r="K85" s="8"/>
    </row>
    <row r="86" spans="1:11" ht="18">
      <c r="A86" s="192"/>
      <c r="B86" s="90"/>
      <c r="C86" s="93"/>
      <c r="D86" s="93"/>
      <c r="E86" s="90"/>
      <c r="F86" s="93"/>
      <c r="G86" s="93"/>
      <c r="H86" s="90"/>
      <c r="I86" s="93"/>
      <c r="J86" s="93"/>
      <c r="K86" s="8"/>
    </row>
    <row r="87" spans="1:11" ht="18">
      <c r="A87" s="192"/>
      <c r="B87" s="90"/>
      <c r="C87" s="93"/>
      <c r="D87" s="93"/>
      <c r="E87" s="90"/>
      <c r="F87" s="93"/>
      <c r="G87" s="93"/>
      <c r="H87" s="90"/>
      <c r="I87" s="93"/>
      <c r="J87" s="93"/>
      <c r="K87" s="8"/>
    </row>
    <row r="88" spans="1:11" ht="12" customHeight="1">
      <c r="A88" s="192"/>
      <c r="B88" s="90"/>
      <c r="C88" s="93"/>
      <c r="D88" s="93"/>
      <c r="E88" s="90"/>
      <c r="F88" s="93"/>
      <c r="G88" s="93"/>
      <c r="H88" s="90"/>
      <c r="I88" s="93"/>
      <c r="J88" s="93"/>
      <c r="K88" s="8"/>
    </row>
    <row r="89" spans="1:17" ht="18.75" thickBot="1">
      <c r="A89" s="500" t="s">
        <v>357</v>
      </c>
      <c r="B89" s="500"/>
      <c r="C89" s="500"/>
      <c r="D89" s="500"/>
      <c r="E89" s="500"/>
      <c r="F89" s="500"/>
      <c r="G89" s="500"/>
      <c r="H89" s="500"/>
      <c r="I89" s="500"/>
      <c r="J89" s="500"/>
      <c r="K89" s="500"/>
      <c r="L89" s="500"/>
      <c r="M89" s="500"/>
      <c r="N89" s="500"/>
      <c r="O89" s="500"/>
      <c r="P89" s="500"/>
      <c r="Q89" s="500"/>
    </row>
    <row r="90" spans="1:12" ht="33.75">
      <c r="A90" s="516" t="s">
        <v>277</v>
      </c>
      <c r="B90" s="516"/>
      <c r="C90" s="302" t="s">
        <v>278</v>
      </c>
      <c r="D90" s="303" t="s">
        <v>279</v>
      </c>
      <c r="E90" s="301" t="s">
        <v>280</v>
      </c>
      <c r="F90" s="301" t="s">
        <v>281</v>
      </c>
      <c r="G90" s="304" t="s">
        <v>14</v>
      </c>
      <c r="H90" s="304" t="s">
        <v>38</v>
      </c>
      <c r="I90" s="301" t="s">
        <v>282</v>
      </c>
      <c r="J90" s="305" t="s">
        <v>328</v>
      </c>
      <c r="K90" s="301" t="s">
        <v>329</v>
      </c>
      <c r="L90" s="309" t="s">
        <v>283</v>
      </c>
    </row>
    <row r="91" spans="1:12" ht="30" customHeight="1">
      <c r="A91" s="514" t="s">
        <v>288</v>
      </c>
      <c r="B91" s="514"/>
      <c r="C91" s="293" t="s">
        <v>330</v>
      </c>
      <c r="D91" s="294">
        <f aca="true" t="shared" si="14" ref="D91:D103">IF(option="Option A","",A22)</f>
      </c>
      <c r="E91" s="307" t="str">
        <f aca="true" t="shared" si="15" ref="E91:E103">B22</f>
        <v>g</v>
      </c>
      <c r="F91" s="296">
        <f aca="true" t="shared" si="16" ref="F91:F103">IF(option="Option A","",H22)</f>
      </c>
      <c r="G91" s="297" t="s">
        <v>15</v>
      </c>
      <c r="H91" s="297" t="s">
        <v>300</v>
      </c>
      <c r="I91" s="298">
        <v>1</v>
      </c>
      <c r="J91" s="204" t="e">
        <f>F91/I91</f>
        <v>#VALUE!</v>
      </c>
      <c r="K91" s="299" t="e">
        <f>J91/D91</f>
        <v>#VALUE!</v>
      </c>
      <c r="L91" s="308"/>
    </row>
    <row r="92" spans="1:12" ht="30" customHeight="1">
      <c r="A92" s="513" t="s">
        <v>291</v>
      </c>
      <c r="B92" s="513"/>
      <c r="C92" s="240" t="s">
        <v>331</v>
      </c>
      <c r="D92" s="243">
        <f t="shared" si="14"/>
      </c>
      <c r="E92" s="201" t="str">
        <f t="shared" si="15"/>
        <v>g/cm³</v>
      </c>
      <c r="F92" s="203">
        <f t="shared" si="16"/>
      </c>
      <c r="G92" s="200" t="s">
        <v>15</v>
      </c>
      <c r="H92" s="200" t="s">
        <v>300</v>
      </c>
      <c r="I92" s="199">
        <v>1</v>
      </c>
      <c r="J92" s="210" t="e">
        <f aca="true" t="shared" si="17" ref="J92:J103">F92/I92</f>
        <v>#VALUE!</v>
      </c>
      <c r="K92" s="223" t="e">
        <f aca="true" t="shared" si="18" ref="K92:K103">J92/D92</f>
        <v>#VALUE!</v>
      </c>
      <c r="L92" s="211"/>
    </row>
    <row r="93" spans="1:12" ht="30" customHeight="1">
      <c r="A93" s="513" t="s">
        <v>288</v>
      </c>
      <c r="B93" s="513"/>
      <c r="C93" s="240" t="s">
        <v>332</v>
      </c>
      <c r="D93" s="243">
        <f t="shared" si="14"/>
      </c>
      <c r="E93" s="201">
        <f t="shared" si="15"/>
      </c>
      <c r="F93" s="203">
        <f t="shared" si="16"/>
      </c>
      <c r="G93" s="200" t="s">
        <v>15</v>
      </c>
      <c r="H93" s="200" t="s">
        <v>287</v>
      </c>
      <c r="I93" s="199">
        <v>1</v>
      </c>
      <c r="J93" s="210" t="e">
        <f t="shared" si="17"/>
        <v>#VALUE!</v>
      </c>
      <c r="K93" s="223" t="e">
        <f t="shared" si="18"/>
        <v>#VALUE!</v>
      </c>
      <c r="L93" s="211"/>
    </row>
    <row r="94" spans="1:12" ht="30" customHeight="1">
      <c r="A94" s="513" t="s">
        <v>291</v>
      </c>
      <c r="B94" s="513"/>
      <c r="C94" s="240" t="s">
        <v>333</v>
      </c>
      <c r="D94" s="243">
        <f t="shared" si="14"/>
      </c>
      <c r="E94" s="201">
        <f t="shared" si="15"/>
      </c>
      <c r="F94" s="203">
        <f t="shared" si="16"/>
      </c>
      <c r="G94" s="200" t="s">
        <v>15</v>
      </c>
      <c r="H94" s="200" t="s">
        <v>300</v>
      </c>
      <c r="I94" s="199">
        <v>1</v>
      </c>
      <c r="J94" s="210" t="e">
        <f t="shared" si="17"/>
        <v>#VALUE!</v>
      </c>
      <c r="K94" s="223" t="e">
        <f t="shared" si="18"/>
        <v>#VALUE!</v>
      </c>
      <c r="L94" s="211"/>
    </row>
    <row r="95" spans="1:12" ht="30" customHeight="1">
      <c r="A95" s="513" t="s">
        <v>292</v>
      </c>
      <c r="B95" s="513"/>
      <c r="C95" s="240" t="s">
        <v>334</v>
      </c>
      <c r="D95" s="243">
        <f t="shared" si="14"/>
      </c>
      <c r="E95" s="201" t="str">
        <f t="shared" si="15"/>
        <v>g</v>
      </c>
      <c r="F95" s="203">
        <f t="shared" si="16"/>
      </c>
      <c r="G95" s="200" t="s">
        <v>16</v>
      </c>
      <c r="H95" s="200" t="s">
        <v>301</v>
      </c>
      <c r="I95" s="199">
        <v>1</v>
      </c>
      <c r="J95" s="210" t="e">
        <f t="shared" si="17"/>
        <v>#VALUE!</v>
      </c>
      <c r="K95" s="223" t="e">
        <f t="shared" si="18"/>
        <v>#VALUE!</v>
      </c>
      <c r="L95" s="211"/>
    </row>
    <row r="96" spans="1:12" ht="30" customHeight="1">
      <c r="A96" s="513" t="s">
        <v>293</v>
      </c>
      <c r="B96" s="513"/>
      <c r="C96" s="240" t="s">
        <v>335</v>
      </c>
      <c r="D96" s="243">
        <f t="shared" si="14"/>
      </c>
      <c r="E96" s="201" t="str">
        <f t="shared" si="15"/>
        <v>g</v>
      </c>
      <c r="F96" s="203">
        <f t="shared" si="16"/>
      </c>
      <c r="G96" s="200" t="s">
        <v>16</v>
      </c>
      <c r="H96" s="200" t="s">
        <v>301</v>
      </c>
      <c r="I96" s="199">
        <v>1</v>
      </c>
      <c r="J96" s="210" t="e">
        <f t="shared" si="17"/>
        <v>#VALUE!</v>
      </c>
      <c r="K96" s="223" t="e">
        <f t="shared" si="18"/>
        <v>#VALUE!</v>
      </c>
      <c r="L96" s="211"/>
    </row>
    <row r="97" spans="1:12" ht="30" customHeight="1">
      <c r="A97" s="513" t="s">
        <v>294</v>
      </c>
      <c r="B97" s="513"/>
      <c r="C97" s="240" t="s">
        <v>336</v>
      </c>
      <c r="D97" s="243">
        <f t="shared" si="14"/>
      </c>
      <c r="E97" s="201" t="str">
        <f t="shared" si="15"/>
        <v>g</v>
      </c>
      <c r="F97" s="203">
        <f t="shared" si="16"/>
      </c>
      <c r="G97" s="200" t="s">
        <v>16</v>
      </c>
      <c r="H97" s="200" t="s">
        <v>301</v>
      </c>
      <c r="I97" s="199">
        <v>1</v>
      </c>
      <c r="J97" s="210" t="e">
        <f t="shared" si="17"/>
        <v>#VALUE!</v>
      </c>
      <c r="K97" s="223" t="e">
        <f t="shared" si="18"/>
        <v>#VALUE!</v>
      </c>
      <c r="L97" s="211"/>
    </row>
    <row r="98" spans="1:12" ht="30" customHeight="1">
      <c r="A98" s="513" t="s">
        <v>294</v>
      </c>
      <c r="B98" s="513"/>
      <c r="C98" s="240" t="s">
        <v>337</v>
      </c>
      <c r="D98" s="243">
        <f t="shared" si="14"/>
      </c>
      <c r="E98" s="201">
        <f t="shared" si="15"/>
      </c>
      <c r="F98" s="203">
        <f t="shared" si="16"/>
      </c>
      <c r="G98" s="200" t="s">
        <v>16</v>
      </c>
      <c r="H98" s="200" t="s">
        <v>301</v>
      </c>
      <c r="I98" s="199">
        <v>1</v>
      </c>
      <c r="J98" s="210" t="e">
        <f t="shared" si="17"/>
        <v>#VALUE!</v>
      </c>
      <c r="K98" s="223" t="e">
        <f t="shared" si="18"/>
        <v>#VALUE!</v>
      </c>
      <c r="L98" s="211"/>
    </row>
    <row r="99" spans="1:12" ht="30" customHeight="1">
      <c r="A99" s="513" t="s">
        <v>295</v>
      </c>
      <c r="B99" s="513"/>
      <c r="C99" s="240" t="s">
        <v>338</v>
      </c>
      <c r="D99" s="243">
        <f t="shared" si="14"/>
      </c>
      <c r="E99" s="201" t="str">
        <f t="shared" si="15"/>
        <v>g/cm³</v>
      </c>
      <c r="F99" s="203">
        <f t="shared" si="16"/>
      </c>
      <c r="G99" s="200" t="s">
        <v>15</v>
      </c>
      <c r="H99" s="200" t="s">
        <v>302</v>
      </c>
      <c r="I99" s="203">
        <f>SQRT(3)</f>
        <v>1.7320508075688772</v>
      </c>
      <c r="J99" s="210" t="e">
        <f t="shared" si="17"/>
        <v>#VALUE!</v>
      </c>
      <c r="K99" s="223" t="e">
        <f t="shared" si="18"/>
        <v>#VALUE!</v>
      </c>
      <c r="L99" s="211"/>
    </row>
    <row r="100" spans="1:12" ht="30" customHeight="1">
      <c r="A100" s="513" t="s">
        <v>296</v>
      </c>
      <c r="B100" s="513"/>
      <c r="C100" s="240" t="s">
        <v>339</v>
      </c>
      <c r="D100" s="243">
        <f t="shared" si="14"/>
      </c>
      <c r="E100" s="201" t="str">
        <f t="shared" si="15"/>
        <v>g/cm³</v>
      </c>
      <c r="F100" s="203">
        <f t="shared" si="16"/>
      </c>
      <c r="G100" s="200" t="s">
        <v>15</v>
      </c>
      <c r="H100" s="200" t="s">
        <v>300</v>
      </c>
      <c r="I100" s="199">
        <v>1</v>
      </c>
      <c r="J100" s="210" t="e">
        <f t="shared" si="17"/>
        <v>#VALUE!</v>
      </c>
      <c r="K100" s="223" t="e">
        <f t="shared" si="18"/>
        <v>#VALUE!</v>
      </c>
      <c r="L100" s="211"/>
    </row>
    <row r="101" spans="1:12" ht="30" customHeight="1">
      <c r="A101" s="513" t="s">
        <v>297</v>
      </c>
      <c r="B101" s="513"/>
      <c r="C101" s="240" t="s">
        <v>290</v>
      </c>
      <c r="D101" s="243">
        <f t="shared" si="14"/>
      </c>
      <c r="E101" s="201" t="str">
        <f t="shared" si="15"/>
        <v>/ºC</v>
      </c>
      <c r="F101" s="203">
        <f t="shared" si="16"/>
      </c>
      <c r="G101" s="200" t="s">
        <v>15</v>
      </c>
      <c r="H101" s="200" t="s">
        <v>302</v>
      </c>
      <c r="I101" s="203">
        <f>SQRT(3)</f>
        <v>1.7320508075688772</v>
      </c>
      <c r="J101" s="210" t="e">
        <f t="shared" si="17"/>
        <v>#VALUE!</v>
      </c>
      <c r="K101" s="223" t="e">
        <f t="shared" si="18"/>
        <v>#VALUE!</v>
      </c>
      <c r="L101" s="211"/>
    </row>
    <row r="102" spans="1:12" ht="30" customHeight="1">
      <c r="A102" s="513" t="s">
        <v>298</v>
      </c>
      <c r="B102" s="513"/>
      <c r="C102" s="240" t="s">
        <v>340</v>
      </c>
      <c r="D102" s="243">
        <f t="shared" si="14"/>
      </c>
      <c r="E102" s="201" t="str">
        <f t="shared" si="15"/>
        <v>ºC</v>
      </c>
      <c r="F102" s="203">
        <f t="shared" si="16"/>
      </c>
      <c r="G102" s="200" t="s">
        <v>15</v>
      </c>
      <c r="H102" s="200" t="s">
        <v>302</v>
      </c>
      <c r="I102" s="203">
        <f>SQRT(3)</f>
        <v>1.7320508075688772</v>
      </c>
      <c r="J102" s="210" t="e">
        <f t="shared" si="17"/>
        <v>#VALUE!</v>
      </c>
      <c r="K102" s="223" t="e">
        <f t="shared" si="18"/>
        <v>#VALUE!</v>
      </c>
      <c r="L102" s="211"/>
    </row>
    <row r="103" spans="1:12" ht="30" customHeight="1">
      <c r="A103" s="513" t="s">
        <v>299</v>
      </c>
      <c r="B103" s="513"/>
      <c r="C103" s="240" t="s">
        <v>341</v>
      </c>
      <c r="D103" s="243">
        <f t="shared" si="14"/>
      </c>
      <c r="E103" s="201" t="str">
        <f t="shared" si="15"/>
        <v>ºC</v>
      </c>
      <c r="F103" s="203">
        <f t="shared" si="16"/>
      </c>
      <c r="G103" s="200" t="s">
        <v>15</v>
      </c>
      <c r="H103" s="200" t="s">
        <v>302</v>
      </c>
      <c r="I103" s="203">
        <f>SQRT(3)</f>
        <v>1.7320508075688772</v>
      </c>
      <c r="J103" s="210" t="e">
        <f t="shared" si="17"/>
        <v>#VALUE!</v>
      </c>
      <c r="K103" s="223" t="e">
        <f t="shared" si="18"/>
        <v>#VALUE!</v>
      </c>
      <c r="L103" s="211"/>
    </row>
    <row r="104" spans="1:11" ht="12" customHeight="1">
      <c r="A104" s="192"/>
      <c r="B104" s="90"/>
      <c r="C104" s="93"/>
      <c r="D104" s="93"/>
      <c r="E104" s="90"/>
      <c r="F104" s="93"/>
      <c r="G104" s="93"/>
      <c r="H104" s="90"/>
      <c r="I104" s="93"/>
      <c r="J104" s="93"/>
      <c r="K104" s="8"/>
    </row>
    <row r="105" spans="1:17" ht="18.75" thickBot="1">
      <c r="A105" s="500" t="s">
        <v>359</v>
      </c>
      <c r="B105" s="500"/>
      <c r="C105" s="500"/>
      <c r="D105" s="500"/>
      <c r="E105" s="500"/>
      <c r="F105" s="500"/>
      <c r="G105" s="500"/>
      <c r="H105" s="500"/>
      <c r="I105" s="500"/>
      <c r="J105" s="500"/>
      <c r="K105" s="500"/>
      <c r="L105" s="500"/>
      <c r="M105" s="500"/>
      <c r="N105" s="500"/>
      <c r="O105" s="500"/>
      <c r="P105" s="500"/>
      <c r="Q105" s="500"/>
    </row>
    <row r="106" spans="1:17" ht="15">
      <c r="A106" s="531"/>
      <c r="B106" s="532"/>
      <c r="C106" s="212" t="str">
        <f>"u("&amp;A110&amp;")"</f>
        <v>u(Ms1)</v>
      </c>
      <c r="D106" s="212" t="str">
        <f>"u("&amp;A111&amp;")"</f>
        <v>u(ρs1)</v>
      </c>
      <c r="E106" s="213" t="str">
        <f>"u("&amp;A112&amp;")"</f>
        <v>u(Ms2)</v>
      </c>
      <c r="F106" s="212" t="str">
        <f>"u("&amp;A113&amp;")"</f>
        <v>u(ρs2)</v>
      </c>
      <c r="G106" s="212" t="str">
        <f>"u("&amp;A114&amp;")"</f>
        <v>u(O1 (sp))</v>
      </c>
      <c r="H106" s="212" t="str">
        <f>"u("&amp;A115&amp;")"</f>
        <v>u(O2)</v>
      </c>
      <c r="I106" s="212" t="str">
        <f>"u("&amp;A116&amp;")"</f>
        <v>u(O3)</v>
      </c>
      <c r="J106" s="212" t="str">
        <f>"u("&amp;A117&amp;")"</f>
        <v>u(O4)</v>
      </c>
      <c r="K106" s="212" t="str">
        <f>"u("&amp;A118&amp;")"</f>
        <v>u(ρa)</v>
      </c>
      <c r="L106" s="212" t="str">
        <f>"u("&amp;A119&amp;")"</f>
        <v>u(ρw)</v>
      </c>
      <c r="M106" s="212" t="str">
        <f>"u("&amp;A120&amp;")"</f>
        <v>u(α)</v>
      </c>
      <c r="N106" s="212" t="str">
        <f>"u("&amp;A121&amp;")"</f>
        <v>u(tw)</v>
      </c>
      <c r="O106" s="213" t="str">
        <f>"u("&amp;A122&amp;")"</f>
        <v>u(tref)</v>
      </c>
      <c r="P106" s="530"/>
      <c r="Q106" s="530"/>
    </row>
    <row r="107" spans="1:17" ht="16.5" customHeight="1">
      <c r="A107" s="501"/>
      <c r="B107" s="503"/>
      <c r="C107" s="244" t="e">
        <f>J91</f>
        <v>#VALUE!</v>
      </c>
      <c r="D107" s="244" t="e">
        <f>J92</f>
        <v>#VALUE!</v>
      </c>
      <c r="E107" s="244" t="e">
        <f>J93</f>
        <v>#VALUE!</v>
      </c>
      <c r="F107" s="244" t="e">
        <f>J94</f>
        <v>#VALUE!</v>
      </c>
      <c r="G107" s="244" t="e">
        <f>J95</f>
        <v>#VALUE!</v>
      </c>
      <c r="H107" s="244" t="e">
        <f>J96</f>
        <v>#VALUE!</v>
      </c>
      <c r="I107" s="244" t="e">
        <f>J97</f>
        <v>#VALUE!</v>
      </c>
      <c r="J107" s="244" t="e">
        <f>J98</f>
        <v>#VALUE!</v>
      </c>
      <c r="K107" s="244" t="e">
        <f>J99</f>
        <v>#VALUE!</v>
      </c>
      <c r="L107" s="244" t="e">
        <f>J100</f>
        <v>#VALUE!</v>
      </c>
      <c r="M107" s="244" t="e">
        <f>J101</f>
        <v>#VALUE!</v>
      </c>
      <c r="N107" s="244" t="e">
        <f>J102</f>
        <v>#VALUE!</v>
      </c>
      <c r="O107" s="244" t="e">
        <f>J103</f>
        <v>#VALUE!</v>
      </c>
      <c r="P107" s="502"/>
      <c r="Q107" s="502"/>
    </row>
    <row r="108" spans="1:17" ht="16.5" customHeight="1">
      <c r="A108" s="502"/>
      <c r="B108" s="207" t="s">
        <v>283</v>
      </c>
      <c r="C108" s="245"/>
      <c r="D108" s="245"/>
      <c r="E108" s="245"/>
      <c r="F108" s="245"/>
      <c r="G108" s="245"/>
      <c r="H108" s="245"/>
      <c r="I108" s="245"/>
      <c r="J108" s="245"/>
      <c r="K108" s="245"/>
      <c r="L108" s="245"/>
      <c r="M108" s="245"/>
      <c r="N108" s="246"/>
      <c r="O108" s="246"/>
      <c r="P108" s="502"/>
      <c r="Q108" s="502"/>
    </row>
    <row r="109" spans="1:17" ht="33">
      <c r="A109" s="241" t="s">
        <v>284</v>
      </c>
      <c r="B109" s="242" t="s">
        <v>279</v>
      </c>
      <c r="C109" s="528"/>
      <c r="D109" s="528"/>
      <c r="E109" s="528"/>
      <c r="F109" s="528"/>
      <c r="G109" s="528"/>
      <c r="H109" s="528"/>
      <c r="I109" s="528"/>
      <c r="J109" s="528"/>
      <c r="K109" s="528"/>
      <c r="L109" s="528"/>
      <c r="M109" s="528"/>
      <c r="N109" s="528"/>
      <c r="O109" s="529"/>
      <c r="P109" s="503"/>
      <c r="Q109" s="502"/>
    </row>
    <row r="110" spans="1:17" ht="16.5">
      <c r="A110" s="240" t="s">
        <v>330</v>
      </c>
      <c r="B110" s="259">
        <f aca="true" t="shared" si="19" ref="B110:B122">D91</f>
      </c>
      <c r="C110" s="247" t="e">
        <f>B110+C107</f>
        <v>#VALUE!</v>
      </c>
      <c r="D110" s="248">
        <f>B110</f>
      </c>
      <c r="E110" s="248">
        <f>B110</f>
      </c>
      <c r="F110" s="248">
        <f>B110</f>
      </c>
      <c r="G110" s="248">
        <f>B110</f>
      </c>
      <c r="H110" s="248">
        <f>B110</f>
      </c>
      <c r="I110" s="248">
        <f aca="true" t="shared" si="20" ref="I110:I115">B110</f>
      </c>
      <c r="J110" s="248">
        <f aca="true" t="shared" si="21" ref="J110:J116">B110</f>
      </c>
      <c r="K110" s="248">
        <f aca="true" t="shared" si="22" ref="K110:K117">B110</f>
      </c>
      <c r="L110" s="248">
        <f aca="true" t="shared" si="23" ref="L110:L118">B110</f>
      </c>
      <c r="M110" s="248">
        <f aca="true" t="shared" si="24" ref="M110:M119">B110</f>
      </c>
      <c r="N110" s="248">
        <f aca="true" t="shared" si="25" ref="N110:N120">B110</f>
      </c>
      <c r="O110" s="248">
        <f aca="true" t="shared" si="26" ref="O110:O121">B110</f>
      </c>
      <c r="P110" s="502"/>
      <c r="Q110" s="502"/>
    </row>
    <row r="111" spans="1:17" ht="16.5">
      <c r="A111" s="240" t="s">
        <v>331</v>
      </c>
      <c r="B111" s="259">
        <f t="shared" si="19"/>
      </c>
      <c r="C111" s="248">
        <f aca="true" t="shared" si="27" ref="C111:C122">B111</f>
      </c>
      <c r="D111" s="247" t="e">
        <f>B111+D107</f>
        <v>#VALUE!</v>
      </c>
      <c r="E111" s="249">
        <f>B111</f>
      </c>
      <c r="F111" s="248">
        <f>B111</f>
      </c>
      <c r="G111" s="248">
        <f>B111</f>
      </c>
      <c r="H111" s="248">
        <f>B111</f>
      </c>
      <c r="I111" s="248">
        <f t="shared" si="20"/>
      </c>
      <c r="J111" s="248">
        <f t="shared" si="21"/>
      </c>
      <c r="K111" s="248">
        <f t="shared" si="22"/>
      </c>
      <c r="L111" s="248">
        <f t="shared" si="23"/>
      </c>
      <c r="M111" s="248">
        <f t="shared" si="24"/>
      </c>
      <c r="N111" s="248">
        <f t="shared" si="25"/>
      </c>
      <c r="O111" s="248">
        <f t="shared" si="26"/>
      </c>
      <c r="P111" s="502"/>
      <c r="Q111" s="502"/>
    </row>
    <row r="112" spans="1:17" ht="16.5">
      <c r="A112" s="240" t="s">
        <v>332</v>
      </c>
      <c r="B112" s="259">
        <f t="shared" si="19"/>
      </c>
      <c r="C112" s="250">
        <f t="shared" si="27"/>
      </c>
      <c r="D112" s="249">
        <f aca="true" t="shared" si="28" ref="D112:D122">B112</f>
      </c>
      <c r="E112" s="247" t="e">
        <f>B112+E107</f>
        <v>#VALUE!</v>
      </c>
      <c r="F112" s="248">
        <f>B112</f>
      </c>
      <c r="G112" s="248">
        <f>B112</f>
      </c>
      <c r="H112" s="248">
        <f>B112</f>
      </c>
      <c r="I112" s="248">
        <f t="shared" si="20"/>
      </c>
      <c r="J112" s="248">
        <f t="shared" si="21"/>
      </c>
      <c r="K112" s="248">
        <f t="shared" si="22"/>
      </c>
      <c r="L112" s="248">
        <f t="shared" si="23"/>
      </c>
      <c r="M112" s="248">
        <f t="shared" si="24"/>
      </c>
      <c r="N112" s="248">
        <f t="shared" si="25"/>
      </c>
      <c r="O112" s="248">
        <f t="shared" si="26"/>
      </c>
      <c r="P112" s="502"/>
      <c r="Q112" s="502"/>
    </row>
    <row r="113" spans="1:17" ht="16.5">
      <c r="A113" s="240" t="s">
        <v>333</v>
      </c>
      <c r="B113" s="259">
        <f t="shared" si="19"/>
      </c>
      <c r="C113" s="250">
        <f t="shared" si="27"/>
      </c>
      <c r="D113" s="250">
        <f t="shared" si="28"/>
      </c>
      <c r="E113" s="250">
        <f aca="true" t="shared" si="29" ref="E113:E122">B113</f>
      </c>
      <c r="F113" s="247" t="e">
        <f>B113+F107</f>
        <v>#VALUE!</v>
      </c>
      <c r="G113" s="249">
        <f>B113</f>
      </c>
      <c r="H113" s="249">
        <f>B113</f>
      </c>
      <c r="I113" s="249">
        <f t="shared" si="20"/>
      </c>
      <c r="J113" s="249">
        <f t="shared" si="21"/>
      </c>
      <c r="K113" s="249">
        <f t="shared" si="22"/>
      </c>
      <c r="L113" s="249">
        <f t="shared" si="23"/>
      </c>
      <c r="M113" s="249">
        <f t="shared" si="24"/>
      </c>
      <c r="N113" s="248">
        <f t="shared" si="25"/>
      </c>
      <c r="O113" s="248">
        <f t="shared" si="26"/>
      </c>
      <c r="P113" s="502"/>
      <c r="Q113" s="502"/>
    </row>
    <row r="114" spans="1:17" ht="16.5">
      <c r="A114" s="240" t="s">
        <v>334</v>
      </c>
      <c r="B114" s="259">
        <f t="shared" si="19"/>
      </c>
      <c r="C114" s="250">
        <f t="shared" si="27"/>
      </c>
      <c r="D114" s="250">
        <f t="shared" si="28"/>
      </c>
      <c r="E114" s="250">
        <f t="shared" si="29"/>
      </c>
      <c r="F114" s="249">
        <f aca="true" t="shared" si="30" ref="F114:F122">B114</f>
      </c>
      <c r="G114" s="247" t="e">
        <f>B114+G107</f>
        <v>#VALUE!</v>
      </c>
      <c r="H114" s="249">
        <f>B114</f>
      </c>
      <c r="I114" s="248">
        <f t="shared" si="20"/>
      </c>
      <c r="J114" s="249">
        <f t="shared" si="21"/>
      </c>
      <c r="K114" s="249">
        <f t="shared" si="22"/>
      </c>
      <c r="L114" s="249">
        <f t="shared" si="23"/>
      </c>
      <c r="M114" s="249">
        <f t="shared" si="24"/>
      </c>
      <c r="N114" s="248">
        <f t="shared" si="25"/>
      </c>
      <c r="O114" s="248">
        <f t="shared" si="26"/>
      </c>
      <c r="P114" s="502"/>
      <c r="Q114" s="502"/>
    </row>
    <row r="115" spans="1:17" ht="16.5">
      <c r="A115" s="240" t="s">
        <v>335</v>
      </c>
      <c r="B115" s="259">
        <f t="shared" si="19"/>
      </c>
      <c r="C115" s="250">
        <f t="shared" si="27"/>
      </c>
      <c r="D115" s="250">
        <f t="shared" si="28"/>
      </c>
      <c r="E115" s="250">
        <f t="shared" si="29"/>
      </c>
      <c r="F115" s="249">
        <f t="shared" si="30"/>
      </c>
      <c r="G115" s="249">
        <f aca="true" t="shared" si="31" ref="G115:G122">B115</f>
      </c>
      <c r="H115" s="247" t="e">
        <f>B115+H107</f>
        <v>#VALUE!</v>
      </c>
      <c r="I115" s="248">
        <f t="shared" si="20"/>
      </c>
      <c r="J115" s="249">
        <f t="shared" si="21"/>
      </c>
      <c r="K115" s="249">
        <f t="shared" si="22"/>
      </c>
      <c r="L115" s="249">
        <f t="shared" si="23"/>
      </c>
      <c r="M115" s="249">
        <f t="shared" si="24"/>
      </c>
      <c r="N115" s="248">
        <f t="shared" si="25"/>
      </c>
      <c r="O115" s="248">
        <f t="shared" si="26"/>
      </c>
      <c r="P115" s="502"/>
      <c r="Q115" s="502"/>
    </row>
    <row r="116" spans="1:17" ht="16.5">
      <c r="A116" s="240" t="s">
        <v>336</v>
      </c>
      <c r="B116" s="259">
        <f t="shared" si="19"/>
      </c>
      <c r="C116" s="250">
        <f t="shared" si="27"/>
      </c>
      <c r="D116" s="250">
        <f t="shared" si="28"/>
      </c>
      <c r="E116" s="250">
        <f t="shared" si="29"/>
      </c>
      <c r="F116" s="249">
        <f t="shared" si="30"/>
      </c>
      <c r="G116" s="250">
        <f t="shared" si="31"/>
      </c>
      <c r="H116" s="250">
        <f aca="true" t="shared" si="32" ref="H116:H122">B116</f>
      </c>
      <c r="I116" s="247" t="e">
        <f>B116+I107</f>
        <v>#VALUE!</v>
      </c>
      <c r="J116" s="249">
        <f t="shared" si="21"/>
      </c>
      <c r="K116" s="249">
        <f t="shared" si="22"/>
      </c>
      <c r="L116" s="249">
        <f t="shared" si="23"/>
      </c>
      <c r="M116" s="249">
        <f t="shared" si="24"/>
      </c>
      <c r="N116" s="248">
        <f t="shared" si="25"/>
      </c>
      <c r="O116" s="248">
        <f t="shared" si="26"/>
      </c>
      <c r="P116" s="502"/>
      <c r="Q116" s="502"/>
    </row>
    <row r="117" spans="1:17" ht="16.5">
      <c r="A117" s="240" t="s">
        <v>337</v>
      </c>
      <c r="B117" s="259">
        <f t="shared" si="19"/>
      </c>
      <c r="C117" s="250">
        <f t="shared" si="27"/>
      </c>
      <c r="D117" s="250">
        <f t="shared" si="28"/>
      </c>
      <c r="E117" s="250">
        <f t="shared" si="29"/>
      </c>
      <c r="F117" s="249">
        <f t="shared" si="30"/>
      </c>
      <c r="G117" s="249">
        <f t="shared" si="31"/>
      </c>
      <c r="H117" s="249">
        <f t="shared" si="32"/>
      </c>
      <c r="I117" s="249">
        <f aca="true" t="shared" si="33" ref="I117:I122">B117</f>
      </c>
      <c r="J117" s="247" t="e">
        <f>B117+J107</f>
        <v>#VALUE!</v>
      </c>
      <c r="K117" s="249">
        <f t="shared" si="22"/>
      </c>
      <c r="L117" s="248">
        <f t="shared" si="23"/>
      </c>
      <c r="M117" s="249">
        <f t="shared" si="24"/>
      </c>
      <c r="N117" s="248">
        <f t="shared" si="25"/>
      </c>
      <c r="O117" s="248">
        <f t="shared" si="26"/>
      </c>
      <c r="P117" s="502"/>
      <c r="Q117" s="502"/>
    </row>
    <row r="118" spans="1:17" ht="16.5">
      <c r="A118" s="240" t="s">
        <v>338</v>
      </c>
      <c r="B118" s="259">
        <f t="shared" si="19"/>
      </c>
      <c r="C118" s="250">
        <f t="shared" si="27"/>
      </c>
      <c r="D118" s="250">
        <f t="shared" si="28"/>
      </c>
      <c r="E118" s="250">
        <f t="shared" si="29"/>
      </c>
      <c r="F118" s="249">
        <f t="shared" si="30"/>
      </c>
      <c r="G118" s="249">
        <f t="shared" si="31"/>
      </c>
      <c r="H118" s="249">
        <f t="shared" si="32"/>
      </c>
      <c r="I118" s="249">
        <f t="shared" si="33"/>
      </c>
      <c r="J118" s="249">
        <f>B118</f>
      </c>
      <c r="K118" s="247" t="e">
        <f>B118+K107</f>
        <v>#VALUE!</v>
      </c>
      <c r="L118" s="248">
        <f t="shared" si="23"/>
      </c>
      <c r="M118" s="249">
        <f t="shared" si="24"/>
      </c>
      <c r="N118" s="248">
        <f t="shared" si="25"/>
      </c>
      <c r="O118" s="248">
        <f t="shared" si="26"/>
      </c>
      <c r="P118" s="502"/>
      <c r="Q118" s="502"/>
    </row>
    <row r="119" spans="1:17" ht="16.5">
      <c r="A119" s="240" t="s">
        <v>339</v>
      </c>
      <c r="B119" s="259">
        <f t="shared" si="19"/>
      </c>
      <c r="C119" s="250">
        <f t="shared" si="27"/>
      </c>
      <c r="D119" s="250">
        <f t="shared" si="28"/>
      </c>
      <c r="E119" s="250">
        <f t="shared" si="29"/>
      </c>
      <c r="F119" s="249">
        <f t="shared" si="30"/>
      </c>
      <c r="G119" s="249">
        <f t="shared" si="31"/>
      </c>
      <c r="H119" s="249">
        <f t="shared" si="32"/>
      </c>
      <c r="I119" s="249">
        <f t="shared" si="33"/>
      </c>
      <c r="J119" s="250">
        <f>B119</f>
      </c>
      <c r="K119" s="250">
        <f>B119</f>
      </c>
      <c r="L119" s="247" t="e">
        <f>B119+L107</f>
        <v>#VALUE!</v>
      </c>
      <c r="M119" s="249">
        <f t="shared" si="24"/>
      </c>
      <c r="N119" s="248">
        <f t="shared" si="25"/>
      </c>
      <c r="O119" s="248">
        <f t="shared" si="26"/>
      </c>
      <c r="P119" s="502"/>
      <c r="Q119" s="502"/>
    </row>
    <row r="120" spans="1:17" ht="15">
      <c r="A120" s="240" t="s">
        <v>290</v>
      </c>
      <c r="B120" s="259">
        <f t="shared" si="19"/>
      </c>
      <c r="C120" s="250">
        <f t="shared" si="27"/>
      </c>
      <c r="D120" s="250">
        <f t="shared" si="28"/>
      </c>
      <c r="E120" s="250">
        <f t="shared" si="29"/>
      </c>
      <c r="F120" s="249">
        <f t="shared" si="30"/>
      </c>
      <c r="G120" s="249">
        <f t="shared" si="31"/>
      </c>
      <c r="H120" s="249">
        <f t="shared" si="32"/>
      </c>
      <c r="I120" s="249">
        <f t="shared" si="33"/>
      </c>
      <c r="J120" s="249">
        <f>B120</f>
      </c>
      <c r="K120" s="249">
        <f>B120</f>
      </c>
      <c r="L120" s="249">
        <f>B120</f>
      </c>
      <c r="M120" s="247" t="e">
        <f>B120+M107</f>
        <v>#VALUE!</v>
      </c>
      <c r="N120" s="248">
        <f t="shared" si="25"/>
      </c>
      <c r="O120" s="248">
        <f t="shared" si="26"/>
      </c>
      <c r="P120" s="502"/>
      <c r="Q120" s="502"/>
    </row>
    <row r="121" spans="1:17" ht="16.5">
      <c r="A121" s="240" t="s">
        <v>340</v>
      </c>
      <c r="B121" s="259">
        <f t="shared" si="19"/>
      </c>
      <c r="C121" s="250">
        <f t="shared" si="27"/>
      </c>
      <c r="D121" s="250">
        <f t="shared" si="28"/>
      </c>
      <c r="E121" s="250">
        <f t="shared" si="29"/>
      </c>
      <c r="F121" s="250">
        <f t="shared" si="30"/>
      </c>
      <c r="G121" s="250">
        <f t="shared" si="31"/>
      </c>
      <c r="H121" s="250">
        <f t="shared" si="32"/>
      </c>
      <c r="I121" s="250">
        <f t="shared" si="33"/>
      </c>
      <c r="J121" s="250">
        <f>B121</f>
      </c>
      <c r="K121" s="250">
        <f>B121</f>
      </c>
      <c r="L121" s="250">
        <f>B121</f>
      </c>
      <c r="M121" s="250">
        <f>B121</f>
      </c>
      <c r="N121" s="247" t="e">
        <f>B121+N107</f>
        <v>#VALUE!</v>
      </c>
      <c r="O121" s="248">
        <f t="shared" si="26"/>
      </c>
      <c r="P121" s="502"/>
      <c r="Q121" s="502"/>
    </row>
    <row r="122" spans="1:17" ht="16.5">
      <c r="A122" s="240" t="s">
        <v>341</v>
      </c>
      <c r="B122" s="259">
        <f t="shared" si="19"/>
      </c>
      <c r="C122" s="250">
        <f t="shared" si="27"/>
      </c>
      <c r="D122" s="250">
        <f t="shared" si="28"/>
      </c>
      <c r="E122" s="250">
        <f t="shared" si="29"/>
      </c>
      <c r="F122" s="250">
        <f t="shared" si="30"/>
      </c>
      <c r="G122" s="250">
        <f t="shared" si="31"/>
      </c>
      <c r="H122" s="250">
        <f t="shared" si="32"/>
      </c>
      <c r="I122" s="250">
        <f t="shared" si="33"/>
      </c>
      <c r="J122" s="250">
        <f>B122</f>
      </c>
      <c r="K122" s="250">
        <f>B122</f>
      </c>
      <c r="L122" s="250">
        <f>B122</f>
      </c>
      <c r="M122" s="250">
        <f>B122</f>
      </c>
      <c r="N122" s="250">
        <f>B122</f>
      </c>
      <c r="O122" s="251" t="e">
        <f>B122+O107</f>
        <v>#VALUE!</v>
      </c>
      <c r="P122" s="502"/>
      <c r="Q122" s="502"/>
    </row>
    <row r="123" spans="1:17" ht="15">
      <c r="A123" s="254" t="s">
        <v>285</v>
      </c>
      <c r="B123" s="252" t="e">
        <f>(((B117*(B112*(1-B118/B113)/B116))-(B115*(B110*(1-B118/B111)/B114)))*(1/(B119-B118)))*(1-B120*(B121-B122))</f>
        <v>#VALUE!</v>
      </c>
      <c r="C123" s="252" t="e">
        <f aca="true" t="shared" si="34" ref="C123:N123">(((C117*(C112*(1-C118/C113)/C116))-(C115*(C110*(1-C118/C111)/C114)))*(1/(C119-C118)))*(1-C120*(C121-C122))</f>
        <v>#VALUE!</v>
      </c>
      <c r="D123" s="252" t="e">
        <f t="shared" si="34"/>
        <v>#VALUE!</v>
      </c>
      <c r="E123" s="252" t="e">
        <f t="shared" si="34"/>
        <v>#VALUE!</v>
      </c>
      <c r="F123" s="252" t="e">
        <f t="shared" si="34"/>
        <v>#VALUE!</v>
      </c>
      <c r="G123" s="252" t="e">
        <f t="shared" si="34"/>
        <v>#VALUE!</v>
      </c>
      <c r="H123" s="252" t="e">
        <f t="shared" si="34"/>
        <v>#VALUE!</v>
      </c>
      <c r="I123" s="252" t="e">
        <f t="shared" si="34"/>
        <v>#VALUE!</v>
      </c>
      <c r="J123" s="252" t="e">
        <f t="shared" si="34"/>
        <v>#VALUE!</v>
      </c>
      <c r="K123" s="252" t="e">
        <f t="shared" si="34"/>
        <v>#VALUE!</v>
      </c>
      <c r="L123" s="252" t="e">
        <f t="shared" si="34"/>
        <v>#VALUE!</v>
      </c>
      <c r="M123" s="252" t="e">
        <f t="shared" si="34"/>
        <v>#VALUE!</v>
      </c>
      <c r="N123" s="252" t="e">
        <f t="shared" si="34"/>
        <v>#VALUE!</v>
      </c>
      <c r="O123" s="252" t="e">
        <f>(((O117*(O112*(1-O118/O113)/O116))-(O115*(O110*(1-O118/O111)/O114)))*(1/(O119-O118)))*(1-O120*(O121-O122))</f>
        <v>#VALUE!</v>
      </c>
      <c r="P123" s="502"/>
      <c r="Q123" s="502"/>
    </row>
    <row r="124" spans="1:17" ht="16.5">
      <c r="A124" s="255"/>
      <c r="B124" s="260"/>
      <c r="C124" s="248" t="e">
        <f>C123-B123</f>
        <v>#VALUE!</v>
      </c>
      <c r="D124" s="248" t="e">
        <f>D123-B123</f>
        <v>#VALUE!</v>
      </c>
      <c r="E124" s="248" t="e">
        <f>E123-B123</f>
        <v>#VALUE!</v>
      </c>
      <c r="F124" s="248" t="e">
        <f>F123-B123</f>
        <v>#VALUE!</v>
      </c>
      <c r="G124" s="248" t="e">
        <f>G123-B123</f>
        <v>#VALUE!</v>
      </c>
      <c r="H124" s="248" t="e">
        <f>H123-B123</f>
        <v>#VALUE!</v>
      </c>
      <c r="I124" s="248" t="e">
        <f>I123-B123</f>
        <v>#VALUE!</v>
      </c>
      <c r="J124" s="248" t="e">
        <f>J123-B123</f>
        <v>#VALUE!</v>
      </c>
      <c r="K124" s="248" t="e">
        <f>K123-B123</f>
        <v>#VALUE!</v>
      </c>
      <c r="L124" s="248" t="e">
        <f>L123-B123</f>
        <v>#VALUE!</v>
      </c>
      <c r="M124" s="248" t="e">
        <f>M123-B123</f>
        <v>#VALUE!</v>
      </c>
      <c r="N124" s="248" t="e">
        <f>N123-B123</f>
        <v>#VALUE!</v>
      </c>
      <c r="O124" s="248" t="e">
        <f>O123-B123</f>
        <v>#VALUE!</v>
      </c>
      <c r="P124" s="268" t="s">
        <v>346</v>
      </c>
      <c r="Q124" s="525"/>
    </row>
    <row r="125" spans="1:17" ht="18">
      <c r="A125" s="256" t="s">
        <v>342</v>
      </c>
      <c r="B125" s="248" t="e">
        <f>SQRT(SUM(C125:O125))</f>
        <v>#VALUE!</v>
      </c>
      <c r="C125" s="248" t="e">
        <f aca="true" t="shared" si="35" ref="C125:O125">C124^2</f>
        <v>#VALUE!</v>
      </c>
      <c r="D125" s="248" t="e">
        <f t="shared" si="35"/>
        <v>#VALUE!</v>
      </c>
      <c r="E125" s="248" t="e">
        <f t="shared" si="35"/>
        <v>#VALUE!</v>
      </c>
      <c r="F125" s="248" t="e">
        <f t="shared" si="35"/>
        <v>#VALUE!</v>
      </c>
      <c r="G125" s="248" t="e">
        <f t="shared" si="35"/>
        <v>#VALUE!</v>
      </c>
      <c r="H125" s="248" t="e">
        <f t="shared" si="35"/>
        <v>#VALUE!</v>
      </c>
      <c r="I125" s="248" t="e">
        <f t="shared" si="35"/>
        <v>#VALUE!</v>
      </c>
      <c r="J125" s="248" t="e">
        <f t="shared" si="35"/>
        <v>#VALUE!</v>
      </c>
      <c r="K125" s="248" t="e">
        <f t="shared" si="35"/>
        <v>#VALUE!</v>
      </c>
      <c r="L125" s="248" t="e">
        <f t="shared" si="35"/>
        <v>#VALUE!</v>
      </c>
      <c r="M125" s="248" t="e">
        <f t="shared" si="35"/>
        <v>#VALUE!</v>
      </c>
      <c r="N125" s="248" t="e">
        <f t="shared" si="35"/>
        <v>#VALUE!</v>
      </c>
      <c r="O125" s="248" t="e">
        <f t="shared" si="35"/>
        <v>#VALUE!</v>
      </c>
      <c r="P125" s="269" t="s">
        <v>347</v>
      </c>
      <c r="Q125" s="525"/>
    </row>
    <row r="126" spans="1:17" ht="17.25">
      <c r="A126" s="257" t="s">
        <v>283</v>
      </c>
      <c r="B126" s="261" t="e">
        <f>B125^4/(C124^4/C108+D124^4/D108+E124^4/E108+F124^4/F108+G124^4/G108+H124^4/H108+I124^4/I108+J124^4/J108+K124^4/K108+L124^4/L108+M124^4/M108+N124^4/N108+O124^4/O108)</f>
        <v>#VALUE!</v>
      </c>
      <c r="C126" s="253" t="e">
        <f>C125/B125^2</f>
        <v>#VALUE!</v>
      </c>
      <c r="D126" s="253" t="e">
        <f>D125/B125^2</f>
        <v>#VALUE!</v>
      </c>
      <c r="E126" s="253" t="e">
        <f>E125/B125^2</f>
        <v>#VALUE!</v>
      </c>
      <c r="F126" s="253" t="e">
        <f>F125/B125^2</f>
        <v>#VALUE!</v>
      </c>
      <c r="G126" s="253" t="e">
        <f>G125/B125^2</f>
        <v>#VALUE!</v>
      </c>
      <c r="H126" s="253" t="e">
        <f>H125/B125^2</f>
        <v>#VALUE!</v>
      </c>
      <c r="I126" s="253" t="e">
        <f>I125/B125^2</f>
        <v>#VALUE!</v>
      </c>
      <c r="J126" s="253" t="e">
        <f>J125/B125^2</f>
        <v>#VALUE!</v>
      </c>
      <c r="K126" s="253" t="e">
        <f>K125/B125^2</f>
        <v>#VALUE!</v>
      </c>
      <c r="L126" s="253" t="e">
        <f>L125/B125^2</f>
        <v>#VALUE!</v>
      </c>
      <c r="M126" s="253" t="e">
        <f>M125/B125^2</f>
        <v>#VALUE!</v>
      </c>
      <c r="N126" s="253" t="e">
        <f>N125/B125^2</f>
        <v>#VALUE!</v>
      </c>
      <c r="O126" s="253" t="e">
        <f>O125/B125^2</f>
        <v>#VALUE!</v>
      </c>
      <c r="P126" s="267" t="s">
        <v>345</v>
      </c>
      <c r="Q126" s="271" t="e">
        <f>SUM(C126:O126)</f>
        <v>#VALUE!</v>
      </c>
    </row>
    <row r="127" spans="1:17" ht="18">
      <c r="A127" s="256" t="s">
        <v>286</v>
      </c>
      <c r="B127" s="214">
        <f>2</f>
        <v>2</v>
      </c>
      <c r="C127" s="266" t="e">
        <f aca="true" t="shared" si="36" ref="C127:O127">C124/C107</f>
        <v>#VALUE!</v>
      </c>
      <c r="D127" s="266" t="e">
        <f t="shared" si="36"/>
        <v>#VALUE!</v>
      </c>
      <c r="E127" s="266" t="e">
        <f t="shared" si="36"/>
        <v>#VALUE!</v>
      </c>
      <c r="F127" s="266" t="e">
        <f t="shared" si="36"/>
        <v>#VALUE!</v>
      </c>
      <c r="G127" s="266" t="e">
        <f t="shared" si="36"/>
        <v>#VALUE!</v>
      </c>
      <c r="H127" s="266" t="e">
        <f t="shared" si="36"/>
        <v>#VALUE!</v>
      </c>
      <c r="I127" s="266" t="e">
        <f t="shared" si="36"/>
        <v>#VALUE!</v>
      </c>
      <c r="J127" s="266" t="e">
        <f t="shared" si="36"/>
        <v>#VALUE!</v>
      </c>
      <c r="K127" s="266" t="e">
        <f t="shared" si="36"/>
        <v>#VALUE!</v>
      </c>
      <c r="L127" s="266" t="e">
        <f t="shared" si="36"/>
        <v>#VALUE!</v>
      </c>
      <c r="M127" s="266" t="e">
        <f t="shared" si="36"/>
        <v>#VALUE!</v>
      </c>
      <c r="N127" s="266" t="e">
        <f t="shared" si="36"/>
        <v>#VALUE!</v>
      </c>
      <c r="O127" s="266" t="e">
        <f t="shared" si="36"/>
        <v>#VALUE!</v>
      </c>
      <c r="P127" s="270" t="s">
        <v>348</v>
      </c>
      <c r="Q127" s="272" t="s">
        <v>349</v>
      </c>
    </row>
    <row r="128" spans="1:17" ht="16.5">
      <c r="A128" s="256" t="s">
        <v>287</v>
      </c>
      <c r="B128" s="258" t="e">
        <f>B127*B125</f>
        <v>#VALUE!</v>
      </c>
      <c r="C128" s="262" t="s">
        <v>25</v>
      </c>
      <c r="D128" s="265" t="e">
        <f>B128/B123</f>
        <v>#VALUE!</v>
      </c>
      <c r="E128" s="264" t="s">
        <v>344</v>
      </c>
      <c r="F128" s="502"/>
      <c r="G128" s="502"/>
      <c r="H128" s="502"/>
      <c r="I128" s="502"/>
      <c r="J128" s="502"/>
      <c r="K128" s="502"/>
      <c r="L128" s="502"/>
      <c r="M128" s="502"/>
      <c r="N128" s="502"/>
      <c r="O128" s="502"/>
      <c r="P128" s="502"/>
      <c r="Q128" s="502"/>
    </row>
    <row r="129" spans="1:17" ht="12" customHeight="1">
      <c r="A129" s="197"/>
      <c r="B129" s="197"/>
      <c r="C129" s="197"/>
      <c r="D129" s="197"/>
      <c r="E129" s="197"/>
      <c r="F129" s="197"/>
      <c r="G129" s="197"/>
      <c r="H129" s="197"/>
      <c r="I129" s="197"/>
      <c r="J129" s="197"/>
      <c r="K129" s="197"/>
      <c r="L129" s="197"/>
      <c r="M129" s="197"/>
      <c r="N129" s="197"/>
      <c r="O129" s="197"/>
      <c r="P129" s="197"/>
      <c r="Q129" s="197"/>
    </row>
    <row r="130" spans="1:17" ht="18.75" thickBot="1">
      <c r="A130" s="239" t="s">
        <v>358</v>
      </c>
      <c r="B130" s="239"/>
      <c r="C130" s="239"/>
      <c r="D130" s="239"/>
      <c r="E130" s="273"/>
      <c r="F130" s="273"/>
      <c r="G130" s="273"/>
      <c r="H130" s="273"/>
      <c r="I130" s="273"/>
      <c r="J130" s="273"/>
      <c r="K130" s="273"/>
      <c r="L130" s="273"/>
      <c r="M130" s="273"/>
      <c r="N130" s="273"/>
      <c r="O130" s="273"/>
      <c r="P130" s="273"/>
      <c r="Q130" s="273"/>
    </row>
    <row r="131" spans="1:11" ht="18">
      <c r="A131" s="192"/>
      <c r="B131" s="90"/>
      <c r="C131" s="93"/>
      <c r="D131" s="93"/>
      <c r="E131" s="90"/>
      <c r="F131" s="93"/>
      <c r="G131" s="93"/>
      <c r="H131" s="90"/>
      <c r="I131" s="93"/>
      <c r="J131" s="93"/>
      <c r="K131" s="8"/>
    </row>
    <row r="132" spans="1:11" ht="18">
      <c r="A132" s="192"/>
      <c r="B132" s="90"/>
      <c r="C132" s="93"/>
      <c r="D132" s="93"/>
      <c r="E132" s="90"/>
      <c r="F132" s="93"/>
      <c r="G132" s="93"/>
      <c r="H132" s="90"/>
      <c r="I132" s="93"/>
      <c r="J132" s="93"/>
      <c r="K132" s="8"/>
    </row>
    <row r="133" spans="1:11" ht="18">
      <c r="A133" s="192"/>
      <c r="B133" s="90"/>
      <c r="C133" s="93"/>
      <c r="D133" s="93"/>
      <c r="E133" s="90"/>
      <c r="F133" s="93"/>
      <c r="G133" s="93"/>
      <c r="H133" s="90"/>
      <c r="I133" s="93"/>
      <c r="J133" s="93"/>
      <c r="K133" s="8"/>
    </row>
    <row r="134" spans="1:11" ht="18">
      <c r="A134" s="192"/>
      <c r="B134" s="90"/>
      <c r="C134" s="93"/>
      <c r="D134" s="93"/>
      <c r="E134" s="90"/>
      <c r="F134" s="93"/>
      <c r="G134" s="93"/>
      <c r="H134" s="90"/>
      <c r="I134" s="93"/>
      <c r="J134" s="93"/>
      <c r="K134" s="8"/>
    </row>
    <row r="135" spans="1:11" ht="18">
      <c r="A135" s="192"/>
      <c r="B135" s="90"/>
      <c r="C135" s="93"/>
      <c r="D135" s="93"/>
      <c r="E135" s="90"/>
      <c r="F135" s="93"/>
      <c r="G135" s="93"/>
      <c r="H135" s="90"/>
      <c r="I135" s="93"/>
      <c r="J135" s="93"/>
      <c r="K135" s="8"/>
    </row>
    <row r="136" spans="1:11" ht="18">
      <c r="A136" s="192"/>
      <c r="B136" s="90"/>
      <c r="C136" s="93"/>
      <c r="D136" s="93"/>
      <c r="E136" s="90"/>
      <c r="F136" s="93"/>
      <c r="G136" s="93"/>
      <c r="H136" s="90"/>
      <c r="I136" s="93"/>
      <c r="J136" s="93"/>
      <c r="K136" s="8"/>
    </row>
    <row r="137" spans="1:11" ht="18">
      <c r="A137" s="192"/>
      <c r="B137" s="90"/>
      <c r="C137" s="93"/>
      <c r="D137" s="93"/>
      <c r="E137" s="90"/>
      <c r="F137" s="93"/>
      <c r="G137" s="93"/>
      <c r="H137" s="90"/>
      <c r="I137" s="93"/>
      <c r="J137" s="93"/>
      <c r="K137" s="8"/>
    </row>
    <row r="138" spans="1:11" ht="18">
      <c r="A138" s="192"/>
      <c r="B138" s="90"/>
      <c r="C138" s="93"/>
      <c r="D138" s="93"/>
      <c r="E138" s="90"/>
      <c r="F138" s="93"/>
      <c r="G138" s="93"/>
      <c r="H138" s="90"/>
      <c r="I138" s="93"/>
      <c r="J138" s="93"/>
      <c r="K138" s="8"/>
    </row>
    <row r="139" spans="1:11" ht="18">
      <c r="A139" s="192"/>
      <c r="B139" s="90"/>
      <c r="C139" s="93"/>
      <c r="D139" s="93"/>
      <c r="E139" s="90"/>
      <c r="F139" s="93"/>
      <c r="G139" s="93"/>
      <c r="H139" s="90"/>
      <c r="I139" s="93"/>
      <c r="J139" s="93"/>
      <c r="K139" s="8"/>
    </row>
    <row r="140" spans="1:11" ht="18">
      <c r="A140" s="192"/>
      <c r="B140" s="90"/>
      <c r="C140" s="93"/>
      <c r="D140" s="93"/>
      <c r="E140" s="90"/>
      <c r="F140" s="93"/>
      <c r="G140" s="93"/>
      <c r="H140" s="90"/>
      <c r="I140" s="93"/>
      <c r="J140" s="93"/>
      <c r="K140" s="8"/>
    </row>
    <row r="141" spans="1:11" ht="18">
      <c r="A141" s="192"/>
      <c r="B141" s="90"/>
      <c r="C141" s="93"/>
      <c r="D141" s="93"/>
      <c r="E141" s="90"/>
      <c r="F141" s="93"/>
      <c r="G141" s="93"/>
      <c r="H141" s="90"/>
      <c r="I141" s="93"/>
      <c r="J141" s="93"/>
      <c r="K141" s="8"/>
    </row>
    <row r="142" spans="1:11" ht="18">
      <c r="A142" s="192"/>
      <c r="B142" s="90"/>
      <c r="C142" s="93"/>
      <c r="D142" s="93"/>
      <c r="E142" s="90"/>
      <c r="F142" s="93"/>
      <c r="G142" s="93"/>
      <c r="H142" s="90"/>
      <c r="I142" s="93"/>
      <c r="J142" s="93"/>
      <c r="K142" s="8"/>
    </row>
    <row r="143" spans="1:11" ht="18">
      <c r="A143" s="192"/>
      <c r="B143" s="90"/>
      <c r="C143" s="93"/>
      <c r="D143" s="93"/>
      <c r="E143" s="90"/>
      <c r="F143" s="93"/>
      <c r="G143" s="93"/>
      <c r="H143" s="90"/>
      <c r="I143" s="93"/>
      <c r="J143" s="93"/>
      <c r="K143" s="8"/>
    </row>
    <row r="144" spans="1:11" ht="18">
      <c r="A144" s="192"/>
      <c r="B144" s="90"/>
      <c r="C144" s="93"/>
      <c r="D144" s="93"/>
      <c r="E144" s="90"/>
      <c r="F144" s="93"/>
      <c r="G144" s="93"/>
      <c r="H144" s="90"/>
      <c r="I144" s="93"/>
      <c r="J144" s="93"/>
      <c r="K144" s="8"/>
    </row>
    <row r="145" spans="1:11" ht="18">
      <c r="A145" s="192"/>
      <c r="B145" s="90"/>
      <c r="C145" s="93"/>
      <c r="D145" s="93"/>
      <c r="E145" s="90"/>
      <c r="F145" s="93"/>
      <c r="G145" s="93"/>
      <c r="H145" s="90"/>
      <c r="I145" s="93"/>
      <c r="J145" s="93"/>
      <c r="K145" s="8"/>
    </row>
    <row r="146" spans="1:11" ht="18">
      <c r="A146" s="192"/>
      <c r="B146" s="90"/>
      <c r="C146" s="93"/>
      <c r="D146" s="93"/>
      <c r="E146" s="90"/>
      <c r="F146" s="93"/>
      <c r="G146" s="93"/>
      <c r="H146" s="90"/>
      <c r="I146" s="93"/>
      <c r="J146" s="93"/>
      <c r="K146" s="8"/>
    </row>
    <row r="147" spans="1:11" ht="12" customHeight="1">
      <c r="A147" s="192"/>
      <c r="B147" s="90"/>
      <c r="C147" s="93"/>
      <c r="D147" s="93"/>
      <c r="E147" s="90"/>
      <c r="F147" s="93"/>
      <c r="G147" s="93"/>
      <c r="H147" s="90"/>
      <c r="I147" s="93"/>
      <c r="J147" s="93"/>
      <c r="K147" s="8"/>
    </row>
    <row r="148" spans="1:17" ht="18.75" thickBot="1">
      <c r="A148" s="500" t="s">
        <v>360</v>
      </c>
      <c r="B148" s="500"/>
      <c r="C148" s="500"/>
      <c r="D148" s="500"/>
      <c r="E148" s="500"/>
      <c r="F148" s="500"/>
      <c r="G148" s="500"/>
      <c r="H148" s="500"/>
      <c r="I148" s="500"/>
      <c r="J148" s="500"/>
      <c r="K148" s="500"/>
      <c r="L148" s="500"/>
      <c r="M148" s="500"/>
      <c r="N148" s="500"/>
      <c r="O148" s="500"/>
      <c r="P148" s="500"/>
      <c r="Q148" s="500"/>
    </row>
    <row r="149" spans="1:11" ht="16.5" customHeight="1">
      <c r="A149" s="519" t="s">
        <v>313</v>
      </c>
      <c r="B149" s="520"/>
      <c r="C149" s="520"/>
      <c r="D149" s="520"/>
      <c r="E149" s="520"/>
      <c r="F149" s="310">
        <f>IF(option="","",IF(option="Option A",UncA,UncB))</f>
      </c>
      <c r="G149" s="311" t="s">
        <v>25</v>
      </c>
      <c r="H149" s="90"/>
      <c r="I149" s="93"/>
      <c r="J149" s="93"/>
      <c r="K149" s="8"/>
    </row>
    <row r="150" spans="1:11" ht="15.75">
      <c r="A150" s="534" t="s">
        <v>314</v>
      </c>
      <c r="B150" s="535"/>
      <c r="C150" s="535"/>
      <c r="D150" s="535"/>
      <c r="E150" s="535"/>
      <c r="F150" s="312">
        <f>IF(ISBLANK(NVLAP),0,NVLAP)</f>
        <v>0</v>
      </c>
      <c r="G150" s="313" t="s">
        <v>25</v>
      </c>
      <c r="H150" s="90"/>
      <c r="I150" s="93"/>
      <c r="J150" s="93"/>
      <c r="K150" s="8"/>
    </row>
    <row r="151" spans="1:11" ht="15.75">
      <c r="A151" s="536" t="s">
        <v>315</v>
      </c>
      <c r="B151" s="537"/>
      <c r="C151" s="537"/>
      <c r="D151" s="537"/>
      <c r="E151" s="537"/>
      <c r="F151" s="314">
        <f>IF(F149&lt;F150,F150,F149)</f>
      </c>
      <c r="G151" s="315" t="s">
        <v>25</v>
      </c>
      <c r="H151" s="90"/>
      <c r="I151" s="93"/>
      <c r="J151" s="93"/>
      <c r="K151" s="8"/>
    </row>
    <row r="152" spans="1:11" ht="15.75">
      <c r="A152" s="225"/>
      <c r="B152" s="90"/>
      <c r="C152" s="93"/>
      <c r="D152" s="93"/>
      <c r="E152" s="90"/>
      <c r="F152" s="93"/>
      <c r="G152" s="93"/>
      <c r="H152" s="90"/>
      <c r="I152" s="93"/>
      <c r="J152" s="93"/>
      <c r="K152" s="8"/>
    </row>
    <row r="153" spans="1:11" ht="15.75" hidden="1">
      <c r="A153" s="225"/>
      <c r="B153" s="90"/>
      <c r="C153" s="93"/>
      <c r="D153" s="93"/>
      <c r="E153" s="90"/>
      <c r="F153" s="93"/>
      <c r="G153" s="93"/>
      <c r="H153" s="90"/>
      <c r="I153" s="93"/>
      <c r="J153" s="93"/>
      <c r="K153" s="8"/>
    </row>
    <row r="154" spans="1:11" ht="15.75" hidden="1">
      <c r="A154" s="225"/>
      <c r="B154" s="90"/>
      <c r="C154" s="93"/>
      <c r="D154" s="93"/>
      <c r="E154" s="90"/>
      <c r="F154" s="93"/>
      <c r="G154" s="93"/>
      <c r="H154" s="90"/>
      <c r="I154" s="93"/>
      <c r="J154" s="93"/>
      <c r="K154" s="8"/>
    </row>
    <row r="155" spans="1:11" ht="15.75" hidden="1">
      <c r="A155" s="225"/>
      <c r="B155" s="90"/>
      <c r="C155" s="93"/>
      <c r="D155" s="93"/>
      <c r="E155" s="90"/>
      <c r="F155" s="93"/>
      <c r="G155" s="93"/>
      <c r="H155" s="90"/>
      <c r="I155" s="93"/>
      <c r="J155" s="93"/>
      <c r="K155" s="8"/>
    </row>
    <row r="156" spans="1:11" ht="15.75" hidden="1">
      <c r="A156" s="225"/>
      <c r="B156" s="90"/>
      <c r="C156" s="93"/>
      <c r="D156" s="93"/>
      <c r="E156" s="90"/>
      <c r="F156" s="93"/>
      <c r="G156" s="93"/>
      <c r="H156" s="90"/>
      <c r="I156" s="93"/>
      <c r="J156" s="93"/>
      <c r="K156" s="8"/>
    </row>
    <row r="157" spans="1:11" ht="18" hidden="1">
      <c r="A157" s="192"/>
      <c r="B157" s="90"/>
      <c r="C157" s="93"/>
      <c r="D157" s="93"/>
      <c r="E157" s="90"/>
      <c r="F157" s="93"/>
      <c r="G157" s="93"/>
      <c r="H157" s="90"/>
      <c r="I157" s="93"/>
      <c r="J157" s="93"/>
      <c r="K157" s="8"/>
    </row>
    <row r="158" spans="1:8" ht="15" hidden="1">
      <c r="A158" s="9"/>
      <c r="B158" s="9"/>
      <c r="C158" s="9"/>
      <c r="D158" s="9"/>
      <c r="E158" s="9"/>
      <c r="F158" s="9"/>
      <c r="G158" s="9"/>
      <c r="H158" s="9"/>
    </row>
    <row r="159" spans="1:8" ht="15" hidden="1">
      <c r="A159" s="9"/>
      <c r="B159" s="9"/>
      <c r="C159" s="9"/>
      <c r="D159" s="9"/>
      <c r="E159" s="9"/>
      <c r="F159" s="9"/>
      <c r="G159" s="9"/>
      <c r="H159" s="9"/>
    </row>
    <row r="160" spans="1:8" ht="15" hidden="1">
      <c r="A160" s="9"/>
      <c r="B160" s="9"/>
      <c r="C160" s="9"/>
      <c r="D160" s="9"/>
      <c r="E160" s="9"/>
      <c r="F160" s="9"/>
      <c r="G160" s="9"/>
      <c r="H160" s="9"/>
    </row>
    <row r="161" spans="1:8" ht="15" hidden="1">
      <c r="A161" s="9"/>
      <c r="B161" s="9"/>
      <c r="C161" s="9"/>
      <c r="D161" s="9"/>
      <c r="E161" s="9"/>
      <c r="F161" s="9"/>
      <c r="G161" s="9"/>
      <c r="H161" s="9"/>
    </row>
    <row r="162" spans="1:8" ht="15" hidden="1">
      <c r="A162" s="9"/>
      <c r="B162" s="9"/>
      <c r="C162" s="9"/>
      <c r="D162" s="9"/>
      <c r="E162" s="9"/>
      <c r="F162" s="9"/>
      <c r="G162" s="9"/>
      <c r="H162" s="9"/>
    </row>
    <row r="163" spans="1:8" ht="15" hidden="1">
      <c r="A163" s="9"/>
      <c r="B163" s="9"/>
      <c r="C163" s="9"/>
      <c r="D163" s="9"/>
      <c r="E163" s="9"/>
      <c r="F163" s="9"/>
      <c r="G163" s="9"/>
      <c r="H163" s="9"/>
    </row>
    <row r="164" spans="1:8" ht="15" hidden="1">
      <c r="A164" s="9"/>
      <c r="B164" s="9"/>
      <c r="C164" s="9"/>
      <c r="D164" s="9"/>
      <c r="E164" s="9"/>
      <c r="F164" s="9"/>
      <c r="G164" s="9"/>
      <c r="H164" s="9"/>
    </row>
    <row r="165" spans="1:8" ht="15" hidden="1">
      <c r="A165" s="9"/>
      <c r="B165" s="9"/>
      <c r="C165" s="9"/>
      <c r="D165" s="9"/>
      <c r="E165" s="9"/>
      <c r="F165" s="9"/>
      <c r="G165" s="9"/>
      <c r="H165" s="9"/>
    </row>
    <row r="166" spans="1:8" ht="15" hidden="1">
      <c r="A166" s="9"/>
      <c r="B166" s="9"/>
      <c r="C166" s="9"/>
      <c r="D166" s="9"/>
      <c r="E166" s="9"/>
      <c r="F166" s="9"/>
      <c r="G166" s="9"/>
      <c r="H166" s="9"/>
    </row>
    <row r="167" spans="1:8" ht="15" hidden="1">
      <c r="A167" s="9"/>
      <c r="B167" s="9"/>
      <c r="C167" s="9"/>
      <c r="D167" s="9"/>
      <c r="E167" s="9"/>
      <c r="F167" s="9"/>
      <c r="G167" s="9"/>
      <c r="H167" s="9"/>
    </row>
    <row r="168" spans="1:8" ht="15" hidden="1">
      <c r="A168" s="9"/>
      <c r="B168" s="9"/>
      <c r="C168" s="9"/>
      <c r="D168" s="9"/>
      <c r="E168" s="9"/>
      <c r="F168" s="9"/>
      <c r="G168" s="9"/>
      <c r="H168" s="9"/>
    </row>
    <row r="169" spans="1:8" ht="15" hidden="1">
      <c r="A169" s="9"/>
      <c r="B169" s="9"/>
      <c r="C169" s="9"/>
      <c r="D169" s="9"/>
      <c r="E169" s="9"/>
      <c r="F169" s="9"/>
      <c r="G169" s="9"/>
      <c r="H169" s="9"/>
    </row>
    <row r="170" spans="1:8" ht="15" hidden="1">
      <c r="A170" s="9"/>
      <c r="B170" s="9"/>
      <c r="C170" s="9"/>
      <c r="D170" s="9"/>
      <c r="E170" s="9"/>
      <c r="F170" s="9"/>
      <c r="G170" s="9"/>
      <c r="H170" s="9"/>
    </row>
    <row r="171" spans="1:8" ht="15" hidden="1">
      <c r="A171" s="9"/>
      <c r="B171" s="9"/>
      <c r="C171" s="9"/>
      <c r="D171" s="9"/>
      <c r="E171" s="9"/>
      <c r="F171" s="9"/>
      <c r="G171" s="9"/>
      <c r="H171" s="9"/>
    </row>
    <row r="172" spans="1:8" ht="15" hidden="1">
      <c r="A172" s="9"/>
      <c r="B172" s="9"/>
      <c r="C172" s="9"/>
      <c r="D172" s="9"/>
      <c r="E172" s="9"/>
      <c r="F172" s="9"/>
      <c r="G172" s="9"/>
      <c r="H172" s="9"/>
    </row>
    <row r="173" spans="1:8" ht="15" hidden="1">
      <c r="A173" s="9"/>
      <c r="B173" s="9"/>
      <c r="C173" s="9"/>
      <c r="D173" s="9"/>
      <c r="E173" s="9"/>
      <c r="F173" s="9"/>
      <c r="G173" s="9"/>
      <c r="H173" s="9"/>
    </row>
    <row r="174" spans="1:8" ht="15" hidden="1">
      <c r="A174" s="9"/>
      <c r="B174" s="9"/>
      <c r="C174" s="9"/>
      <c r="D174" s="9"/>
      <c r="E174" s="9"/>
      <c r="F174" s="9"/>
      <c r="G174" s="9"/>
      <c r="H174" s="9"/>
    </row>
    <row r="175" spans="1:8" ht="15" hidden="1">
      <c r="A175" s="9"/>
      <c r="B175" s="9"/>
      <c r="C175" s="9"/>
      <c r="D175" s="9"/>
      <c r="E175" s="9"/>
      <c r="F175" s="9"/>
      <c r="G175" s="9"/>
      <c r="H175" s="9"/>
    </row>
    <row r="176" spans="1:8" ht="15" hidden="1">
      <c r="A176" s="9"/>
      <c r="B176" s="9"/>
      <c r="C176" s="9"/>
      <c r="D176" s="9"/>
      <c r="E176" s="9"/>
      <c r="F176" s="9"/>
      <c r="G176" s="9"/>
      <c r="H176" s="9"/>
    </row>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sheetData>
  <sheetProtection password="FFED" sheet="1" objects="1" scenarios="1" selectLockedCells="1" selectUnlockedCells="1"/>
  <mergeCells count="76">
    <mergeCell ref="A150:E150"/>
    <mergeCell ref="A151:E151"/>
    <mergeCell ref="A6:Q6"/>
    <mergeCell ref="A3:Q3"/>
    <mergeCell ref="A148:Q148"/>
    <mergeCell ref="J26:Q26"/>
    <mergeCell ref="J22:Q22"/>
    <mergeCell ref="J24:Q24"/>
    <mergeCell ref="J23:Q23"/>
    <mergeCell ref="J25:Q25"/>
    <mergeCell ref="C26:G26"/>
    <mergeCell ref="A105:Q105"/>
    <mergeCell ref="A106:A108"/>
    <mergeCell ref="B106:B107"/>
    <mergeCell ref="J29:Q29"/>
    <mergeCell ref="J31:Q31"/>
    <mergeCell ref="J33:Q33"/>
    <mergeCell ref="J28:Q28"/>
    <mergeCell ref="J30:Q30"/>
    <mergeCell ref="J32:Q32"/>
    <mergeCell ref="C109:O109"/>
    <mergeCell ref="P106:Q123"/>
    <mergeCell ref="Q124:Q125"/>
    <mergeCell ref="F128:Q128"/>
    <mergeCell ref="A149:E149"/>
    <mergeCell ref="C25:G25"/>
    <mergeCell ref="A89:Q89"/>
    <mergeCell ref="J34:Q34"/>
    <mergeCell ref="C53:L53"/>
    <mergeCell ref="F69:N69"/>
    <mergeCell ref="N65:N66"/>
    <mergeCell ref="A49:Q49"/>
    <mergeCell ref="A36:Q36"/>
    <mergeCell ref="J27:Q27"/>
    <mergeCell ref="A37:B37"/>
    <mergeCell ref="A38:B38"/>
    <mergeCell ref="A39:B39"/>
    <mergeCell ref="A40:B40"/>
    <mergeCell ref="A41:B41"/>
    <mergeCell ref="A42:B42"/>
    <mergeCell ref="A43:B43"/>
    <mergeCell ref="A44:B44"/>
    <mergeCell ref="A45:B45"/>
    <mergeCell ref="A46:B46"/>
    <mergeCell ref="A47:B47"/>
    <mergeCell ref="A90:B90"/>
    <mergeCell ref="A97:B97"/>
    <mergeCell ref="A98:B98"/>
    <mergeCell ref="A91:B91"/>
    <mergeCell ref="A92:B92"/>
    <mergeCell ref="A93:B93"/>
    <mergeCell ref="A94:B94"/>
    <mergeCell ref="A103:B103"/>
    <mergeCell ref="C30:G30"/>
    <mergeCell ref="C32:G32"/>
    <mergeCell ref="C34:G34"/>
    <mergeCell ref="A99:B99"/>
    <mergeCell ref="A100:B100"/>
    <mergeCell ref="A101:B101"/>
    <mergeCell ref="A102:B102"/>
    <mergeCell ref="A95:B95"/>
    <mergeCell ref="A96:B96"/>
    <mergeCell ref="A21:G21"/>
    <mergeCell ref="C22:G22"/>
    <mergeCell ref="C23:G23"/>
    <mergeCell ref="C24:G24"/>
    <mergeCell ref="H21:Q21"/>
    <mergeCell ref="A20:Q20"/>
    <mergeCell ref="A50:A52"/>
    <mergeCell ref="B50:B51"/>
    <mergeCell ref="M50:N64"/>
    <mergeCell ref="C27:G27"/>
    <mergeCell ref="C29:G29"/>
    <mergeCell ref="C31:G31"/>
    <mergeCell ref="C33:G33"/>
    <mergeCell ref="C28:G28"/>
  </mergeCells>
  <printOptions horizontalCentered="1"/>
  <pageMargins left="0.5" right="0.5" top="1.25" bottom="0.75" header="0.5" footer="0.5"/>
  <pageSetup fitToHeight="4" horizontalDpi="300" verticalDpi="300" orientation="landscape" scale="52" r:id="rId6"/>
  <headerFooter alignWithMargins="0">
    <oddHeader>&amp;L&amp;"Trebuchet MS,Regular"Gravimetric Calibration of Volumetric Ware
Using an Electronic Balance&amp;R&amp;"Trebuchet MS,Regular"WAMRF-005, Rev. 13, 2/6/2007</oddHeader>
    <oddFooter>&amp;L&amp;"Trebuchet MS,Regular"&amp;F&amp;R&amp;"Trebuchet MS,Regular"&amp;A Worksheet Page &amp;P of &amp;N</oddFooter>
  </headerFooter>
  <rowBreaks count="4" manualBreakCount="4">
    <brk id="35" max="16" man="1"/>
    <brk id="70" max="16" man="1"/>
    <brk id="88" max="16" man="1"/>
    <brk id="129" max="16" man="1"/>
  </rowBreaks>
  <drawing r:id="rId5"/>
  <legacyDrawing r:id="rId4"/>
  <oleObjects>
    <oleObject progId="Equation.3" shapeId="106435" r:id="rId1"/>
    <oleObject progId="Equation.3" shapeId="129570" r:id="rId2"/>
    <oleObject progId="Equation.3" shapeId="4209858" r:id="rId3"/>
  </oleObjects>
</worksheet>
</file>

<file path=xl/worksheets/sheet7.xml><?xml version="1.0" encoding="utf-8"?>
<worksheet xmlns="http://schemas.openxmlformats.org/spreadsheetml/2006/main" xmlns:r="http://schemas.openxmlformats.org/officeDocument/2006/relationships">
  <sheetPr>
    <tabColor indexed="61"/>
  </sheetPr>
  <dimension ref="A1:L21"/>
  <sheetViews>
    <sheetView showGridLines="0" zoomScale="95" zoomScaleNormal="95" workbookViewId="0" topLeftCell="A1">
      <selection activeCell="A1" sqref="A1"/>
    </sheetView>
  </sheetViews>
  <sheetFormatPr defaultColWidth="9.77734375" defaultRowHeight="15.75"/>
  <cols>
    <col min="1" max="1" width="9.77734375" style="0" customWidth="1"/>
    <col min="2" max="2" width="20.77734375" style="0" customWidth="1"/>
    <col min="3" max="3" width="9.77734375" style="0" customWidth="1"/>
    <col min="5" max="5" width="20.10546875" style="0" customWidth="1"/>
    <col min="6" max="10" width="9.77734375" style="0" customWidth="1"/>
    <col min="11" max="12" width="9.77734375" style="36" customWidth="1"/>
    <col min="13" max="13" width="1.77734375" style="0" customWidth="1"/>
    <col min="14" max="14" width="9.77734375" style="0" hidden="1" customWidth="1"/>
    <col min="15" max="15" width="14.88671875" style="0" hidden="1" customWidth="1"/>
    <col min="16" max="16" width="12.6640625" style="0" hidden="1" customWidth="1"/>
    <col min="17" max="17" width="10.3359375" style="0" hidden="1" customWidth="1"/>
    <col min="18" max="18" width="9.77734375" style="0" hidden="1" customWidth="1"/>
    <col min="19" max="19" width="1.77734375" style="0" hidden="1" customWidth="1"/>
    <col min="20" max="20" width="7.3359375" style="0" hidden="1" customWidth="1"/>
    <col min="21" max="21" width="22.5546875" style="0" hidden="1" customWidth="1"/>
    <col min="22" max="22" width="9.77734375" style="0" hidden="1" customWidth="1"/>
    <col min="23" max="23" width="8.4453125" style="0" hidden="1" customWidth="1"/>
    <col min="24" max="24" width="9.21484375" style="0" hidden="1" customWidth="1"/>
    <col min="25" max="25" width="9.77734375" style="0" hidden="1" customWidth="1"/>
    <col min="26" max="26" width="5.4453125" style="0" hidden="1" customWidth="1"/>
    <col min="27" max="27" width="14.99609375" style="0" hidden="1" customWidth="1"/>
    <col min="28" max="29" width="8.99609375" style="0" hidden="1" customWidth="1"/>
    <col min="30" max="30" width="1.77734375" style="0" hidden="1" customWidth="1"/>
    <col min="31" max="16384" width="9.77734375" style="0" hidden="1" customWidth="1"/>
  </cols>
  <sheetData>
    <row r="1" spans="1:12" ht="19.5" thickBot="1">
      <c r="A1" s="114" t="s">
        <v>164</v>
      </c>
      <c r="B1" s="20"/>
      <c r="C1" s="20"/>
      <c r="D1" s="20"/>
      <c r="E1" s="20"/>
      <c r="F1" s="20"/>
      <c r="G1" s="20"/>
      <c r="H1" s="20"/>
      <c r="I1" s="20"/>
      <c r="J1" s="20"/>
      <c r="K1" s="20"/>
      <c r="L1" s="115">
        <f>IF(ISBLANK(RptNo),"","Report Number: "&amp;RptNo)</f>
      </c>
    </row>
    <row r="2" spans="1:12" ht="12" customHeight="1">
      <c r="A2" s="117"/>
      <c r="B2" s="118"/>
      <c r="C2" s="118"/>
      <c r="D2" s="118"/>
      <c r="E2" s="118"/>
      <c r="F2" s="118"/>
      <c r="G2" s="118"/>
      <c r="H2" s="118"/>
      <c r="I2" s="118"/>
      <c r="J2" s="118"/>
      <c r="K2" s="118"/>
      <c r="L2" s="116"/>
    </row>
    <row r="3" spans="1:12" ht="175.5" customHeight="1">
      <c r="A3" s="117"/>
      <c r="B3" s="118"/>
      <c r="C3" s="118"/>
      <c r="D3" s="118"/>
      <c r="E3" s="118"/>
      <c r="F3" s="118"/>
      <c r="G3" s="118"/>
      <c r="H3" s="118"/>
      <c r="I3" s="118"/>
      <c r="J3" s="118"/>
      <c r="K3" s="118"/>
      <c r="L3" s="116"/>
    </row>
    <row r="4" spans="1:12" ht="12" customHeight="1">
      <c r="A4" s="117"/>
      <c r="B4" s="118"/>
      <c r="C4" s="118"/>
      <c r="D4" s="118"/>
      <c r="E4" s="118"/>
      <c r="F4" s="118"/>
      <c r="G4" s="118"/>
      <c r="H4" s="118"/>
      <c r="I4" s="118"/>
      <c r="J4" s="118"/>
      <c r="K4" s="118"/>
      <c r="L4" s="116"/>
    </row>
    <row r="5" spans="1:12" ht="17.25" thickBot="1">
      <c r="A5" s="324" t="s">
        <v>139</v>
      </c>
      <c r="B5" s="69"/>
      <c r="C5" s="69"/>
      <c r="D5" s="20"/>
      <c r="E5" s="20"/>
      <c r="F5" s="20"/>
      <c r="G5" s="20"/>
      <c r="H5" s="20"/>
      <c r="I5" s="20"/>
      <c r="J5" s="20"/>
      <c r="K5" s="113"/>
      <c r="L5" s="101"/>
    </row>
    <row r="6" spans="1:12" ht="60">
      <c r="A6" s="319" t="s">
        <v>369</v>
      </c>
      <c r="B6" s="319" t="s">
        <v>12</v>
      </c>
      <c r="C6" s="319" t="s">
        <v>362</v>
      </c>
      <c r="D6" s="320" t="s">
        <v>363</v>
      </c>
      <c r="E6" s="320" t="s">
        <v>4</v>
      </c>
      <c r="F6" s="320" t="s">
        <v>364</v>
      </c>
      <c r="G6" s="319" t="s">
        <v>365</v>
      </c>
      <c r="H6" s="319" t="s">
        <v>374</v>
      </c>
      <c r="I6" s="320" t="s">
        <v>375</v>
      </c>
      <c r="J6" s="321" t="s">
        <v>366</v>
      </c>
      <c r="K6" s="322" t="s">
        <v>367</v>
      </c>
      <c r="L6" s="322" t="s">
        <v>368</v>
      </c>
    </row>
    <row r="7" spans="1:12" s="86" customFormat="1" ht="11.25">
      <c r="A7" s="83"/>
      <c r="B7" s="85"/>
      <c r="C7" s="85"/>
      <c r="D7" s="84"/>
      <c r="E7" s="84"/>
      <c r="F7" s="84"/>
      <c r="G7" s="83"/>
      <c r="H7" s="84"/>
      <c r="I7" s="184"/>
      <c r="J7" s="143"/>
      <c r="K7" s="87"/>
      <c r="L7" s="87"/>
    </row>
    <row r="8" spans="11:12" ht="15.75">
      <c r="K8"/>
      <c r="L8"/>
    </row>
    <row r="9" spans="1:12" ht="17.25" thickBot="1">
      <c r="A9" s="324" t="s">
        <v>127</v>
      </c>
      <c r="B9" s="69"/>
      <c r="C9" s="69"/>
      <c r="D9" s="70"/>
      <c r="E9" s="70"/>
      <c r="F9" s="70"/>
      <c r="G9" s="70"/>
      <c r="H9" s="70"/>
      <c r="I9" s="71"/>
      <c r="J9" s="323"/>
      <c r="K9" s="323"/>
      <c r="L9"/>
    </row>
    <row r="10" spans="1:12" ht="30">
      <c r="A10" s="325" t="s">
        <v>369</v>
      </c>
      <c r="B10" s="326" t="s">
        <v>12</v>
      </c>
      <c r="C10" s="325" t="s">
        <v>362</v>
      </c>
      <c r="D10" s="325" t="s">
        <v>13</v>
      </c>
      <c r="E10" s="327" t="s">
        <v>158</v>
      </c>
      <c r="F10" s="325" t="s">
        <v>370</v>
      </c>
      <c r="G10" s="327" t="s">
        <v>371</v>
      </c>
      <c r="H10" s="327" t="s">
        <v>372</v>
      </c>
      <c r="I10" s="327" t="s">
        <v>373</v>
      </c>
      <c r="L10"/>
    </row>
    <row r="11" spans="1:12" ht="15.75">
      <c r="A11" s="88"/>
      <c r="B11" s="230"/>
      <c r="C11" s="88"/>
      <c r="D11" s="88"/>
      <c r="E11" s="88"/>
      <c r="F11" s="88"/>
      <c r="G11" s="88"/>
      <c r="H11" s="89"/>
      <c r="I11" s="89"/>
      <c r="L11"/>
    </row>
    <row r="13" spans="1:5" ht="17.25" thickBot="1">
      <c r="A13" s="324" t="s">
        <v>361</v>
      </c>
      <c r="B13" s="69"/>
      <c r="C13" s="20"/>
      <c r="D13" s="118"/>
      <c r="E13" s="118"/>
    </row>
    <row r="14" spans="1:3" ht="30">
      <c r="A14" s="328" t="s">
        <v>369</v>
      </c>
      <c r="B14" s="329" t="s">
        <v>86</v>
      </c>
      <c r="C14" s="330" t="s">
        <v>370</v>
      </c>
    </row>
    <row r="15" spans="1:3" ht="15.75">
      <c r="A15" s="228"/>
      <c r="B15" s="229"/>
      <c r="C15" s="228"/>
    </row>
    <row r="21" ht="15.75">
      <c r="A21" s="99"/>
    </row>
  </sheetData>
  <sheetProtection selectLockedCells="1" selectUnlockedCells="1"/>
  <printOptions horizontalCentered="1"/>
  <pageMargins left="0.5" right="0.5" top="1.25" bottom="0.75" header="0.75" footer="0.5"/>
  <pageSetup cellComments="asDisplayed" horizontalDpi="600" verticalDpi="600" orientation="landscape" scale="83" r:id="rId5"/>
  <headerFooter alignWithMargins="0">
    <oddHeader>&amp;L&amp;"Trebuchet MS,Regular"Gravimetric Calibration of Volumetric Ware
Using an Electronic Balance&amp;R&amp;"Trebuchet MS,Regular"WAMRF-005, Rev. 13, 2/6/2007</oddHeader>
    <oddFooter>&amp;L&amp;"Trebuchet MS,Regular"&amp;F&amp;R&amp;"Trebuchet MS,Regular"&amp;A Worksheet Page &amp;P of &amp;N</oddFooter>
  </headerFooter>
  <rowBreaks count="1" manualBreakCount="1">
    <brk id="8" max="11" man="1"/>
  </rowBreaks>
  <drawing r:id="rId4"/>
  <tableParts>
    <tablePart r:id="rId2"/>
    <tablePart r:id="rId1"/>
    <tablePart r:id="rId3"/>
  </tableParts>
</worksheet>
</file>

<file path=xl/worksheets/sheet8.xml><?xml version="1.0" encoding="utf-8"?>
<worksheet xmlns="http://schemas.openxmlformats.org/spreadsheetml/2006/main" xmlns:r="http://schemas.openxmlformats.org/officeDocument/2006/relationships">
  <sheetPr>
    <tabColor indexed="20"/>
  </sheetPr>
  <dimension ref="A1:AT39"/>
  <sheetViews>
    <sheetView showGridLines="0" zoomScale="75" zoomScaleNormal="75" workbookViewId="0" topLeftCell="A1">
      <selection activeCell="A1" sqref="A1"/>
    </sheetView>
  </sheetViews>
  <sheetFormatPr defaultColWidth="8.88671875" defaultRowHeight="15.75" zeroHeight="1"/>
  <cols>
    <col min="1" max="1" width="18.5546875" style="0" customWidth="1"/>
    <col min="2" max="2" width="17.77734375" style="0" customWidth="1"/>
    <col min="3" max="3" width="1.66796875" style="0" customWidth="1"/>
    <col min="4" max="5" width="14.77734375" style="0" customWidth="1"/>
    <col min="6" max="6" width="1.66796875" style="0" customWidth="1"/>
    <col min="7" max="7" width="32.77734375" style="0" customWidth="1"/>
    <col min="8" max="8" width="1.77734375" style="0" customWidth="1"/>
    <col min="9" max="9" width="24.6640625" style="0" customWidth="1"/>
    <col min="10" max="10" width="12.6640625" style="0" customWidth="1"/>
    <col min="11" max="13" width="12.77734375" style="0" customWidth="1"/>
    <col min="14" max="15" width="10.5546875" style="0" customWidth="1"/>
    <col min="16" max="16" width="7.4453125" style="0" customWidth="1"/>
    <col min="17" max="17" width="16.88671875" style="0" customWidth="1"/>
    <col min="18" max="18" width="1.77734375" style="0" customWidth="1"/>
    <col min="19" max="19" width="23.5546875" style="0" customWidth="1"/>
    <col min="20" max="20" width="13.21484375" style="0" customWidth="1"/>
    <col min="21" max="21" width="1.77734375" style="0" customWidth="1"/>
    <col min="22" max="22" width="12.77734375" style="0" customWidth="1"/>
    <col min="23" max="26" width="16.77734375" style="0" customWidth="1"/>
    <col min="27" max="27" width="1.77734375" style="0" customWidth="1"/>
    <col min="28" max="30" width="16.77734375" style="0" customWidth="1"/>
    <col min="31" max="31" width="1.77734375" style="0" customWidth="1"/>
    <col min="32" max="34" width="16.77734375" style="0" customWidth="1"/>
    <col min="35" max="35" width="1.77734375" style="0" customWidth="1"/>
    <col min="36" max="39" width="16.77734375" style="0" customWidth="1"/>
    <col min="40" max="40" width="1.77734375" style="0" customWidth="1"/>
    <col min="41" max="43" width="16.77734375" style="0" customWidth="1"/>
    <col min="44" max="44" width="1.77734375" style="0" customWidth="1"/>
    <col min="45" max="45" width="37.3359375" style="0" customWidth="1"/>
    <col min="46" max="46" width="21.77734375" style="0" customWidth="1"/>
    <col min="47" max="47" width="1.77734375" style="0" customWidth="1"/>
    <col min="48" max="16384" width="0" style="0" hidden="1" customWidth="1"/>
  </cols>
  <sheetData>
    <row r="1" spans="1:46" ht="19.5" thickBot="1">
      <c r="A1" s="114" t="s">
        <v>162</v>
      </c>
      <c r="B1" s="20"/>
      <c r="C1" s="20"/>
      <c r="D1" s="20"/>
      <c r="E1" s="20"/>
      <c r="F1" s="20"/>
      <c r="G1" s="115">
        <f>IF(ISBLANK(RptNo),"","Report Number: "&amp;RptNo)</f>
      </c>
      <c r="I1" s="114" t="s">
        <v>162</v>
      </c>
      <c r="J1" s="20"/>
      <c r="K1" s="20"/>
      <c r="L1" s="20"/>
      <c r="M1" s="20"/>
      <c r="N1" s="20"/>
      <c r="O1" s="20"/>
      <c r="P1" s="115"/>
      <c r="Q1" s="115">
        <f>IF(ISBLANK(RptNo),"","Report Number: "&amp;RptNo)</f>
      </c>
      <c r="R1" s="118"/>
      <c r="S1" s="114" t="s">
        <v>162</v>
      </c>
      <c r="T1" s="20"/>
      <c r="U1" s="20"/>
      <c r="V1" s="20"/>
      <c r="W1" s="20"/>
      <c r="X1" s="20"/>
      <c r="Y1" s="20"/>
      <c r="Z1" s="115">
        <f>IF(ISBLANK(RptNo),"","Report Number: "&amp;RptNo)</f>
      </c>
      <c r="AB1" s="114" t="s">
        <v>162</v>
      </c>
      <c r="AC1" s="20"/>
      <c r="AD1" s="20"/>
      <c r="AE1" s="20"/>
      <c r="AF1" s="20"/>
      <c r="AG1" s="20"/>
      <c r="AH1" s="115">
        <f>IF(ISBLANK(RptNo),"","Report Number: "&amp;RptNo)</f>
      </c>
      <c r="AI1" s="118"/>
      <c r="AJ1" s="114" t="s">
        <v>162</v>
      </c>
      <c r="AK1" s="20"/>
      <c r="AL1" s="20"/>
      <c r="AM1" s="20"/>
      <c r="AN1" s="20"/>
      <c r="AO1" s="20"/>
      <c r="AP1" s="20"/>
      <c r="AQ1" s="115">
        <f>IF(ISBLANK(RptNo),"","Report Number: "&amp;RptNo)</f>
      </c>
      <c r="AR1" s="118"/>
      <c r="AS1" s="114" t="s">
        <v>162</v>
      </c>
      <c r="AT1" s="115">
        <f>IF(ISBLANK(RptNo),"","Report Number: "&amp;RptNo)</f>
      </c>
    </row>
    <row r="2" spans="1:10" ht="12" customHeight="1">
      <c r="A2" s="117"/>
      <c r="B2" s="118"/>
      <c r="C2" s="118"/>
      <c r="D2" s="118"/>
      <c r="E2" s="118"/>
      <c r="F2" s="118"/>
      <c r="G2" s="118"/>
      <c r="H2" s="122"/>
      <c r="I2" s="125"/>
      <c r="J2" s="126"/>
    </row>
    <row r="3" spans="1:46" ht="124.5" customHeight="1">
      <c r="A3" s="543" t="s">
        <v>91</v>
      </c>
      <c r="B3" s="544"/>
      <c r="C3" s="123"/>
      <c r="D3" s="543" t="s">
        <v>92</v>
      </c>
      <c r="E3" s="544"/>
      <c r="F3" s="118"/>
      <c r="G3" s="124" t="s">
        <v>93</v>
      </c>
      <c r="I3" s="554" t="s">
        <v>182</v>
      </c>
      <c r="J3" s="555"/>
      <c r="K3" s="555"/>
      <c r="L3" s="555"/>
      <c r="M3" s="555"/>
      <c r="N3" s="555"/>
      <c r="O3" s="555"/>
      <c r="P3" s="555"/>
      <c r="Q3" s="188"/>
      <c r="S3" s="543" t="s">
        <v>181</v>
      </c>
      <c r="T3" s="544"/>
      <c r="V3" s="551" t="s">
        <v>204</v>
      </c>
      <c r="W3" s="552"/>
      <c r="X3" s="552"/>
      <c r="Y3" s="552"/>
      <c r="Z3" s="553"/>
      <c r="AB3" s="548" t="s">
        <v>203</v>
      </c>
      <c r="AC3" s="550"/>
      <c r="AD3" s="549"/>
      <c r="AF3" s="548" t="s">
        <v>325</v>
      </c>
      <c r="AG3" s="550"/>
      <c r="AH3" s="549"/>
      <c r="AJ3" s="548" t="s">
        <v>205</v>
      </c>
      <c r="AK3" s="550"/>
      <c r="AL3" s="550"/>
      <c r="AM3" s="549"/>
      <c r="AO3" s="548" t="s">
        <v>237</v>
      </c>
      <c r="AP3" s="550"/>
      <c r="AQ3" s="549"/>
      <c r="AS3" s="548" t="s">
        <v>208</v>
      </c>
      <c r="AT3" s="549"/>
    </row>
    <row r="4" spans="1:46" ht="18">
      <c r="A4" s="29">
        <v>0</v>
      </c>
      <c r="B4" s="29" t="s">
        <v>47</v>
      </c>
      <c r="C4" s="28"/>
      <c r="D4" s="30">
        <v>1</v>
      </c>
      <c r="E4" s="30">
        <v>1.41</v>
      </c>
      <c r="G4" s="34" t="s">
        <v>323</v>
      </c>
      <c r="I4" s="37" t="s">
        <v>51</v>
      </c>
      <c r="J4" s="38" t="s">
        <v>55</v>
      </c>
      <c r="K4" s="38" t="s">
        <v>56</v>
      </c>
      <c r="L4" s="38" t="s">
        <v>52</v>
      </c>
      <c r="M4" s="38" t="s">
        <v>53</v>
      </c>
      <c r="N4" s="38" t="s">
        <v>54</v>
      </c>
      <c r="O4" s="190" t="s">
        <v>256</v>
      </c>
      <c r="P4" s="38" t="s">
        <v>112</v>
      </c>
      <c r="Q4" s="38" t="s">
        <v>213</v>
      </c>
      <c r="S4" s="182" t="s">
        <v>77</v>
      </c>
      <c r="T4" s="38" t="s">
        <v>188</v>
      </c>
      <c r="V4" s="185"/>
      <c r="W4" s="185" t="s">
        <v>198</v>
      </c>
      <c r="X4" s="185" t="s">
        <v>199</v>
      </c>
      <c r="Y4" s="185" t="s">
        <v>200</v>
      </c>
      <c r="Z4" s="185" t="s">
        <v>201</v>
      </c>
      <c r="AB4" s="185"/>
      <c r="AC4" s="185" t="s">
        <v>198</v>
      </c>
      <c r="AD4" s="185" t="s">
        <v>199</v>
      </c>
      <c r="AF4" s="185"/>
      <c r="AG4" s="185" t="s">
        <v>119</v>
      </c>
      <c r="AH4" s="185" t="s">
        <v>118</v>
      </c>
      <c r="AJ4" s="186" t="s">
        <v>216</v>
      </c>
      <c r="AK4" s="186" t="s">
        <v>202</v>
      </c>
      <c r="AL4" s="186" t="s">
        <v>326</v>
      </c>
      <c r="AM4" s="186" t="s">
        <v>14</v>
      </c>
      <c r="AO4" s="186" t="s">
        <v>216</v>
      </c>
      <c r="AP4" s="186" t="s">
        <v>202</v>
      </c>
      <c r="AQ4" s="186" t="s">
        <v>326</v>
      </c>
      <c r="AS4" s="186" t="s">
        <v>212</v>
      </c>
      <c r="AT4" s="186" t="s">
        <v>326</v>
      </c>
    </row>
    <row r="5" spans="1:46" ht="15.75">
      <c r="A5" s="29">
        <v>1E-12</v>
      </c>
      <c r="B5" s="29">
        <v>13</v>
      </c>
      <c r="C5" s="28"/>
      <c r="D5" s="30">
        <v>2</v>
      </c>
      <c r="E5" s="30">
        <f>E4-((E4-E6)/2)</f>
        <v>1.3199999999999998</v>
      </c>
      <c r="G5" s="35" t="s">
        <v>324</v>
      </c>
      <c r="I5" s="33" t="s">
        <v>78</v>
      </c>
      <c r="J5" s="145" t="e">
        <f>FIXED(Calculations!$C$18/16.38706,$N$5)</f>
        <v>#VALUE!</v>
      </c>
      <c r="K5" s="145" t="e">
        <f>FIXED(Calculations!$C$19/16.38706,$N$5)</f>
        <v>#VALUE!</v>
      </c>
      <c r="L5" s="145" t="e">
        <f>FIXED(Calculations!$C$20/16.38706,$N$5)</f>
        <v>#VALUE!</v>
      </c>
      <c r="M5" s="145" t="e">
        <f>FIXED(ReportedUnc/16.38706,N5)</f>
        <v>#VALUE!</v>
      </c>
      <c r="N5" s="30" t="e">
        <f>VLOOKUP(ReportedUnc/16.38706,Rnd.Table,2)</f>
        <v>#VALUE!</v>
      </c>
      <c r="O5" s="189" t="e">
        <f>FIXED(VLOOKUP(Spec,tolerance,2)/16.38706,N5)</f>
        <v>#N/A</v>
      </c>
      <c r="P5" s="30" t="s">
        <v>95</v>
      </c>
      <c r="Q5" s="144">
        <f>NomVal*16.38706</f>
        <v>0</v>
      </c>
      <c r="S5" s="33" t="s">
        <v>40</v>
      </c>
      <c r="T5" s="30">
        <v>1E-05</v>
      </c>
      <c r="V5" s="186" t="s">
        <v>202</v>
      </c>
      <c r="W5" s="186" t="s">
        <v>326</v>
      </c>
      <c r="X5" s="186" t="s">
        <v>326</v>
      </c>
      <c r="Y5" s="186" t="s">
        <v>326</v>
      </c>
      <c r="Z5" s="186" t="s">
        <v>326</v>
      </c>
      <c r="AB5" s="186" t="s">
        <v>202</v>
      </c>
      <c r="AC5" s="186" t="s">
        <v>326</v>
      </c>
      <c r="AD5" s="186" t="s">
        <v>326</v>
      </c>
      <c r="AF5" s="186" t="s">
        <v>202</v>
      </c>
      <c r="AG5" s="186" t="s">
        <v>326</v>
      </c>
      <c r="AH5" s="186" t="s">
        <v>326</v>
      </c>
      <c r="AJ5" s="187" t="s">
        <v>245</v>
      </c>
      <c r="AK5" s="187">
        <v>50</v>
      </c>
      <c r="AL5" s="187">
        <v>0.3</v>
      </c>
      <c r="AM5" s="187" t="s">
        <v>206</v>
      </c>
      <c r="AO5" s="187" t="s">
        <v>217</v>
      </c>
      <c r="AP5" s="187">
        <f>1*3785.412</f>
        <v>3785.412</v>
      </c>
      <c r="AQ5" s="187">
        <f>0.02%*AP5</f>
        <v>0.7570824</v>
      </c>
      <c r="AS5" s="187" t="s">
        <v>264</v>
      </c>
      <c r="AT5" s="187" t="e">
        <f>VLOOKUP(VLOOKUP(NomValueUnit,VolTable,9),ASTME1272,2)</f>
        <v>#N/A</v>
      </c>
    </row>
    <row r="6" spans="1:46" ht="15.75">
      <c r="A6" s="29">
        <v>1E-11</v>
      </c>
      <c r="B6" s="29">
        <v>12</v>
      </c>
      <c r="C6" s="28"/>
      <c r="D6" s="30">
        <v>3</v>
      </c>
      <c r="E6" s="30">
        <v>1.23</v>
      </c>
      <c r="G6" s="35"/>
      <c r="I6" s="33" t="s">
        <v>79</v>
      </c>
      <c r="J6" s="145" t="e">
        <f>FIXED(Calculations!$C$18/29.57353,$N$6)</f>
        <v>#VALUE!</v>
      </c>
      <c r="K6" s="145" t="e">
        <f>FIXED(Calculations!$C$19/29.57353,$N$6)</f>
        <v>#VALUE!</v>
      </c>
      <c r="L6" s="145" t="e">
        <f>FIXED(Calculations!$C$20/29.57353,$N$6)</f>
        <v>#VALUE!</v>
      </c>
      <c r="M6" s="145" t="e">
        <f>FIXED(ReportedUnc/29.57353,N6)</f>
        <v>#VALUE!</v>
      </c>
      <c r="N6" s="30" t="e">
        <f>VLOOKUP(ReportedUnc/29.57353,Rnd.Table,2)</f>
        <v>#VALUE!</v>
      </c>
      <c r="O6" s="189" t="e">
        <f>FIXED(VLOOKUP(Spec,tolerance,2)/29.57353,N6)</f>
        <v>#N/A</v>
      </c>
      <c r="P6" s="30" t="s">
        <v>113</v>
      </c>
      <c r="Q6" s="144">
        <f>NomVal*29.57353</f>
        <v>0</v>
      </c>
      <c r="S6" s="33" t="s">
        <v>41</v>
      </c>
      <c r="T6" s="30">
        <v>1.5E-05</v>
      </c>
      <c r="V6" s="187">
        <v>5</v>
      </c>
      <c r="W6" s="187">
        <v>0.02</v>
      </c>
      <c r="X6" s="187">
        <v>0.04</v>
      </c>
      <c r="Y6" s="187">
        <v>0.08</v>
      </c>
      <c r="Z6" s="187">
        <v>0.16</v>
      </c>
      <c r="AB6" s="187">
        <v>5</v>
      </c>
      <c r="AC6" s="187">
        <v>0.05</v>
      </c>
      <c r="AD6" s="187">
        <v>0.1</v>
      </c>
      <c r="AF6" s="187">
        <v>10</v>
      </c>
      <c r="AG6" s="187">
        <v>0.05</v>
      </c>
      <c r="AH6" s="187">
        <v>0.075</v>
      </c>
      <c r="AJ6" s="187" t="s">
        <v>246</v>
      </c>
      <c r="AK6" s="187">
        <f>2*29.57353</f>
        <v>59.14706</v>
      </c>
      <c r="AL6" s="187">
        <v>0.3</v>
      </c>
      <c r="AM6" s="187" t="s">
        <v>206</v>
      </c>
      <c r="AO6" s="187" t="s">
        <v>218</v>
      </c>
      <c r="AP6" s="187">
        <v>5000</v>
      </c>
      <c r="AQ6" s="187">
        <f>0.02%*AP6</f>
        <v>1</v>
      </c>
      <c r="AS6" s="187" t="s">
        <v>265</v>
      </c>
      <c r="AT6" s="187" t="e">
        <f>VLOOKUP(VLOOKUP(NomValueUnit,VolTable,9),ASTME1272,3)</f>
        <v>#N/A</v>
      </c>
    </row>
    <row r="7" spans="1:46" ht="15.75">
      <c r="A7" s="29">
        <v>1E-10</v>
      </c>
      <c r="B7" s="29">
        <v>11</v>
      </c>
      <c r="C7" s="28"/>
      <c r="D7" s="30">
        <v>4</v>
      </c>
      <c r="E7" s="30">
        <f>E6-((E6-E8)/2)</f>
        <v>1.21</v>
      </c>
      <c r="G7" s="32" t="s">
        <v>49</v>
      </c>
      <c r="I7" s="33" t="s">
        <v>80</v>
      </c>
      <c r="J7" s="145" t="e">
        <f>FIXED(Calculations!$C$18/3785.412,$N$7)</f>
        <v>#VALUE!</v>
      </c>
      <c r="K7" s="145" t="e">
        <f>FIXED(Calculations!$C$19/3785.412,$N$7)</f>
        <v>#VALUE!</v>
      </c>
      <c r="L7" s="145" t="e">
        <f>FIXED(Calculations!$C$20/3785.412,$N$7)</f>
        <v>#VALUE!</v>
      </c>
      <c r="M7" s="145" t="e">
        <f>FIXED(ReportedUnc/3785.412,N7)</f>
        <v>#VALUE!</v>
      </c>
      <c r="N7" s="30" t="e">
        <f>VLOOKUP(ReportedUnc/3785.412,Rnd.Table,2)</f>
        <v>#VALUE!</v>
      </c>
      <c r="O7" s="189" t="e">
        <f>FIXED(VLOOKUP(Spec,tolerance,2)/3785.412,N7)</f>
        <v>#N/A</v>
      </c>
      <c r="P7" s="30" t="s">
        <v>94</v>
      </c>
      <c r="Q7" s="144">
        <f>NomVal*3785.412</f>
        <v>0</v>
      </c>
      <c r="S7" s="33" t="s">
        <v>42</v>
      </c>
      <c r="T7" s="30">
        <v>2.5E-05</v>
      </c>
      <c r="V7" s="187">
        <v>10</v>
      </c>
      <c r="W7" s="187">
        <v>0.02</v>
      </c>
      <c r="X7" s="187">
        <v>0.04</v>
      </c>
      <c r="Y7" s="187">
        <v>0.08</v>
      </c>
      <c r="Z7" s="187">
        <v>0.16</v>
      </c>
      <c r="AB7" s="187">
        <v>10</v>
      </c>
      <c r="AC7" s="187">
        <v>0.1</v>
      </c>
      <c r="AD7" s="187">
        <v>0.2</v>
      </c>
      <c r="AF7" s="187">
        <v>20</v>
      </c>
      <c r="AG7" s="187">
        <v>0.08</v>
      </c>
      <c r="AH7" s="187">
        <v>0.12</v>
      </c>
      <c r="AJ7" s="187" t="s">
        <v>247</v>
      </c>
      <c r="AK7" s="187">
        <v>100</v>
      </c>
      <c r="AL7" s="187">
        <v>0.2</v>
      </c>
      <c r="AM7" s="187" t="s">
        <v>207</v>
      </c>
      <c r="AO7" s="187" t="s">
        <v>219</v>
      </c>
      <c r="AP7" s="187">
        <v>10000</v>
      </c>
      <c r="AQ7" s="187">
        <f>0.02%*AP7</f>
        <v>2</v>
      </c>
      <c r="AS7" s="187" t="s">
        <v>266</v>
      </c>
      <c r="AT7" s="187" t="e">
        <f>VLOOKUP(VLOOKUP(NomValueUnit,VolTable,9),ASTME288,2)</f>
        <v>#N/A</v>
      </c>
    </row>
    <row r="8" spans="1:46" ht="15.75">
      <c r="A8" s="29">
        <v>1E-09</v>
      </c>
      <c r="B8" s="29">
        <v>10</v>
      </c>
      <c r="C8" s="28"/>
      <c r="D8" s="30">
        <v>5</v>
      </c>
      <c r="E8" s="30">
        <v>1.19</v>
      </c>
      <c r="G8" s="35" t="s">
        <v>50</v>
      </c>
      <c r="I8" s="33" t="s">
        <v>81</v>
      </c>
      <c r="J8" s="145" t="e">
        <f>FIXED(Calculations!$C$18/118.2941,$N$8)</f>
        <v>#VALUE!</v>
      </c>
      <c r="K8" s="145" t="e">
        <f>FIXED(Calculations!$C$19/118.2941,$N$8)</f>
        <v>#VALUE!</v>
      </c>
      <c r="L8" s="145" t="e">
        <f>FIXED(Calculations!$C$20/118.2941,$N$8)</f>
        <v>#VALUE!</v>
      </c>
      <c r="M8" s="145" t="e">
        <f>FIXED(ReportedUnc/118.2941,N8)</f>
        <v>#VALUE!</v>
      </c>
      <c r="N8" s="30" t="e">
        <f>VLOOKUP(ReportedUnc/118.2941,Rnd.Table,2)</f>
        <v>#VALUE!</v>
      </c>
      <c r="O8" s="189" t="e">
        <f>FIXED(VLOOKUP(Spec,tolerance,2)/118.2941,N8)</f>
        <v>#N/A</v>
      </c>
      <c r="P8" s="30" t="s">
        <v>114</v>
      </c>
      <c r="Q8" s="144">
        <f>NomVal*118.2941</f>
        <v>0</v>
      </c>
      <c r="S8" s="33" t="s">
        <v>191</v>
      </c>
      <c r="T8" s="30">
        <v>0.00045</v>
      </c>
      <c r="V8" s="187">
        <v>25</v>
      </c>
      <c r="W8" s="187">
        <v>0.03</v>
      </c>
      <c r="X8" s="187">
        <v>0.06</v>
      </c>
      <c r="Y8" s="187">
        <v>0.08</v>
      </c>
      <c r="Z8" s="187">
        <v>0.16</v>
      </c>
      <c r="AB8" s="187">
        <v>25</v>
      </c>
      <c r="AC8" s="187">
        <v>0.17</v>
      </c>
      <c r="AD8" s="187">
        <v>0.34</v>
      </c>
      <c r="AF8" s="187">
        <v>50</v>
      </c>
      <c r="AG8" s="187">
        <v>0.12</v>
      </c>
      <c r="AH8" s="187">
        <v>0.18</v>
      </c>
      <c r="AJ8" s="187" t="s">
        <v>248</v>
      </c>
      <c r="AK8" s="187">
        <v>118.2941</v>
      </c>
      <c r="AL8" s="187">
        <v>0.2</v>
      </c>
      <c r="AM8" s="187" t="s">
        <v>207</v>
      </c>
      <c r="AO8" s="187" t="s">
        <v>236</v>
      </c>
      <c r="AP8" s="187">
        <f>5*3785.412</f>
        <v>18927.059999999998</v>
      </c>
      <c r="AQ8" s="187">
        <f>0.02%*AP8</f>
        <v>3.7854119999999996</v>
      </c>
      <c r="AS8" s="187" t="s">
        <v>267</v>
      </c>
      <c r="AT8" s="187" t="e">
        <f>VLOOKUP(VLOOKUP(NomValueUnit,VolTable,9),ASTME288,4)</f>
        <v>#N/A</v>
      </c>
    </row>
    <row r="9" spans="1:46" ht="15.75">
      <c r="A9" s="29">
        <v>1E-08</v>
      </c>
      <c r="B9" s="29">
        <v>9</v>
      </c>
      <c r="C9" s="28"/>
      <c r="D9" s="30">
        <v>6</v>
      </c>
      <c r="E9" s="30">
        <f>E8-((E8-E13)/5)</f>
        <v>1.184</v>
      </c>
      <c r="G9" s="35"/>
      <c r="I9" s="33" t="s">
        <v>82</v>
      </c>
      <c r="J9" s="145" t="e">
        <f>FIXED(Calculations!$C$18/473.1765,$N$9)</f>
        <v>#VALUE!</v>
      </c>
      <c r="K9" s="145" t="e">
        <f>FIXED(Calculations!$C$19/473.1765,$N$9)</f>
        <v>#VALUE!</v>
      </c>
      <c r="L9" s="145" t="e">
        <f>FIXED(Calculations!$C$20/473.1765,$N$9)</f>
        <v>#VALUE!</v>
      </c>
      <c r="M9" s="145" t="e">
        <f>FIXED(ReportedUnc/473.1765,N9)</f>
        <v>#VALUE!</v>
      </c>
      <c r="N9" s="30" t="e">
        <f>VLOOKUP(ReportedUnc/473.1765,Rnd.Table,2)</f>
        <v>#VALUE!</v>
      </c>
      <c r="O9" s="189" t="e">
        <f>FIXED(VLOOKUP(Spec,tolerance,2)/473.1765,N9)</f>
        <v>#N/A</v>
      </c>
      <c r="P9" s="30" t="s">
        <v>115</v>
      </c>
      <c r="Q9" s="144">
        <f>NomVal*473.1765</f>
        <v>0</v>
      </c>
      <c r="S9" s="33" t="s">
        <v>190</v>
      </c>
      <c r="T9" s="30">
        <v>0.00024</v>
      </c>
      <c r="V9" s="187">
        <v>50</v>
      </c>
      <c r="W9" s="187">
        <v>0.05</v>
      </c>
      <c r="X9" s="187">
        <v>0.1</v>
      </c>
      <c r="Y9" s="187">
        <v>0.08</v>
      </c>
      <c r="Z9" s="187">
        <v>0.16</v>
      </c>
      <c r="AB9" s="187">
        <v>50</v>
      </c>
      <c r="AC9" s="187">
        <v>0.25</v>
      </c>
      <c r="AD9" s="187">
        <v>0.5</v>
      </c>
      <c r="AF9" s="187">
        <v>100</v>
      </c>
      <c r="AG9" s="187">
        <v>0.2</v>
      </c>
      <c r="AH9" s="187">
        <v>0.3</v>
      </c>
      <c r="AJ9" s="187" t="s">
        <v>249</v>
      </c>
      <c r="AK9" s="187">
        <f>0.5*473.1765</f>
        <v>236.58825</v>
      </c>
      <c r="AL9" s="187">
        <v>0.3</v>
      </c>
      <c r="AM9" s="187" t="s">
        <v>207</v>
      </c>
      <c r="AO9" s="187" t="s">
        <v>220</v>
      </c>
      <c r="AP9" s="187">
        <f>10*3785.412</f>
        <v>37854.119999999995</v>
      </c>
      <c r="AQ9" s="187">
        <f>0.02%*AP9</f>
        <v>7.570823999999999</v>
      </c>
      <c r="AS9" s="187" t="s">
        <v>268</v>
      </c>
      <c r="AT9" s="187" t="e">
        <f>VLOOKUP(VLOOKUP(NomValueUnit,VolTable,9),ASTME288,3)</f>
        <v>#N/A</v>
      </c>
    </row>
    <row r="10" spans="1:46" ht="15.75">
      <c r="A10" s="29">
        <v>1E-07</v>
      </c>
      <c r="B10" s="29">
        <v>8</v>
      </c>
      <c r="C10" s="28"/>
      <c r="D10" s="30">
        <v>7</v>
      </c>
      <c r="E10" s="30">
        <f>E9-((E8-E13)/5)</f>
        <v>1.178</v>
      </c>
      <c r="G10" s="32" t="s">
        <v>118</v>
      </c>
      <c r="I10" s="33" t="s">
        <v>83</v>
      </c>
      <c r="J10" s="145" t="e">
        <f>FIXED(Calculations!$C$18/946.3529,$N$10)</f>
        <v>#VALUE!</v>
      </c>
      <c r="K10" s="145" t="e">
        <f>FIXED(Calculations!$C$19/946.3529,$N$10)</f>
        <v>#VALUE!</v>
      </c>
      <c r="L10" s="145" t="e">
        <f>FIXED(Calculations!$C$20/946.3529,$N$10)</f>
        <v>#VALUE!</v>
      </c>
      <c r="M10" s="145" t="e">
        <f>FIXED(ReportedUnc/946.3529,N10)</f>
        <v>#VALUE!</v>
      </c>
      <c r="N10" s="30" t="e">
        <f>VLOOKUP(ReportedUnc/946.3529,Rnd.Table,2)</f>
        <v>#VALUE!</v>
      </c>
      <c r="O10" s="189" t="e">
        <f>FIXED(VLOOKUP(Spec,tolerance,2)/946.3529,N10)</f>
        <v>#N/A</v>
      </c>
      <c r="P10" s="30" t="s">
        <v>116</v>
      </c>
      <c r="Q10" s="144">
        <f>NomVal*946.3529</f>
        <v>0</v>
      </c>
      <c r="S10" s="33" t="s">
        <v>192</v>
      </c>
      <c r="T10" s="30">
        <v>0.00021</v>
      </c>
      <c r="V10" s="187">
        <v>100</v>
      </c>
      <c r="W10" s="187">
        <v>0.08</v>
      </c>
      <c r="X10" s="187">
        <v>0.16</v>
      </c>
      <c r="Y10" s="187">
        <v>0.1</v>
      </c>
      <c r="Z10" s="187">
        <v>0.2</v>
      </c>
      <c r="AB10" s="187">
        <v>100</v>
      </c>
      <c r="AC10" s="187">
        <v>0.5</v>
      </c>
      <c r="AD10" s="187">
        <v>1</v>
      </c>
      <c r="AF10" s="187">
        <v>200</v>
      </c>
      <c r="AG10" s="187">
        <v>0.3</v>
      </c>
      <c r="AH10" s="187">
        <v>0.4</v>
      </c>
      <c r="AJ10" s="187" t="s">
        <v>250</v>
      </c>
      <c r="AK10" s="187">
        <v>250</v>
      </c>
      <c r="AL10" s="187">
        <v>0.3</v>
      </c>
      <c r="AM10" s="187" t="s">
        <v>207</v>
      </c>
      <c r="AO10" s="187" t="s">
        <v>222</v>
      </c>
      <c r="AP10" s="187">
        <v>20000</v>
      </c>
      <c r="AQ10" s="187">
        <f aca="true" t="shared" si="0" ref="AQ10:AQ24">0.02%*AP10</f>
        <v>4</v>
      </c>
      <c r="AS10" s="187" t="s">
        <v>269</v>
      </c>
      <c r="AT10" s="187" t="e">
        <f>VLOOKUP(VLOOKUP(NomValueUnit,VolTable,9),ASTME288,5)</f>
        <v>#N/A</v>
      </c>
    </row>
    <row r="11" spans="1:46" ht="15.75">
      <c r="A11" s="29">
        <v>1E-06</v>
      </c>
      <c r="B11" s="29">
        <v>7</v>
      </c>
      <c r="C11" s="28"/>
      <c r="D11" s="30">
        <v>8</v>
      </c>
      <c r="E11" s="30">
        <f>E10-((E8-E13)/5)</f>
        <v>1.172</v>
      </c>
      <c r="G11" s="35" t="s">
        <v>119</v>
      </c>
      <c r="I11" s="33" t="s">
        <v>84</v>
      </c>
      <c r="J11" s="145" t="e">
        <f>FIXED(Calculations!$C$18/1000,$N$11)</f>
        <v>#VALUE!</v>
      </c>
      <c r="K11" s="145" t="e">
        <f>FIXED(Calculations!$C$19/1000,$N$11)</f>
        <v>#VALUE!</v>
      </c>
      <c r="L11" s="145" t="e">
        <f>FIXED(Calculations!$C$20/1000,$N$11)</f>
        <v>#VALUE!</v>
      </c>
      <c r="M11" s="145" t="e">
        <f>FIXED(ReportedUnc/1000,N11)</f>
        <v>#VALUE!</v>
      </c>
      <c r="N11" s="30" t="e">
        <f>VLOOKUP(ReportedUnc/1000,Rnd.Table,2)</f>
        <v>#VALUE!</v>
      </c>
      <c r="O11" s="189" t="e">
        <f>FIXED(VLOOKUP(Spec,tolerance,2)/1000,N11)</f>
        <v>#N/A</v>
      </c>
      <c r="P11" s="30" t="s">
        <v>117</v>
      </c>
      <c r="Q11" s="144">
        <f>NomVal*1000</f>
        <v>0</v>
      </c>
      <c r="S11" s="33" t="s">
        <v>189</v>
      </c>
      <c r="T11" s="30">
        <v>1.6E-06</v>
      </c>
      <c r="V11" s="187">
        <v>200</v>
      </c>
      <c r="W11" s="187">
        <v>0.1</v>
      </c>
      <c r="X11" s="187">
        <v>0.2</v>
      </c>
      <c r="Y11" s="187">
        <v>0.2</v>
      </c>
      <c r="Z11" s="187">
        <v>0.4</v>
      </c>
      <c r="AB11" s="187">
        <v>250</v>
      </c>
      <c r="AC11" s="187">
        <v>1</v>
      </c>
      <c r="AD11" s="187">
        <v>2</v>
      </c>
      <c r="AF11" s="187">
        <v>250</v>
      </c>
      <c r="AG11" s="187">
        <v>0.3</v>
      </c>
      <c r="AH11" s="187">
        <v>0.45</v>
      </c>
      <c r="AJ11" s="187" t="s">
        <v>251</v>
      </c>
      <c r="AK11" s="187">
        <v>473.1765</v>
      </c>
      <c r="AL11" s="187">
        <v>0.4</v>
      </c>
      <c r="AM11" s="187" t="s">
        <v>207</v>
      </c>
      <c r="AO11" s="187" t="s">
        <v>221</v>
      </c>
      <c r="AP11" s="187">
        <v>50000</v>
      </c>
      <c r="AQ11" s="187">
        <f t="shared" si="0"/>
        <v>10</v>
      </c>
      <c r="AS11" s="187" t="s">
        <v>209</v>
      </c>
      <c r="AT11" s="187" t="e">
        <f>VLOOKUP(VLOOKUP(NomValueUnit,VolTable,9),NIST105_2,2)</f>
        <v>#N/A</v>
      </c>
    </row>
    <row r="12" spans="1:46" ht="15.75">
      <c r="A12" s="29">
        <v>1E-05</v>
      </c>
      <c r="B12" s="29">
        <v>6</v>
      </c>
      <c r="C12" s="28"/>
      <c r="D12" s="30">
        <v>9</v>
      </c>
      <c r="E12" s="30">
        <f>E11-((E8-E13)/5)</f>
        <v>1.166</v>
      </c>
      <c r="G12" s="35"/>
      <c r="I12" s="33" t="s">
        <v>85</v>
      </c>
      <c r="J12" s="145" t="e">
        <f>FIXED(Calculations!$C$18,$N$12)</f>
        <v>#VALUE!</v>
      </c>
      <c r="K12" s="145" t="e">
        <f>FIXED(Calculations!$C$19,$N$12)</f>
        <v>#VALUE!</v>
      </c>
      <c r="L12" s="145" t="e">
        <f>FIXED(Calculations!$C$20,$N$12)</f>
        <v>#VALUE!</v>
      </c>
      <c r="M12" s="145" t="e">
        <f>FIXED(ReportedUnc,N12)</f>
        <v>#VALUE!</v>
      </c>
      <c r="N12" s="30" t="e">
        <f>VLOOKUP(ReportedUnc,Rnd.Table,2)</f>
        <v>#N/A</v>
      </c>
      <c r="O12" s="189" t="e">
        <f>FIXED(VLOOKUP(Spec,tolerance,2),N12)</f>
        <v>#N/A</v>
      </c>
      <c r="P12" s="30" t="s">
        <v>25</v>
      </c>
      <c r="Q12" s="144">
        <f>NomVal</f>
        <v>0</v>
      </c>
      <c r="S12" s="33" t="s">
        <v>262</v>
      </c>
      <c r="T12" s="30">
        <v>3.35E-05</v>
      </c>
      <c r="V12" s="187">
        <v>250</v>
      </c>
      <c r="W12" s="187">
        <v>0.12</v>
      </c>
      <c r="X12" s="187">
        <v>0.24</v>
      </c>
      <c r="Y12" s="187">
        <v>0.2</v>
      </c>
      <c r="Z12" s="187">
        <v>0.4</v>
      </c>
      <c r="AB12" s="187">
        <v>500</v>
      </c>
      <c r="AC12" s="187">
        <v>2</v>
      </c>
      <c r="AD12" s="187">
        <v>4</v>
      </c>
      <c r="AF12" s="187">
        <v>500</v>
      </c>
      <c r="AG12" s="187">
        <v>0.5</v>
      </c>
      <c r="AH12" s="187">
        <v>0.75</v>
      </c>
      <c r="AJ12" s="187" t="s">
        <v>252</v>
      </c>
      <c r="AK12" s="187">
        <v>946.3529</v>
      </c>
      <c r="AL12" s="187">
        <v>0.7</v>
      </c>
      <c r="AM12" s="187" t="s">
        <v>207</v>
      </c>
      <c r="AO12" s="187" t="s">
        <v>223</v>
      </c>
      <c r="AP12" s="187">
        <f>25*3785.412</f>
        <v>94635.29999999999</v>
      </c>
      <c r="AQ12" s="187">
        <f t="shared" si="0"/>
        <v>18.927059999999997</v>
      </c>
      <c r="AS12" s="187" t="s">
        <v>214</v>
      </c>
      <c r="AT12" s="187">
        <f>IF(VLOOKUP(NomValueUnit,VolTable,9)&lt;50,0.1,IF(VLOOKUP(NomValueUnit,VolTable,9)&gt;3785.412,0.02%*VLOOKUP(NomValueUnit,VolTable,9),VLOOKUP(VLOOKUP(NomValueUnit,VolTable,9),NIST105_3,2)))</f>
        <v>0.1</v>
      </c>
    </row>
    <row r="13" spans="1:46" ht="15.75">
      <c r="A13" s="29">
        <v>0.0001</v>
      </c>
      <c r="B13" s="29">
        <v>5</v>
      </c>
      <c r="C13" s="28"/>
      <c r="D13" s="30">
        <v>10</v>
      </c>
      <c r="E13" s="30">
        <v>1.16</v>
      </c>
      <c r="G13" s="32" t="s">
        <v>96</v>
      </c>
      <c r="S13" s="33" t="s">
        <v>39</v>
      </c>
      <c r="T13" s="30">
        <v>4.77E-05</v>
      </c>
      <c r="V13" s="187">
        <v>500</v>
      </c>
      <c r="W13" s="187">
        <v>0.2</v>
      </c>
      <c r="X13" s="187">
        <v>0.4</v>
      </c>
      <c r="Y13" s="36"/>
      <c r="Z13" s="36"/>
      <c r="AB13" s="187">
        <v>1000</v>
      </c>
      <c r="AC13" s="187">
        <v>3</v>
      </c>
      <c r="AD13" s="187">
        <v>6</v>
      </c>
      <c r="AF13" s="187">
        <v>1000</v>
      </c>
      <c r="AG13" s="187">
        <v>0.8</v>
      </c>
      <c r="AH13" s="187">
        <v>1.2</v>
      </c>
      <c r="AJ13" s="187" t="s">
        <v>253</v>
      </c>
      <c r="AK13" s="187">
        <v>1000</v>
      </c>
      <c r="AL13" s="187">
        <v>0.8</v>
      </c>
      <c r="AM13" s="187" t="s">
        <v>207</v>
      </c>
      <c r="AO13" s="187" t="s">
        <v>224</v>
      </c>
      <c r="AP13" s="187">
        <v>100000</v>
      </c>
      <c r="AQ13" s="187">
        <f t="shared" si="0"/>
        <v>20</v>
      </c>
      <c r="AS13" s="187" t="s">
        <v>238</v>
      </c>
      <c r="AT13" s="187" t="s">
        <v>215</v>
      </c>
    </row>
    <row r="14" spans="1:46" ht="15.75">
      <c r="A14" s="29">
        <v>0.001</v>
      </c>
      <c r="B14" s="29">
        <v>4</v>
      </c>
      <c r="C14" s="28"/>
      <c r="D14" s="30">
        <v>11</v>
      </c>
      <c r="E14" s="30">
        <f>E13-((E13-E18)/5)</f>
        <v>1.158</v>
      </c>
      <c r="G14" s="35" t="s">
        <v>97</v>
      </c>
      <c r="S14" s="33" t="s">
        <v>263</v>
      </c>
      <c r="T14" s="30">
        <v>3.5E-05</v>
      </c>
      <c r="V14" s="187">
        <v>1000</v>
      </c>
      <c r="W14" s="187">
        <v>0.3</v>
      </c>
      <c r="X14" s="187">
        <v>0.6</v>
      </c>
      <c r="Y14" s="36"/>
      <c r="Z14" s="36"/>
      <c r="AB14" s="187">
        <v>2000</v>
      </c>
      <c r="AC14" s="187">
        <v>6</v>
      </c>
      <c r="AD14" s="187">
        <v>12</v>
      </c>
      <c r="AF14" s="187">
        <v>2000</v>
      </c>
      <c r="AG14" s="187">
        <v>1.2</v>
      </c>
      <c r="AH14" s="187">
        <v>1.8</v>
      </c>
      <c r="AJ14" s="187" t="s">
        <v>254</v>
      </c>
      <c r="AK14" s="187">
        <f>0.5*3785.412</f>
        <v>1892.706</v>
      </c>
      <c r="AL14" s="187">
        <v>1</v>
      </c>
      <c r="AM14" s="187" t="s">
        <v>207</v>
      </c>
      <c r="AO14" s="187" t="s">
        <v>225</v>
      </c>
      <c r="AP14" s="187">
        <v>200000</v>
      </c>
      <c r="AQ14" s="187">
        <f t="shared" si="0"/>
        <v>40</v>
      </c>
      <c r="AS14" s="187" t="s">
        <v>210</v>
      </c>
      <c r="AT14" s="187" t="e">
        <f>IF(TypeCal="To Contain",VLOOKUP(VLOOKUP(NomValueUnit,VolTable,9),OIMLR43,2),VLOOKUP(VLOOKUP(NomValueUnit,VolTable,9),OIMLR43,3))</f>
        <v>#N/A</v>
      </c>
    </row>
    <row r="15" spans="1:46" ht="15.75">
      <c r="A15" s="29">
        <v>0.01</v>
      </c>
      <c r="B15" s="29">
        <v>3</v>
      </c>
      <c r="C15" s="28"/>
      <c r="D15" s="30">
        <v>12</v>
      </c>
      <c r="E15" s="30">
        <f>E14-((E13-E18)/5)</f>
        <v>1.156</v>
      </c>
      <c r="G15" s="191"/>
      <c r="V15" s="187">
        <v>2000</v>
      </c>
      <c r="W15" s="187">
        <v>0.5</v>
      </c>
      <c r="X15" s="187">
        <v>1</v>
      </c>
      <c r="Y15" s="36"/>
      <c r="Z15" s="36"/>
      <c r="AB15" s="187">
        <v>4000</v>
      </c>
      <c r="AC15" s="187">
        <v>14.5</v>
      </c>
      <c r="AD15" s="187">
        <v>29</v>
      </c>
      <c r="AF15" s="187">
        <v>2500</v>
      </c>
      <c r="AG15" s="187">
        <v>1.4</v>
      </c>
      <c r="AH15" s="187">
        <v>2.1</v>
      </c>
      <c r="AJ15" s="187" t="s">
        <v>255</v>
      </c>
      <c r="AK15" s="187">
        <v>2000</v>
      </c>
      <c r="AL15" s="187">
        <v>1.2</v>
      </c>
      <c r="AM15" s="187" t="s">
        <v>207</v>
      </c>
      <c r="AO15" s="187" t="s">
        <v>226</v>
      </c>
      <c r="AP15" s="187">
        <f>100*3785.412</f>
        <v>378541.19999999995</v>
      </c>
      <c r="AQ15" s="187">
        <f t="shared" si="0"/>
        <v>75.70823999999999</v>
      </c>
      <c r="AS15" s="187" t="s">
        <v>211</v>
      </c>
      <c r="AT15" s="187"/>
    </row>
    <row r="16" spans="1:43" ht="15.75">
      <c r="A16" s="29">
        <v>0.1</v>
      </c>
      <c r="B16" s="29">
        <v>2</v>
      </c>
      <c r="C16" s="28"/>
      <c r="D16" s="30">
        <v>13</v>
      </c>
      <c r="E16" s="30">
        <f>E15-((E13-E18)/5)</f>
        <v>1.154</v>
      </c>
      <c r="G16" s="33" t="s">
        <v>260</v>
      </c>
      <c r="AF16" s="187">
        <v>5000</v>
      </c>
      <c r="AG16" s="187">
        <v>2.5</v>
      </c>
      <c r="AH16" s="187">
        <v>3.75</v>
      </c>
      <c r="AJ16" s="187" t="s">
        <v>217</v>
      </c>
      <c r="AK16" s="187">
        <v>3785.412</v>
      </c>
      <c r="AL16" s="187">
        <v>1.2</v>
      </c>
      <c r="AM16" s="187" t="s">
        <v>207</v>
      </c>
      <c r="AO16" s="187" t="s">
        <v>227</v>
      </c>
      <c r="AP16" s="187">
        <v>500000</v>
      </c>
      <c r="AQ16" s="187">
        <f t="shared" si="0"/>
        <v>100</v>
      </c>
    </row>
    <row r="17" spans="1:43" ht="15.75">
      <c r="A17" s="29">
        <v>1</v>
      </c>
      <c r="B17" s="29">
        <v>1</v>
      </c>
      <c r="C17" s="28"/>
      <c r="D17" s="30">
        <v>14</v>
      </c>
      <c r="E17" s="30">
        <f>E16-((E13-E18)/5)</f>
        <v>1.152</v>
      </c>
      <c r="G17" s="33" t="s">
        <v>261</v>
      </c>
      <c r="AF17" s="187">
        <v>10000</v>
      </c>
      <c r="AG17" s="187">
        <v>5</v>
      </c>
      <c r="AH17" s="187">
        <v>7.5</v>
      </c>
      <c r="AO17" s="187" t="s">
        <v>228</v>
      </c>
      <c r="AP17" s="187">
        <f>200*3785.412</f>
        <v>757082.3999999999</v>
      </c>
      <c r="AQ17" s="187">
        <f t="shared" si="0"/>
        <v>151.41647999999998</v>
      </c>
    </row>
    <row r="18" spans="1:43" ht="15.75">
      <c r="A18" s="29">
        <v>10</v>
      </c>
      <c r="B18" s="29">
        <v>0</v>
      </c>
      <c r="C18" s="28"/>
      <c r="D18" s="30">
        <v>15</v>
      </c>
      <c r="E18" s="30">
        <v>1.15</v>
      </c>
      <c r="G18" s="33" t="s">
        <v>271</v>
      </c>
      <c r="AO18" s="187" t="s">
        <v>229</v>
      </c>
      <c r="AP18" s="187">
        <v>1000000</v>
      </c>
      <c r="AQ18" s="187">
        <f t="shared" si="0"/>
        <v>200</v>
      </c>
    </row>
    <row r="19" spans="1:43" ht="15.75">
      <c r="A19" s="29">
        <v>100</v>
      </c>
      <c r="B19" s="29">
        <v>-1</v>
      </c>
      <c r="C19" s="28"/>
      <c r="D19" s="30">
        <v>16</v>
      </c>
      <c r="E19" s="30">
        <f>E18-((E18-E23)/5)</f>
        <v>1.148</v>
      </c>
      <c r="G19" s="33" t="s">
        <v>258</v>
      </c>
      <c r="AO19" s="187" t="s">
        <v>230</v>
      </c>
      <c r="AP19" s="187">
        <f>500*3785.412</f>
        <v>1892706</v>
      </c>
      <c r="AQ19" s="187">
        <f t="shared" si="0"/>
        <v>378.5412</v>
      </c>
    </row>
    <row r="20" spans="1:43" ht="15.75">
      <c r="A20" s="29">
        <v>1000</v>
      </c>
      <c r="B20" s="29">
        <v>-2</v>
      </c>
      <c r="C20" s="28"/>
      <c r="D20" s="30">
        <v>17</v>
      </c>
      <c r="E20" s="30">
        <f>E19-((E18-E23)/5)</f>
        <v>1.146</v>
      </c>
      <c r="G20" s="33" t="s">
        <v>259</v>
      </c>
      <c r="AO20" s="187" t="s">
        <v>231</v>
      </c>
      <c r="AP20" s="187">
        <v>2000000</v>
      </c>
      <c r="AQ20" s="187">
        <f t="shared" si="0"/>
        <v>400</v>
      </c>
    </row>
    <row r="21" spans="1:43" ht="15.75">
      <c r="A21" s="29">
        <v>10000</v>
      </c>
      <c r="B21" s="29">
        <v>-3</v>
      </c>
      <c r="C21" s="28"/>
      <c r="D21" s="30">
        <v>18</v>
      </c>
      <c r="E21" s="30">
        <f>E20-((E18-E23)/5)</f>
        <v>1.144</v>
      </c>
      <c r="G21" s="33" t="s">
        <v>257</v>
      </c>
      <c r="AO21" s="187" t="s">
        <v>232</v>
      </c>
      <c r="AP21" s="187">
        <v>3000000</v>
      </c>
      <c r="AQ21" s="187">
        <f t="shared" si="0"/>
        <v>600</v>
      </c>
    </row>
    <row r="22" spans="1:43" ht="15.75">
      <c r="A22" s="29">
        <v>100000</v>
      </c>
      <c r="B22" s="29">
        <v>-4</v>
      </c>
      <c r="C22" s="28"/>
      <c r="D22" s="30">
        <v>19</v>
      </c>
      <c r="E22" s="30">
        <f>E21-((E18-E23)/5)</f>
        <v>1.142</v>
      </c>
      <c r="AO22" s="187" t="s">
        <v>233</v>
      </c>
      <c r="AP22" s="187">
        <f>1000*3785.412</f>
        <v>3785412</v>
      </c>
      <c r="AQ22" s="187">
        <f t="shared" si="0"/>
        <v>757.0824</v>
      </c>
    </row>
    <row r="23" spans="1:43" ht="15.75">
      <c r="A23" s="29">
        <v>1000000</v>
      </c>
      <c r="B23" s="29">
        <v>-5</v>
      </c>
      <c r="C23" s="28"/>
      <c r="D23" s="30">
        <v>20</v>
      </c>
      <c r="E23" s="30">
        <v>1.14</v>
      </c>
      <c r="AO23" s="187" t="s">
        <v>235</v>
      </c>
      <c r="AP23" s="187">
        <v>5000000</v>
      </c>
      <c r="AQ23" s="187">
        <f t="shared" si="0"/>
        <v>1000</v>
      </c>
    </row>
    <row r="24" spans="1:43" ht="15.75">
      <c r="A24" s="29">
        <v>10000000</v>
      </c>
      <c r="B24" s="29">
        <v>-6</v>
      </c>
      <c r="C24" s="28"/>
      <c r="D24" s="30">
        <v>21</v>
      </c>
      <c r="E24" s="30">
        <f>E23-((E23-E33)/10)</f>
        <v>1.1389999999999998</v>
      </c>
      <c r="AO24" s="187" t="s">
        <v>234</v>
      </c>
      <c r="AP24" s="187">
        <f>1500*3785.412</f>
        <v>5678118</v>
      </c>
      <c r="AQ24" s="187">
        <f t="shared" si="0"/>
        <v>1135.6236000000001</v>
      </c>
    </row>
    <row r="25" spans="1:5" ht="15.75">
      <c r="A25" s="29">
        <v>100000000</v>
      </c>
      <c r="B25" s="29">
        <v>-7</v>
      </c>
      <c r="C25" s="28"/>
      <c r="D25" s="30">
        <v>22</v>
      </c>
      <c r="E25" s="30">
        <f>E24-((E23-E33)/10)</f>
        <v>1.138</v>
      </c>
    </row>
    <row r="26" spans="1:5" ht="15.75">
      <c r="A26" s="29">
        <v>1000000000</v>
      </c>
      <c r="B26" s="29">
        <v>-8</v>
      </c>
      <c r="C26" s="28"/>
      <c r="D26" s="30">
        <v>23</v>
      </c>
      <c r="E26" s="30">
        <f>E25-((E23-E33)/10)</f>
        <v>1.137</v>
      </c>
    </row>
    <row r="27" spans="1:5" ht="15.75">
      <c r="A27" s="29">
        <v>10000000000</v>
      </c>
      <c r="B27" s="29">
        <v>-9</v>
      </c>
      <c r="C27" s="28"/>
      <c r="D27" s="30">
        <v>24</v>
      </c>
      <c r="E27" s="30">
        <f>E26-((E23-E33)/10)</f>
        <v>1.1360000000000001</v>
      </c>
    </row>
    <row r="28" spans="1:5" ht="15.75">
      <c r="A28" s="29">
        <v>100000000000</v>
      </c>
      <c r="B28" s="29">
        <v>-10</v>
      </c>
      <c r="C28" s="28"/>
      <c r="D28" s="30">
        <v>25</v>
      </c>
      <c r="E28" s="30">
        <f>E27-((E23-E33)/10)</f>
        <v>1.1350000000000002</v>
      </c>
    </row>
    <row r="29" spans="1:5" ht="15.75">
      <c r="A29" s="29">
        <v>1000000000000</v>
      </c>
      <c r="B29" s="29">
        <v>-11</v>
      </c>
      <c r="C29" s="28"/>
      <c r="D29" s="30">
        <v>26</v>
      </c>
      <c r="E29" s="30">
        <f>E28-((E23-E33)/10)</f>
        <v>1.1340000000000003</v>
      </c>
    </row>
    <row r="30" spans="1:5" ht="15.75">
      <c r="A30" s="29">
        <v>10000000000000</v>
      </c>
      <c r="B30" s="29">
        <v>-12</v>
      </c>
      <c r="C30" s="28"/>
      <c r="D30" s="30">
        <v>27</v>
      </c>
      <c r="E30" s="30">
        <f>E29-((E23-E33)/10)</f>
        <v>1.1330000000000005</v>
      </c>
    </row>
    <row r="31" spans="1:5" ht="15.75">
      <c r="A31" s="29">
        <v>100000000000000</v>
      </c>
      <c r="B31" s="29">
        <v>-13</v>
      </c>
      <c r="C31" s="28"/>
      <c r="D31" s="30">
        <v>28</v>
      </c>
      <c r="E31" s="30">
        <f>E30-((E23-E33)/10)</f>
        <v>1.1320000000000006</v>
      </c>
    </row>
    <row r="32" spans="1:5" ht="15.75">
      <c r="A32" s="29">
        <v>1000000000000000</v>
      </c>
      <c r="B32" s="31" t="s">
        <v>47</v>
      </c>
      <c r="C32" s="28"/>
      <c r="D32" s="30">
        <v>29</v>
      </c>
      <c r="E32" s="30">
        <f>E31-((E23-E33)/10)</f>
        <v>1.1310000000000007</v>
      </c>
    </row>
    <row r="33" spans="1:5" ht="15.75">
      <c r="A33" s="28"/>
      <c r="B33" s="28"/>
      <c r="C33" s="28"/>
      <c r="D33" s="30">
        <v>30</v>
      </c>
      <c r="E33" s="30">
        <v>1.13</v>
      </c>
    </row>
    <row r="34" spans="1:5" ht="15.75">
      <c r="A34" s="28"/>
      <c r="B34" s="28"/>
      <c r="C34" s="28"/>
      <c r="D34" s="30" t="s">
        <v>19</v>
      </c>
      <c r="E34" s="30">
        <v>1.13</v>
      </c>
    </row>
    <row r="35" ht="15.75"/>
    <row r="36" spans="1:9" ht="31.5" customHeight="1">
      <c r="A36" s="545" t="s">
        <v>123</v>
      </c>
      <c r="B36" s="546"/>
      <c r="C36" s="546"/>
      <c r="D36" s="546"/>
      <c r="E36" s="546"/>
      <c r="F36" s="546"/>
      <c r="G36" s="547"/>
      <c r="H36" s="97"/>
      <c r="I36" s="97"/>
    </row>
    <row r="37" spans="1:9" ht="48" customHeight="1">
      <c r="A37" s="540" t="str">
        <f>"●  The "&amp;Description&amp;" delivers the stated volume at the reference temperature from the specified graduation line
    when it is emptied gradually within a 30 (± 5 seconds) pour and a 10-second drain while held at a 10º to 15º angle
    from vertical."</f>
        <v>●  The  delivers the stated volume at the reference temperature from the specified graduation line
    when it is emptied gradually within a 30 (± 5 seconds) pour and a 10-second drain while held at a 10º to 15º angle
    from vertical.</v>
      </c>
      <c r="B37" s="541"/>
      <c r="C37" s="541"/>
      <c r="D37" s="541"/>
      <c r="E37" s="541"/>
      <c r="F37" s="541"/>
      <c r="G37" s="542"/>
      <c r="H37" s="98"/>
      <c r="I37" s="98"/>
    </row>
    <row r="38" spans="1:9" ht="60" customHeight="1">
      <c r="A38" s="540" t="str">
        <f>"●  The "&amp;Description&amp;", when cleaned and dried, contains the stated volume at the reference temperature when
    filled to its nominal graduation line. The "&amp;Description&amp;" must always be cleaned and dried between successive
    uses for purposes of accuracy."</f>
        <v>●  The , when cleaned and dried, contains the stated volume at the reference temperature when
    filled to its nominal graduation line. The  must always be cleaned and dried between successive
    uses for purposes of accuracy.</v>
      </c>
      <c r="B38" s="541"/>
      <c r="C38" s="541"/>
      <c r="D38" s="541"/>
      <c r="E38" s="541"/>
      <c r="F38" s="541"/>
      <c r="G38" s="542"/>
      <c r="H38" s="98"/>
      <c r="I38" s="98"/>
    </row>
    <row r="39" spans="1:9" ht="48" customHeight="1">
      <c r="A39" s="540" t="str">
        <f>"●  The "&amp;Description&amp;" delivers the stated volume at the reference temperature is when it is drained for a 30 (± 5)
    second period after cessation of the main flow."</f>
        <v>●  The  delivers the stated volume at the reference temperature is when it is drained for a 30 (± 5)
    second period after cessation of the main flow.</v>
      </c>
      <c r="B39" s="541"/>
      <c r="C39" s="541"/>
      <c r="D39" s="541"/>
      <c r="E39" s="541"/>
      <c r="F39" s="541"/>
      <c r="G39" s="542"/>
      <c r="H39" s="98"/>
      <c r="I39" s="98"/>
    </row>
    <row r="40" ht="15.75"/>
    <row r="41" ht="15.75" hidden="1"/>
    <row r="42" ht="15.75" hidden="1"/>
    <row r="43" ht="15.75" hidden="1"/>
    <row r="44" ht="15.75" hidden="1"/>
    <row r="45" ht="15.75" hidden="1"/>
    <row r="46" ht="15.75" hidden="1"/>
  </sheetData>
  <sheetProtection password="FFED" sheet="1" objects="1" scenarios="1" selectLockedCells="1" selectUnlockedCells="1"/>
  <mergeCells count="14">
    <mergeCell ref="AS3:AT3"/>
    <mergeCell ref="AO3:AQ3"/>
    <mergeCell ref="A38:G38"/>
    <mergeCell ref="AJ3:AM3"/>
    <mergeCell ref="V3:Z3"/>
    <mergeCell ref="AB3:AD3"/>
    <mergeCell ref="AF3:AH3"/>
    <mergeCell ref="I3:P3"/>
    <mergeCell ref="A39:G39"/>
    <mergeCell ref="S3:T3"/>
    <mergeCell ref="A36:G36"/>
    <mergeCell ref="A37:G37"/>
    <mergeCell ref="D3:E3"/>
    <mergeCell ref="A3:B3"/>
  </mergeCells>
  <printOptions horizontalCentered="1"/>
  <pageMargins left="0.5" right="0.5" top="1.25" bottom="0.75" header="0.75" footer="0.25"/>
  <pageSetup horizontalDpi="600" verticalDpi="600" orientation="landscape" pageOrder="overThenDown" scale="76" r:id="rId1"/>
  <headerFooter alignWithMargins="0">
    <oddHeader>&amp;L&amp;"Trebuchet MS,Regular"Gravimetric Calibration of Volumetric Ware
Using an Electronic Balance&amp;R&amp;"Trebuchet MS,Regular"WAMRF-005, Rev. 13, 2/6/2007</oddHeader>
    <oddFooter>&amp;L&amp;"Trebuchet MS,Regular"&amp;F&amp;R&amp;"Trebuchet MS,Regular"&amp;A Worksheet Page &amp;P of &amp;N</oddFooter>
  </headerFooter>
  <rowBreaks count="1" manualBreakCount="1">
    <brk id="34" max="255" man="1"/>
  </rowBreaks>
  <colBreaks count="4" manualBreakCount="4">
    <brk id="17" max="65535" man="1"/>
    <brk id="26" max="23" man="1"/>
    <brk id="34" max="23" man="1"/>
    <brk id="43"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 Metrology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Gravimetric Calibration, WAMRF-005</dc:title>
  <dc:subject>NIST HB 145, SOP 14</dc:subject>
  <dc:creator>Dan Wright</dc:creator>
  <cp:keywords/>
  <dc:description/>
  <cp:lastModifiedBy>Dan Wright</cp:lastModifiedBy>
  <cp:lastPrinted>2007-01-09T18:04:09Z</cp:lastPrinted>
  <dcterms:created xsi:type="dcterms:W3CDTF">2000-04-27T22:54:34Z</dcterms:created>
  <dcterms:modified xsi:type="dcterms:W3CDTF">2007-03-30T21:58:56Z</dcterms:modified>
  <cp:category/>
  <cp:version/>
  <cp:contentType/>
  <cp:contentStatus/>
</cp:coreProperties>
</file>