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165" windowWidth="11475" windowHeight="8025" tabRatio="500" activeTab="0"/>
  </bookViews>
  <sheets>
    <sheet name="Tracker Cables Summary" sheetId="1" r:id="rId1"/>
    <sheet name="Tracker Pipes Summary" sheetId="2" r:id="rId2"/>
  </sheets>
  <definedNames>
    <definedName name="_xlnm.Print_Area" localSheetId="0">'Tracker Cables Summary'!$A$2:$AF$48</definedName>
  </definedNames>
  <calcPr fullCalcOnLoad="1"/>
</workbook>
</file>

<file path=xl/sharedStrings.xml><?xml version="1.0" encoding="utf-8"?>
<sst xmlns="http://schemas.openxmlformats.org/spreadsheetml/2006/main" count="453" uniqueCount="155">
  <si>
    <t>18C</t>
  </si>
  <si>
    <t>Connect.</t>
  </si>
  <si>
    <t>@PP1</t>
  </si>
  <si>
    <t>TEC</t>
  </si>
  <si>
    <t>Silicon Strip</t>
  </si>
  <si>
    <t>5C</t>
  </si>
  <si>
    <t>6A</t>
  </si>
  <si>
    <t>14C</t>
  </si>
  <si>
    <t>15A</t>
  </si>
  <si>
    <t>Pixel</t>
  </si>
  <si>
    <t>Barrel</t>
  </si>
  <si>
    <t>Disks</t>
  </si>
  <si>
    <t>-2A</t>
  </si>
  <si>
    <t>-2C</t>
  </si>
  <si>
    <t>-3A</t>
  </si>
  <si>
    <t>-3C</t>
  </si>
  <si>
    <t>-4A</t>
  </si>
  <si>
    <t>Cold Dry</t>
  </si>
  <si>
    <t>Gas Pipes</t>
  </si>
  <si>
    <t>150</t>
  </si>
  <si>
    <t>After swapping at the solenoid (Filling factor of the radial run)</t>
  </si>
  <si>
    <t>PP1-&gt;PP2</t>
  </si>
  <si>
    <t>-4C</t>
  </si>
  <si>
    <t>-5A</t>
  </si>
  <si>
    <t>-5C</t>
  </si>
  <si>
    <t>-6A</t>
  </si>
  <si>
    <t>-6C</t>
  </si>
  <si>
    <t>-7A</t>
  </si>
  <si>
    <t>-7C</t>
  </si>
  <si>
    <t>-8A</t>
  </si>
  <si>
    <t>-8C</t>
  </si>
  <si>
    <t>-9A</t>
  </si>
  <si>
    <t>-9C</t>
  </si>
  <si>
    <t>-11A</t>
  </si>
  <si>
    <t>-11C</t>
  </si>
  <si>
    <t>-12A</t>
  </si>
  <si>
    <t>-12C</t>
  </si>
  <si>
    <t>Cable Distribution for the + end of the Tracker (V7.19), Including spares</t>
  </si>
  <si>
    <t>Cable Distribution for the - end of the Tracker (V7.19), including spares</t>
  </si>
  <si>
    <t>-13A</t>
  </si>
  <si>
    <t>-13C</t>
  </si>
  <si>
    <t>-14A</t>
  </si>
  <si>
    <t>-14C</t>
  </si>
  <si>
    <t>-15A</t>
  </si>
  <si>
    <t>-15C</t>
  </si>
  <si>
    <t>-16A</t>
  </si>
  <si>
    <t>-16C</t>
  </si>
  <si>
    <t>-17A</t>
  </si>
  <si>
    <t>-17C</t>
  </si>
  <si>
    <t>-18A</t>
  </si>
  <si>
    <t>-18C</t>
  </si>
  <si>
    <t>Thermal</t>
  </si>
  <si>
    <t>Screen</t>
  </si>
  <si>
    <t>Thermal Screen</t>
  </si>
  <si>
    <t>LINK</t>
  </si>
  <si>
    <t>Near 1st</t>
  </si>
  <si>
    <t>TK-&gt;PP1</t>
  </si>
  <si>
    <t>TkLAS</t>
  </si>
  <si>
    <t>Pipes Distribution for the + end of the Tracker (V7.?)</t>
  </si>
  <si>
    <t>Pipes Distribution for the - end of the Tracker (V7.?)</t>
  </si>
  <si>
    <t>warm-Tk</t>
  </si>
  <si>
    <t>BCM</t>
  </si>
  <si>
    <t>PLT</t>
  </si>
  <si>
    <t>SNIFF</t>
  </si>
  <si>
    <t>Occup.</t>
  </si>
  <si>
    <t>fibers</t>
  </si>
  <si>
    <t>pipes</t>
  </si>
  <si>
    <t>CA</t>
  </si>
  <si>
    <t>LV</t>
  </si>
  <si>
    <t>OF</t>
  </si>
  <si>
    <t>Pipes</t>
  </si>
  <si>
    <t>Tray</t>
  </si>
  <si>
    <t>arriving</t>
  </si>
  <si>
    <t>at balcony</t>
  </si>
  <si>
    <t>Sil.Strip</t>
  </si>
  <si>
    <t>Reserved for Cables</t>
  </si>
  <si>
    <t>TIB</t>
  </si>
  <si>
    <t>TID</t>
  </si>
  <si>
    <t>crossect.</t>
  </si>
  <si>
    <t>ending</t>
  </si>
  <si>
    <t>Cold</t>
  </si>
  <si>
    <t>NEAR</t>
  </si>
  <si>
    <t>FAR</t>
  </si>
  <si>
    <t>These tables include ALL services running along CABLE channels.</t>
  </si>
  <si>
    <t>LINK optical fibers are bundled togheter to for a "cable like" structure.</t>
  </si>
  <si>
    <t>PP1-&gt;USX</t>
  </si>
  <si>
    <t>Tk-&gt;PP1</t>
  </si>
  <si>
    <t>From-&gt;to</t>
  </si>
  <si>
    <t>Dry Gas</t>
  </si>
  <si>
    <t>PP1</t>
  </si>
  <si>
    <t>Signal</t>
  </si>
  <si>
    <t>MSC</t>
  </si>
  <si>
    <t>PP1-&gt;USC</t>
  </si>
  <si>
    <t>Silicon Strips</t>
  </si>
  <si>
    <t>Barrel+Disks</t>
  </si>
  <si>
    <t>Aux</t>
  </si>
  <si>
    <t>Sense</t>
  </si>
  <si>
    <t>TK-&gt;USX</t>
  </si>
  <si>
    <t>Tk-USC</t>
  </si>
  <si>
    <t>xsection</t>
  </si>
  <si>
    <t>cm^2</t>
  </si>
  <si>
    <t>%</t>
  </si>
  <si>
    <t>50cm^2</t>
  </si>
  <si>
    <t>90cm^2</t>
  </si>
  <si>
    <t>Spares</t>
  </si>
  <si>
    <t>LIC V3</t>
  </si>
  <si>
    <t>Spare Silicon Strip cables are all LIC-V3. They are cut to the longest cable route for that 1/2 PP1. They will be connected at PP1 on empty connectors when available.</t>
  </si>
  <si>
    <t>These tables include ALL pipes running through the Tracker along PIPE channels.</t>
  </si>
  <si>
    <t>Cold Dry Gas System</t>
  </si>
  <si>
    <t>Both LINK and TkLAS fibers run with the cables in the cable channel, not with the other tracker fibers.</t>
  </si>
  <si>
    <t>Reserved for Pipes</t>
  </si>
  <si>
    <t>TOB</t>
  </si>
  <si>
    <t>TIB/TID</t>
  </si>
  <si>
    <t>Sector</t>
  </si>
  <si>
    <t>Number</t>
  </si>
  <si>
    <t>Power</t>
  </si>
  <si>
    <t>Control</t>
  </si>
  <si>
    <t>2A</t>
  </si>
  <si>
    <t>2C</t>
  </si>
  <si>
    <t>Near 3rd</t>
  </si>
  <si>
    <t>3A</t>
  </si>
  <si>
    <t>3C</t>
  </si>
  <si>
    <t>4A</t>
  </si>
  <si>
    <t>4C</t>
  </si>
  <si>
    <t>Far 3rd</t>
  </si>
  <si>
    <t>5A</t>
  </si>
  <si>
    <t>6C</t>
  </si>
  <si>
    <t>System</t>
  </si>
  <si>
    <t>Heat. Foils</t>
  </si>
  <si>
    <t>BCM,PLT,LINK,SNIFF,HFS,WarmTKGas,WarmPP1Gas</t>
  </si>
  <si>
    <t>TkLAS (Tracker Laser Alignment System) bundles the fibers in groups of 10. Once grouped they form a "cable like" structure,</t>
  </si>
  <si>
    <t>V7.18: TkLAS are with the cables from Tk to PP1 and with the optical fibers from PP1 to USC.</t>
  </si>
  <si>
    <t>V7.18: Heating Foils System arrives from USC to PP1.</t>
  </si>
  <si>
    <t>7A</t>
  </si>
  <si>
    <t>7C</t>
  </si>
  <si>
    <t>8A</t>
  </si>
  <si>
    <t>8C</t>
  </si>
  <si>
    <t>Far 2nd</t>
  </si>
  <si>
    <t>9A</t>
  </si>
  <si>
    <t>9C</t>
  </si>
  <si>
    <t>11A</t>
  </si>
  <si>
    <t>11C</t>
  </si>
  <si>
    <t>12A</t>
  </si>
  <si>
    <t>12C</t>
  </si>
  <si>
    <t>13A</t>
  </si>
  <si>
    <t>13C</t>
  </si>
  <si>
    <t>Far 1st</t>
  </si>
  <si>
    <t>14A</t>
  </si>
  <si>
    <t>15C</t>
  </si>
  <si>
    <t>16A</t>
  </si>
  <si>
    <t>16C</t>
  </si>
  <si>
    <t>17A</t>
  </si>
  <si>
    <t>17C</t>
  </si>
  <si>
    <t>Near 2nd</t>
  </si>
  <si>
    <t>18A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</si>
</sst>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vertical="center" wrapText="1"/>
    </xf>
    <xf numFmtId="49" fontId="8" fillId="2" borderId="12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1" fontId="6" fillId="3" borderId="18" xfId="0" applyNumberFormat="1" applyFont="1" applyFill="1" applyBorder="1" applyAlignment="1">
      <alignment horizontal="centerContinuous" vertical="center"/>
    </xf>
    <xf numFmtId="0" fontId="6" fillId="3" borderId="20" xfId="0" applyFont="1" applyFill="1" applyBorder="1" applyAlignment="1">
      <alignment horizontal="centerContinuous" vertical="center"/>
    </xf>
    <xf numFmtId="2" fontId="7" fillId="3" borderId="3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Continuous" vertical="center"/>
    </xf>
    <xf numFmtId="49" fontId="8" fillId="2" borderId="9" xfId="0" applyNumberFormat="1" applyFont="1" applyFill="1" applyBorder="1" applyAlignment="1">
      <alignment horizontal="centerContinuous" vertical="center"/>
    </xf>
    <xf numFmtId="49" fontId="8" fillId="2" borderId="5" xfId="0" applyNumberFormat="1" applyFont="1" applyFill="1" applyBorder="1" applyAlignment="1">
      <alignment horizontal="centerContinuous" vertical="center"/>
    </xf>
    <xf numFmtId="49" fontId="8" fillId="2" borderId="17" xfId="0" applyNumberFormat="1" applyFont="1" applyFill="1" applyBorder="1" applyAlignment="1">
      <alignment vertical="center"/>
    </xf>
    <xf numFmtId="0" fontId="7" fillId="3" borderId="20" xfId="0" applyFont="1" applyFill="1" applyBorder="1" applyAlignment="1">
      <alignment horizontal="centerContinuous" vertical="center"/>
    </xf>
    <xf numFmtId="1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vertical="center" wrapText="1"/>
    </xf>
    <xf numFmtId="49" fontId="8" fillId="2" borderId="8" xfId="0" applyNumberFormat="1" applyFont="1" applyFill="1" applyBorder="1" applyAlignment="1">
      <alignment horizontal="centerContinuous" vertical="center" wrapText="1"/>
    </xf>
    <xf numFmtId="49" fontId="8" fillId="2" borderId="17" xfId="0" applyNumberFormat="1" applyFont="1" applyFill="1" applyBorder="1" applyAlignment="1">
      <alignment horizontal="centerContinuous" vertical="center" wrapText="1"/>
    </xf>
    <xf numFmtId="49" fontId="8" fillId="2" borderId="21" xfId="0" applyNumberFormat="1" applyFont="1" applyFill="1" applyBorder="1" applyAlignment="1">
      <alignment horizontal="centerContinuous" vertical="center" wrapText="1"/>
    </xf>
    <xf numFmtId="49" fontId="8" fillId="2" borderId="6" xfId="0" applyNumberFormat="1" applyFont="1" applyFill="1" applyBorder="1" applyAlignment="1">
      <alignment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/>
    </xf>
    <xf numFmtId="1" fontId="12" fillId="0" borderId="0" xfId="0" applyNumberFormat="1" applyFont="1" applyBorder="1" applyAlignment="1">
      <alignment horizontal="centerContinuous" vertical="center"/>
    </xf>
    <xf numFmtId="1" fontId="7" fillId="3" borderId="2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2" xfId="0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" fontId="6" fillId="3" borderId="18" xfId="0" applyNumberFormat="1" applyFont="1" applyFill="1" applyBorder="1" applyAlignment="1">
      <alignment horizontal="centerContinuous"/>
    </xf>
    <xf numFmtId="1" fontId="6" fillId="3" borderId="20" xfId="0" applyNumberFormat="1" applyFont="1" applyFill="1" applyBorder="1" applyAlignment="1">
      <alignment horizontal="centerContinuous"/>
    </xf>
    <xf numFmtId="0" fontId="6" fillId="3" borderId="20" xfId="0" applyFont="1" applyFill="1" applyBorder="1" applyAlignment="1">
      <alignment horizontal="centerContinuous"/>
    </xf>
    <xf numFmtId="1" fontId="7" fillId="3" borderId="20" xfId="0" applyNumberFormat="1" applyFont="1" applyFill="1" applyBorder="1" applyAlignment="1">
      <alignment horizontal="centerContinuous"/>
    </xf>
    <xf numFmtId="1" fontId="7" fillId="3" borderId="3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1" fontId="8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Continuous"/>
    </xf>
    <xf numFmtId="1" fontId="12" fillId="0" borderId="18" xfId="0" applyNumberFormat="1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vertical="center"/>
    </xf>
    <xf numFmtId="49" fontId="7" fillId="4" borderId="2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2" borderId="26" xfId="0" applyNumberFormat="1" applyFont="1" applyFill="1" applyBorder="1" applyAlignment="1">
      <alignment vertical="center"/>
    </xf>
    <xf numFmtId="49" fontId="8" fillId="2" borderId="27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/>
    </xf>
    <xf numFmtId="164" fontId="7" fillId="3" borderId="30" xfId="0" applyNumberFormat="1" applyFont="1" applyFill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3" borderId="18" xfId="0" applyNumberFormat="1" applyFont="1" applyFill="1" applyBorder="1" applyAlignment="1">
      <alignment horizontal="center"/>
    </xf>
    <xf numFmtId="164" fontId="7" fillId="3" borderId="26" xfId="0" applyNumberFormat="1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20" xfId="0" applyFont="1" applyFill="1" applyBorder="1" applyAlignment="1">
      <alignment horizontal="centerContinuous"/>
    </xf>
    <xf numFmtId="1" fontId="8" fillId="3" borderId="18" xfId="0" applyNumberFormat="1" applyFont="1" applyFill="1" applyBorder="1" applyAlignment="1">
      <alignment horizontal="centerContinuous"/>
    </xf>
    <xf numFmtId="49" fontId="8" fillId="2" borderId="20" xfId="0" applyNumberFormat="1" applyFont="1" applyFill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49" fontId="8" fillId="2" borderId="33" xfId="0" applyNumberFormat="1" applyFont="1" applyFill="1" applyBorder="1" applyAlignment="1">
      <alignment vertical="center"/>
    </xf>
    <xf numFmtId="49" fontId="8" fillId="2" borderId="34" xfId="0" applyNumberFormat="1" applyFont="1" applyFill="1" applyBorder="1" applyAlignment="1">
      <alignment vertical="center"/>
    </xf>
    <xf numFmtId="49" fontId="8" fillId="2" borderId="35" xfId="0" applyNumberFormat="1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/>
    </xf>
    <xf numFmtId="164" fontId="0" fillId="3" borderId="26" xfId="0" applyNumberFormat="1" applyFill="1" applyBorder="1" applyAlignment="1">
      <alignment horizontal="center" vertical="center"/>
    </xf>
    <xf numFmtId="164" fontId="12" fillId="3" borderId="33" xfId="0" applyNumberFormat="1" applyFont="1" applyFill="1" applyBorder="1" applyAlignment="1">
      <alignment horizontal="center"/>
    </xf>
    <xf numFmtId="164" fontId="7" fillId="3" borderId="39" xfId="0" applyNumberFormat="1" applyFont="1" applyFill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/>
    </xf>
    <xf numFmtId="164" fontId="8" fillId="3" borderId="33" xfId="0" applyNumberFormat="1" applyFont="1" applyFill="1" applyBorder="1" applyAlignment="1">
      <alignment horizontal="center"/>
    </xf>
    <xf numFmtId="164" fontId="7" fillId="3" borderId="40" xfId="0" applyNumberFormat="1" applyFont="1" applyFill="1" applyBorder="1" applyAlignment="1">
      <alignment horizontal="center"/>
    </xf>
    <xf numFmtId="164" fontId="7" fillId="3" borderId="38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 vertical="center"/>
    </xf>
    <xf numFmtId="1" fontId="7" fillId="0" borderId="4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1" fontId="7" fillId="3" borderId="5" xfId="0" applyNumberFormat="1" applyFont="1" applyFill="1" applyBorder="1" applyAlignment="1">
      <alignment/>
    </xf>
    <xf numFmtId="1" fontId="7" fillId="3" borderId="11" xfId="0" applyNumberFormat="1" applyFont="1" applyFill="1" applyBorder="1" applyAlignment="1">
      <alignment/>
    </xf>
    <xf numFmtId="49" fontId="8" fillId="2" borderId="28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7" fillId="0" borderId="29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3" borderId="26" xfId="0" applyNumberFormat="1" applyFont="1" applyFill="1" applyBorder="1" applyAlignment="1">
      <alignment horizontal="centerContinuous"/>
    </xf>
    <xf numFmtId="1" fontId="7" fillId="3" borderId="33" xfId="0" applyNumberFormat="1" applyFont="1" applyFill="1" applyBorder="1" applyAlignment="1">
      <alignment horizontal="centerContinuous"/>
    </xf>
    <xf numFmtId="1" fontId="8" fillId="3" borderId="33" xfId="0" applyNumberFormat="1" applyFont="1" applyFill="1" applyBorder="1" applyAlignment="1">
      <alignment horizontal="centerContinuous"/>
    </xf>
    <xf numFmtId="1" fontId="8" fillId="3" borderId="26" xfId="0" applyNumberFormat="1" applyFont="1" applyFill="1" applyBorder="1" applyAlignment="1">
      <alignment horizontal="centerContinuous"/>
    </xf>
    <xf numFmtId="1" fontId="7" fillId="0" borderId="4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64" fontId="7" fillId="3" borderId="33" xfId="0" applyNumberFormat="1" applyFont="1" applyFill="1" applyBorder="1" applyAlignment="1">
      <alignment horizontal="center"/>
    </xf>
    <xf numFmtId="1" fontId="7" fillId="0" borderId="41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1" fontId="7" fillId="0" borderId="5" xfId="0" applyNumberFormat="1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1" fontId="7" fillId="3" borderId="5" xfId="0" applyNumberFormat="1" applyFont="1" applyFill="1" applyBorder="1" applyAlignment="1">
      <alignment vertical="center"/>
    </xf>
    <xf numFmtId="1" fontId="7" fillId="3" borderId="11" xfId="0" applyNumberFormat="1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" fontId="8" fillId="0" borderId="5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Continuous"/>
    </xf>
    <xf numFmtId="164" fontId="8" fillId="0" borderId="26" xfId="0" applyNumberFormat="1" applyFont="1" applyBorder="1" applyAlignment="1">
      <alignment horizontal="center"/>
    </xf>
    <xf numFmtId="0" fontId="7" fillId="5" borderId="3" xfId="0" applyFont="1" applyFill="1" applyBorder="1" applyAlignment="1">
      <alignment/>
    </xf>
    <xf numFmtId="14" fontId="13" fillId="0" borderId="0" xfId="0" applyNumberFormat="1" applyFont="1" applyAlignment="1">
      <alignment/>
    </xf>
    <xf numFmtId="164" fontId="8" fillId="0" borderId="34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Continuous" vertical="center"/>
    </xf>
    <xf numFmtId="49" fontId="7" fillId="0" borderId="5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164" fontId="7" fillId="5" borderId="30" xfId="0" applyNumberFormat="1" applyFont="1" applyFill="1" applyBorder="1" applyAlignment="1">
      <alignment horizontal="center" vertical="center"/>
    </xf>
    <xf numFmtId="164" fontId="0" fillId="5" borderId="3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7" fillId="5" borderId="28" xfId="0" applyNumberFormat="1" applyFont="1" applyFill="1" applyBorder="1" applyAlignment="1">
      <alignment horizontal="center"/>
    </xf>
    <xf numFmtId="164" fontId="7" fillId="5" borderId="34" xfId="0" applyNumberFormat="1" applyFont="1" applyFill="1" applyBorder="1" applyAlignment="1">
      <alignment horizontal="center"/>
    </xf>
    <xf numFmtId="164" fontId="7" fillId="5" borderId="36" xfId="0" applyNumberFormat="1" applyFont="1" applyFill="1" applyBorder="1" applyAlignment="1">
      <alignment horizontal="center"/>
    </xf>
    <xf numFmtId="164" fontId="7" fillId="5" borderId="38" xfId="0" applyNumberFormat="1" applyFont="1" applyFill="1" applyBorder="1" applyAlignment="1">
      <alignment horizontal="center"/>
    </xf>
    <xf numFmtId="164" fontId="7" fillId="5" borderId="39" xfId="0" applyNumberFormat="1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49" fontId="7" fillId="6" borderId="17" xfId="0" applyNumberFormat="1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49" fontId="7" fillId="7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7" fillId="7" borderId="18" xfId="0" applyNumberFormat="1" applyFont="1" applyFill="1" applyBorder="1" applyAlignment="1">
      <alignment horizontal="center" vertical="center"/>
    </xf>
    <xf numFmtId="49" fontId="7" fillId="6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49" fontId="7" fillId="4" borderId="5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7" fillId="8" borderId="3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7" fillId="9" borderId="8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7" fillId="8" borderId="8" xfId="0" applyNumberFormat="1" applyFont="1" applyFill="1" applyBorder="1" applyAlignment="1">
      <alignment horizontal="center" vertical="center"/>
    </xf>
    <xf numFmtId="49" fontId="7" fillId="9" borderId="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" fontId="7" fillId="0" borderId="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" fontId="7" fillId="0" borderId="6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9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3.00390625" style="1" customWidth="1"/>
    <col min="2" max="8" width="6.375" style="1" customWidth="1"/>
    <col min="9" max="10" width="7.75390625" style="1" customWidth="1"/>
    <col min="11" max="12" width="5.625" style="1" customWidth="1"/>
    <col min="13" max="13" width="7.75390625" style="1" customWidth="1"/>
    <col min="14" max="14" width="3.875" style="1" customWidth="1"/>
    <col min="15" max="15" width="6.375" style="1" customWidth="1"/>
    <col min="16" max="16" width="6.125" style="1" customWidth="1"/>
    <col min="17" max="17" width="6.375" style="1" customWidth="1"/>
    <col min="18" max="18" width="7.25390625" style="1" customWidth="1"/>
    <col min="19" max="20" width="7.75390625" style="1" customWidth="1"/>
    <col min="21" max="22" width="2.625" style="1" customWidth="1"/>
    <col min="23" max="23" width="2.875" style="1" customWidth="1"/>
    <col min="24" max="28" width="6.375" style="1" customWidth="1"/>
    <col min="29" max="29" width="7.625" style="1" customWidth="1"/>
    <col min="30" max="32" width="8.25390625" style="1" customWidth="1"/>
    <col min="33" max="16384" width="11.00390625" style="0" customWidth="1"/>
  </cols>
  <sheetData>
    <row r="2" ht="12.75">
      <c r="B2" s="71" t="s">
        <v>83</v>
      </c>
    </row>
    <row r="3" spans="2:5" ht="15.75">
      <c r="B3" s="205">
        <v>37866</v>
      </c>
      <c r="D3" s="204"/>
      <c r="E3" s="1" t="s">
        <v>20</v>
      </c>
    </row>
    <row r="4" spans="1:32" s="12" customFormat="1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s="26" customFormat="1" ht="21" customHeight="1">
      <c r="A5" s="25"/>
      <c r="B5" s="25" t="s">
        <v>37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2" customFormat="1" ht="9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6" s="12" customFormat="1" ht="9.75" customHeight="1">
      <c r="A7" s="13"/>
      <c r="B7" s="112" t="s">
        <v>113</v>
      </c>
      <c r="C7" s="262" t="s">
        <v>93</v>
      </c>
      <c r="D7" s="263"/>
      <c r="E7" s="263"/>
      <c r="F7" s="263"/>
      <c r="G7" s="263"/>
      <c r="H7" s="263"/>
      <c r="I7" s="264"/>
      <c r="J7" s="17" t="s">
        <v>88</v>
      </c>
      <c r="K7" s="13" t="s">
        <v>128</v>
      </c>
      <c r="L7" s="211"/>
      <c r="M7" s="13" t="s">
        <v>88</v>
      </c>
      <c r="N7" s="13" t="s">
        <v>9</v>
      </c>
      <c r="O7" s="18"/>
      <c r="P7" s="14"/>
      <c r="Q7" s="116" t="s">
        <v>51</v>
      </c>
      <c r="R7" s="117"/>
      <c r="S7" s="14" t="s">
        <v>61</v>
      </c>
      <c r="T7" s="14" t="s">
        <v>62</v>
      </c>
      <c r="U7" s="54" t="s">
        <v>54</v>
      </c>
      <c r="V7" s="55"/>
      <c r="W7" s="56"/>
      <c r="X7" s="14" t="s">
        <v>63</v>
      </c>
      <c r="Y7" s="18" t="s">
        <v>57</v>
      </c>
      <c r="Z7" s="127" t="s">
        <v>56</v>
      </c>
      <c r="AA7" s="144"/>
      <c r="AB7" s="127" t="s">
        <v>85</v>
      </c>
      <c r="AC7" s="150"/>
      <c r="AD7" s="172" t="s">
        <v>1</v>
      </c>
      <c r="AE7" s="173" t="s">
        <v>1</v>
      </c>
      <c r="AF7" s="14" t="s">
        <v>71</v>
      </c>
      <c r="AG7" s="11"/>
      <c r="AH7" s="11"/>
      <c r="AI7" s="11"/>
      <c r="AJ7" s="11"/>
    </row>
    <row r="8" spans="1:36" s="12" customFormat="1" ht="9.75" customHeight="1">
      <c r="A8" s="15"/>
      <c r="B8" s="113" t="s">
        <v>114</v>
      </c>
      <c r="C8" s="19" t="s">
        <v>111</v>
      </c>
      <c r="D8" s="20"/>
      <c r="E8" s="19" t="s">
        <v>112</v>
      </c>
      <c r="F8" s="20"/>
      <c r="G8" s="21" t="s">
        <v>3</v>
      </c>
      <c r="H8" s="22"/>
      <c r="I8" s="21" t="s">
        <v>104</v>
      </c>
      <c r="J8" s="114" t="s">
        <v>89</v>
      </c>
      <c r="K8" s="38" t="s">
        <v>127</v>
      </c>
      <c r="L8" s="212"/>
      <c r="M8" s="38" t="s">
        <v>60</v>
      </c>
      <c r="N8" s="38" t="s">
        <v>94</v>
      </c>
      <c r="O8" s="21"/>
      <c r="P8" s="22"/>
      <c r="Q8" s="119" t="s">
        <v>52</v>
      </c>
      <c r="R8" s="118"/>
      <c r="S8" s="51"/>
      <c r="T8" s="51"/>
      <c r="U8" s="38"/>
      <c r="V8" s="21"/>
      <c r="W8" s="22"/>
      <c r="X8" s="51"/>
      <c r="Y8" s="120"/>
      <c r="Z8" s="128" t="s">
        <v>99</v>
      </c>
      <c r="AA8" s="21" t="s">
        <v>64</v>
      </c>
      <c r="AB8" s="151" t="s">
        <v>99</v>
      </c>
      <c r="AC8" s="152" t="s">
        <v>64</v>
      </c>
      <c r="AD8" s="151" t="s">
        <v>2</v>
      </c>
      <c r="AE8" s="152" t="s">
        <v>2</v>
      </c>
      <c r="AF8" s="51" t="s">
        <v>72</v>
      </c>
      <c r="AG8" s="11"/>
      <c r="AH8" s="11"/>
      <c r="AI8" s="11"/>
      <c r="AJ8" s="11"/>
    </row>
    <row r="9" spans="1:36" s="12" customFormat="1" ht="9.75" customHeight="1">
      <c r="A9" s="15"/>
      <c r="B9" s="28"/>
      <c r="C9" s="72" t="s">
        <v>115</v>
      </c>
      <c r="D9" s="72" t="s">
        <v>116</v>
      </c>
      <c r="E9" s="73" t="s">
        <v>115</v>
      </c>
      <c r="F9" s="73" t="s">
        <v>116</v>
      </c>
      <c r="G9" s="75" t="s">
        <v>115</v>
      </c>
      <c r="H9" s="75" t="s">
        <v>116</v>
      </c>
      <c r="I9" s="76" t="s">
        <v>105</v>
      </c>
      <c r="J9" s="76" t="s">
        <v>70</v>
      </c>
      <c r="K9" s="75" t="s">
        <v>115</v>
      </c>
      <c r="L9" s="75" t="s">
        <v>96</v>
      </c>
      <c r="M9" s="75" t="s">
        <v>70</v>
      </c>
      <c r="N9" s="75" t="s">
        <v>95</v>
      </c>
      <c r="O9" s="75" t="s">
        <v>91</v>
      </c>
      <c r="P9" s="75" t="s">
        <v>116</v>
      </c>
      <c r="Q9" s="75" t="s">
        <v>115</v>
      </c>
      <c r="R9" s="40" t="s">
        <v>96</v>
      </c>
      <c r="S9" s="40" t="s">
        <v>90</v>
      </c>
      <c r="T9" s="40" t="s">
        <v>91</v>
      </c>
      <c r="U9" s="74" t="s">
        <v>67</v>
      </c>
      <c r="V9" s="74" t="s">
        <v>68</v>
      </c>
      <c r="W9" s="74" t="s">
        <v>69</v>
      </c>
      <c r="X9" s="41" t="s">
        <v>66</v>
      </c>
      <c r="Y9" s="121" t="s">
        <v>65</v>
      </c>
      <c r="Z9" s="129"/>
      <c r="AA9" s="145" t="s">
        <v>102</v>
      </c>
      <c r="AB9" s="129"/>
      <c r="AC9" s="153" t="s">
        <v>19</v>
      </c>
      <c r="AD9" s="174" t="s">
        <v>115</v>
      </c>
      <c r="AE9" s="175" t="s">
        <v>116</v>
      </c>
      <c r="AF9" s="165" t="s">
        <v>73</v>
      </c>
      <c r="AG9" s="11"/>
      <c r="AH9" s="11"/>
      <c r="AI9" s="11"/>
      <c r="AJ9" s="11"/>
    </row>
    <row r="10" spans="1:36" s="12" customFormat="1" ht="9.75" customHeight="1">
      <c r="A10" s="15"/>
      <c r="B10" s="77" t="s">
        <v>87</v>
      </c>
      <c r="C10" s="238" t="s">
        <v>86</v>
      </c>
      <c r="D10" s="219"/>
      <c r="E10" s="238" t="s">
        <v>86</v>
      </c>
      <c r="F10" s="219"/>
      <c r="G10" s="238" t="s">
        <v>86</v>
      </c>
      <c r="H10" s="219"/>
      <c r="I10" s="236" t="s">
        <v>85</v>
      </c>
      <c r="J10" s="236" t="s">
        <v>85</v>
      </c>
      <c r="K10" s="246" t="s">
        <v>92</v>
      </c>
      <c r="L10" s="247"/>
      <c r="M10" s="256" t="s">
        <v>97</v>
      </c>
      <c r="N10" s="238" t="s">
        <v>86</v>
      </c>
      <c r="O10" s="239"/>
      <c r="P10" s="240"/>
      <c r="Q10" s="241" t="s">
        <v>86</v>
      </c>
      <c r="R10" s="240"/>
      <c r="S10" s="258" t="s">
        <v>98</v>
      </c>
      <c r="T10" s="258" t="s">
        <v>98</v>
      </c>
      <c r="U10" s="259" t="s">
        <v>97</v>
      </c>
      <c r="V10" s="260"/>
      <c r="W10" s="247"/>
      <c r="X10" s="258" t="s">
        <v>98</v>
      </c>
      <c r="Y10" s="253" t="s">
        <v>98</v>
      </c>
      <c r="Z10" s="130"/>
      <c r="AA10" s="146" t="s">
        <v>103</v>
      </c>
      <c r="AB10" s="130"/>
      <c r="AC10" s="154" t="s">
        <v>100</v>
      </c>
      <c r="AD10" s="176"/>
      <c r="AE10" s="177"/>
      <c r="AF10" s="165"/>
      <c r="AG10" s="11"/>
      <c r="AH10" s="11"/>
      <c r="AI10" s="11"/>
      <c r="AJ10" s="11"/>
    </row>
    <row r="11" spans="1:36" s="12" customFormat="1" ht="9.75" customHeight="1" thickBot="1">
      <c r="A11" s="15"/>
      <c r="B11" s="78" t="s">
        <v>87</v>
      </c>
      <c r="C11" s="220" t="s">
        <v>85</v>
      </c>
      <c r="D11" s="214"/>
      <c r="E11" s="220" t="s">
        <v>85</v>
      </c>
      <c r="F11" s="214"/>
      <c r="G11" s="220" t="s">
        <v>85</v>
      </c>
      <c r="H11" s="214"/>
      <c r="I11" s="237"/>
      <c r="J11" s="237"/>
      <c r="K11" s="248"/>
      <c r="L11" s="249"/>
      <c r="M11" s="257"/>
      <c r="N11" s="242" t="s">
        <v>85</v>
      </c>
      <c r="O11" s="243"/>
      <c r="P11" s="115" t="s">
        <v>92</v>
      </c>
      <c r="Q11" s="244" t="s">
        <v>92</v>
      </c>
      <c r="R11" s="245"/>
      <c r="S11" s="257"/>
      <c r="T11" s="257"/>
      <c r="U11" s="248"/>
      <c r="V11" s="261"/>
      <c r="W11" s="249"/>
      <c r="X11" s="257"/>
      <c r="Y11" s="254"/>
      <c r="Z11" s="130" t="s">
        <v>100</v>
      </c>
      <c r="AA11" s="147" t="s">
        <v>101</v>
      </c>
      <c r="AB11" s="130" t="s">
        <v>100</v>
      </c>
      <c r="AC11" s="154" t="s">
        <v>101</v>
      </c>
      <c r="AD11" s="178"/>
      <c r="AE11" s="179"/>
      <c r="AF11" s="165"/>
      <c r="AG11" s="11"/>
      <c r="AH11" s="11"/>
      <c r="AI11" s="11"/>
      <c r="AJ11" s="11"/>
    </row>
    <row r="12" spans="1:36" s="12" customFormat="1" ht="9.75" customHeight="1" thickTop="1">
      <c r="A12" s="79">
        <v>1</v>
      </c>
      <c r="B12" s="80" t="s">
        <v>117</v>
      </c>
      <c r="C12" s="81">
        <v>13</v>
      </c>
      <c r="D12" s="81">
        <v>3</v>
      </c>
      <c r="E12" s="82">
        <v>9</v>
      </c>
      <c r="F12" s="83">
        <v>4</v>
      </c>
      <c r="G12" s="82">
        <v>12</v>
      </c>
      <c r="H12" s="82">
        <v>2</v>
      </c>
      <c r="I12" s="82">
        <v>1</v>
      </c>
      <c r="J12" s="255">
        <v>1</v>
      </c>
      <c r="K12" s="255">
        <v>1</v>
      </c>
      <c r="L12" s="255">
        <v>1</v>
      </c>
      <c r="M12" s="197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131">
        <f>((C12*0.96^2+D12*0.44^2)+(E12*0.94^2+F12*0.94^2)+(G12*0.96^2+H12*0.6^2))</f>
        <v>35.827600000000004</v>
      </c>
      <c r="AA12" s="148">
        <f>(((C12*0.96^2+D12*0.44^2)+(E12*0.94^2+F12*0.94^2)+(G12*0.96^2+H12*0.6^2))/50)*100</f>
        <v>71.65520000000001</v>
      </c>
      <c r="AB12" s="218">
        <f>(C12+C13)*1.2^2+(D12+D13)*1.15^2+(E12+E13)*1.2^2+(F12+F13)*1.15^2+(G12+G13)*1.2^2+(H12+H13)*0.75^2+(I12+I13)*1.2^2+J12*1.4^2+K12*1.4^2+L12*1.2^2</f>
        <v>126.00499999999997</v>
      </c>
      <c r="AC12" s="251">
        <f>(((C12+C13)*1.2^2+(D12+D13)*1.15^2+(E12+E13)*1.2^2+(F12+F13)*1.15^2+(G12+G13)*1.2^2+(H12+H13)*0.75^2+(I12+I13)*1.2^2+J12*1.4^2+K12*1.4^2+L12*1.2^2)/$AC$9)*100</f>
        <v>84.0033333333333</v>
      </c>
      <c r="AD12" s="180">
        <f>C12+E12+G12</f>
        <v>34</v>
      </c>
      <c r="AE12" s="181">
        <f>D12+F12+H12</f>
        <v>9</v>
      </c>
      <c r="AF12" s="166"/>
      <c r="AG12" s="11"/>
      <c r="AH12" s="11"/>
      <c r="AI12" s="11"/>
      <c r="AJ12" s="11"/>
    </row>
    <row r="13" spans="1:36" s="12" customFormat="1" ht="9.75" customHeight="1">
      <c r="A13" s="84">
        <v>2</v>
      </c>
      <c r="B13" s="85" t="s">
        <v>118</v>
      </c>
      <c r="C13" s="86">
        <v>13</v>
      </c>
      <c r="D13" s="86">
        <v>2</v>
      </c>
      <c r="E13" s="87">
        <v>9</v>
      </c>
      <c r="F13" s="88">
        <v>0</v>
      </c>
      <c r="G13" s="87">
        <v>14</v>
      </c>
      <c r="H13" s="87">
        <v>7</v>
      </c>
      <c r="I13" s="89">
        <v>1</v>
      </c>
      <c r="J13" s="217"/>
      <c r="K13" s="217"/>
      <c r="L13" s="217"/>
      <c r="M13" s="141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122"/>
      <c r="Z13" s="135">
        <f aca="true" t="shared" si="0" ref="Z13:Z43">((C13*0.96^2+D13*0.44^2)+(E13*0.94^2+F13*0.94^2)+(G13*0.96^2+H13*0.6^2))</f>
        <v>35.7428</v>
      </c>
      <c r="AA13" s="149">
        <f aca="true" t="shared" si="1" ref="AA13:AA43">(((C13*0.96^2+D13*0.44^2)+(E13*0.94^2+F13*0.94^2)+(G13*0.96^2+H13*0.6^2))/50)*100</f>
        <v>71.4856</v>
      </c>
      <c r="AB13" s="250"/>
      <c r="AC13" s="252"/>
      <c r="AD13" s="182">
        <f aca="true" t="shared" si="2" ref="AD13:AD43">C13+E13+G13</f>
        <v>36</v>
      </c>
      <c r="AE13" s="183">
        <f aca="true" t="shared" si="3" ref="AE13:AE43">D13+F13+H13</f>
        <v>9</v>
      </c>
      <c r="AF13" s="167" t="s">
        <v>119</v>
      </c>
      <c r="AG13" s="11"/>
      <c r="AH13" s="11"/>
      <c r="AI13" s="11"/>
      <c r="AJ13" s="11"/>
    </row>
    <row r="14" spans="1:36" s="12" customFormat="1" ht="9.75" customHeight="1">
      <c r="A14" s="84">
        <v>3</v>
      </c>
      <c r="B14" s="85" t="s">
        <v>120</v>
      </c>
      <c r="C14" s="86">
        <v>13</v>
      </c>
      <c r="D14" s="86">
        <v>0</v>
      </c>
      <c r="E14" s="87">
        <v>7</v>
      </c>
      <c r="F14" s="88">
        <v>4</v>
      </c>
      <c r="G14" s="87">
        <v>15</v>
      </c>
      <c r="H14" s="87">
        <v>4</v>
      </c>
      <c r="I14" s="89">
        <v>1</v>
      </c>
      <c r="J14" s="227">
        <v>1</v>
      </c>
      <c r="K14" s="227">
        <v>1</v>
      </c>
      <c r="L14" s="227">
        <v>1</v>
      </c>
      <c r="M14" s="37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122"/>
      <c r="Z14" s="135">
        <f t="shared" si="0"/>
        <v>36.9644</v>
      </c>
      <c r="AA14" s="149">
        <f t="shared" si="1"/>
        <v>73.9288</v>
      </c>
      <c r="AB14" s="215">
        <f>(C14+C15)*1.2^2+(D14+D15)*1.15^2+(E14+E15)*1.2^2+(F14+F15)*1.15^2+(G14+G15)*1.2^2+(H14+H15)*0.75^2+(I14+I15)*1.2^2+J14*1.4^2+K14*1.4^2+L14*1.2^2+(11)*1.2^2-(1)*1.15^2</f>
        <v>139.31749999999997</v>
      </c>
      <c r="AC14" s="234">
        <f>(((C14+C15)*1.2^2+(D14+D15)*1.15^2+(E14+E15)*1.2^2+(F14+F15)*1.15^2+(G14+G15)*1.2^2+(H14+H15)*0.75^2+(I14+I15)*1.2^2+J14*1.4^2+K14*1.4^2+L14*1.2^2+(11)*1.2^2-(1)*1.15^2)/$AC$9)*100</f>
        <v>92.8783333333333</v>
      </c>
      <c r="AD14" s="182">
        <f t="shared" si="2"/>
        <v>35</v>
      </c>
      <c r="AE14" s="183">
        <f t="shared" si="3"/>
        <v>8</v>
      </c>
      <c r="AF14" s="168"/>
      <c r="AG14" s="11"/>
      <c r="AH14" s="11"/>
      <c r="AI14" s="11"/>
      <c r="AJ14" s="11"/>
    </row>
    <row r="15" spans="1:36" s="12" customFormat="1" ht="9.75" customHeight="1">
      <c r="A15" s="84">
        <v>4</v>
      </c>
      <c r="B15" s="85" t="s">
        <v>121</v>
      </c>
      <c r="C15" s="86">
        <v>10</v>
      </c>
      <c r="D15" s="86">
        <v>3</v>
      </c>
      <c r="E15" s="87">
        <v>10</v>
      </c>
      <c r="F15" s="88">
        <v>0</v>
      </c>
      <c r="G15" s="87">
        <v>16</v>
      </c>
      <c r="H15" s="87">
        <v>5</v>
      </c>
      <c r="I15" s="89">
        <v>1</v>
      </c>
      <c r="J15" s="217"/>
      <c r="K15" s="217"/>
      <c r="L15" s="217"/>
      <c r="M15" s="141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122"/>
      <c r="Z15" s="135">
        <f t="shared" si="0"/>
        <v>35.178399999999996</v>
      </c>
      <c r="AA15" s="149">
        <f t="shared" si="1"/>
        <v>70.35679999999999</v>
      </c>
      <c r="AB15" s="216"/>
      <c r="AC15" s="235"/>
      <c r="AD15" s="182">
        <f t="shared" si="2"/>
        <v>36</v>
      </c>
      <c r="AE15" s="183">
        <f t="shared" si="3"/>
        <v>8</v>
      </c>
      <c r="AF15" s="167" t="s">
        <v>119</v>
      </c>
      <c r="AG15" s="11"/>
      <c r="AH15" s="11"/>
      <c r="AI15" s="11"/>
      <c r="AJ15" s="11"/>
    </row>
    <row r="16" spans="1:36" s="12" customFormat="1" ht="9.75" customHeight="1">
      <c r="A16" s="84">
        <v>5</v>
      </c>
      <c r="B16" s="85" t="s">
        <v>122</v>
      </c>
      <c r="C16" s="86">
        <v>11</v>
      </c>
      <c r="D16" s="86">
        <v>0</v>
      </c>
      <c r="E16" s="87">
        <v>5</v>
      </c>
      <c r="F16" s="88">
        <v>1</v>
      </c>
      <c r="G16" s="87">
        <v>18</v>
      </c>
      <c r="H16" s="87">
        <v>0</v>
      </c>
      <c r="I16" s="89">
        <v>1</v>
      </c>
      <c r="J16" s="227">
        <v>1</v>
      </c>
      <c r="K16" s="227">
        <v>1</v>
      </c>
      <c r="L16" s="227">
        <v>1</v>
      </c>
      <c r="M16" s="37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122"/>
      <c r="Z16" s="135">
        <f t="shared" si="0"/>
        <v>32.028</v>
      </c>
      <c r="AA16" s="149">
        <f t="shared" si="1"/>
        <v>64.056</v>
      </c>
      <c r="AB16" s="215">
        <f>(C16+C17)*1.2^2+(D16+D17)*1.15^2+(E16+E17)*1.2^2+(F16+F17)*1.15^2+(G16+G17)*1.2^2+(H16+H17)*0.75^2+(I16+I17)*1.2^2+J16*1.4^2+K16*1.4^2+L16*1.2^2-(11)*1.2^2+(1)*1.15^2</f>
        <v>98.13749999999997</v>
      </c>
      <c r="AC16" s="234">
        <f>(((C16+C17)*1.2^2+(D16+D17)*1.15^2+(E16+E17)*1.2^2+(F16+F17)*1.15^2+(G16+G17)*1.2^2+(H16+H17)*0.75^2+(I16+I17)*1.2^2+J16*1.4^2+K16*1.4^2+L16*1.2^2-(11)*1.2^2+(1)*1.15^2)/$AC$9)*100</f>
        <v>65.42499999999998</v>
      </c>
      <c r="AD16" s="182">
        <f t="shared" si="2"/>
        <v>34</v>
      </c>
      <c r="AE16" s="183">
        <f t="shared" si="3"/>
        <v>1</v>
      </c>
      <c r="AF16" s="168"/>
      <c r="AG16" s="11"/>
      <c r="AH16" s="11"/>
      <c r="AI16" s="11"/>
      <c r="AJ16" s="11"/>
    </row>
    <row r="17" spans="1:36" s="12" customFormat="1" ht="9.75" customHeight="1">
      <c r="A17" s="84">
        <v>6</v>
      </c>
      <c r="B17" s="85" t="s">
        <v>123</v>
      </c>
      <c r="C17" s="86">
        <v>12</v>
      </c>
      <c r="D17" s="86">
        <v>2</v>
      </c>
      <c r="E17" s="87">
        <v>9</v>
      </c>
      <c r="F17" s="88">
        <v>3</v>
      </c>
      <c r="G17" s="87">
        <v>12</v>
      </c>
      <c r="H17" s="87">
        <v>0</v>
      </c>
      <c r="I17" s="89">
        <v>1</v>
      </c>
      <c r="J17" s="217"/>
      <c r="K17" s="217"/>
      <c r="L17" s="217"/>
      <c r="M17" s="141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122"/>
      <c r="Z17" s="135">
        <f t="shared" si="0"/>
        <v>33.1088</v>
      </c>
      <c r="AA17" s="149">
        <f t="shared" si="1"/>
        <v>66.2176</v>
      </c>
      <c r="AB17" s="216"/>
      <c r="AC17" s="235"/>
      <c r="AD17" s="182">
        <f t="shared" si="2"/>
        <v>33</v>
      </c>
      <c r="AE17" s="183">
        <f t="shared" si="3"/>
        <v>5</v>
      </c>
      <c r="AF17" s="167" t="s">
        <v>124</v>
      </c>
      <c r="AG17" s="11"/>
      <c r="AH17" s="11"/>
      <c r="AI17" s="11"/>
      <c r="AJ17" s="11"/>
    </row>
    <row r="18" spans="1:36" s="12" customFormat="1" ht="9.75" customHeight="1">
      <c r="A18" s="84">
        <v>7</v>
      </c>
      <c r="B18" s="85" t="s">
        <v>125</v>
      </c>
      <c r="C18" s="86">
        <v>13</v>
      </c>
      <c r="D18" s="86">
        <v>3</v>
      </c>
      <c r="E18" s="87">
        <v>10</v>
      </c>
      <c r="F18" s="88">
        <v>2</v>
      </c>
      <c r="G18" s="87">
        <v>9</v>
      </c>
      <c r="H18" s="87">
        <v>0</v>
      </c>
      <c r="I18" s="89">
        <v>1</v>
      </c>
      <c r="J18" s="89">
        <v>1</v>
      </c>
      <c r="K18" s="89">
        <v>1</v>
      </c>
      <c r="L18" s="89">
        <v>1</v>
      </c>
      <c r="M18" s="89">
        <v>1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122">
        <v>30</v>
      </c>
      <c r="Z18" s="135">
        <f>((C18*0.96^2+D18*0.44^2)+(E18*0.94^2+F18*0.94^2)+(G18*0.96^2+H18*0.6^2)+(Y18/10)*1^2+M18*1.2^2)</f>
        <v>35.89919999999999</v>
      </c>
      <c r="AA18" s="149">
        <f>(((C18*0.96^2+D18*0.44^2)+(E18*0.94^2+F18*0.94^2)+(G18*0.96^2+H18*0.6^2)+(Y18/10)*1^2+M18*1.2^2)/50)*100</f>
        <v>71.79839999999999</v>
      </c>
      <c r="AB18" s="155">
        <f>C18*1.2^2+D18*1.15^2+E18*1.2^2+F18*1.15^2+G18*1.2^2+H18*0.75^2+I18*1.2^2+J18*1.4^2+M18*1.4^2+K18*1.4^2+L18*1.2^2</f>
        <v>61.4525</v>
      </c>
      <c r="AC18" s="156">
        <f>((C18*1.2^2+D18*1.15^2+E18*1.2^2+F18*1.15^2+G18*1.2^2+H18*0.75^2+I18*1.2^2+J18*1.4^2+M18*1.4^2+K18*1.4^2+L18*1.2^2)/($AC$9/2))*100</f>
        <v>81.93666666666667</v>
      </c>
      <c r="AD18" s="182">
        <f t="shared" si="2"/>
        <v>32</v>
      </c>
      <c r="AE18" s="183">
        <f t="shared" si="3"/>
        <v>5</v>
      </c>
      <c r="AF18" s="169" t="s">
        <v>124</v>
      </c>
      <c r="AG18" s="11"/>
      <c r="AH18" s="11"/>
      <c r="AI18" s="11"/>
      <c r="AJ18" s="11"/>
    </row>
    <row r="19" spans="1:36" s="12" customFormat="1" ht="9.75" customHeight="1">
      <c r="A19" s="84">
        <v>8</v>
      </c>
      <c r="B19" s="90" t="s">
        <v>5</v>
      </c>
      <c r="C19" s="91" t="s">
        <v>110</v>
      </c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138"/>
      <c r="AA19" s="139"/>
      <c r="AB19" s="157"/>
      <c r="AC19" s="158"/>
      <c r="AD19" s="184"/>
      <c r="AE19" s="185"/>
      <c r="AF19" s="170"/>
      <c r="AG19" s="11"/>
      <c r="AH19" s="11"/>
      <c r="AI19" s="11"/>
      <c r="AJ19" s="11"/>
    </row>
    <row r="20" spans="1:36" s="12" customFormat="1" ht="9.75" customHeight="1">
      <c r="A20" s="84">
        <v>9</v>
      </c>
      <c r="B20" s="90" t="s">
        <v>6</v>
      </c>
      <c r="C20" s="95"/>
      <c r="D20" s="95"/>
      <c r="E20" s="90"/>
      <c r="F20" s="96"/>
      <c r="G20" s="90"/>
      <c r="H20" s="90"/>
      <c r="I20" s="97"/>
      <c r="J20" s="198"/>
      <c r="K20" s="35"/>
      <c r="L20" s="35"/>
      <c r="M20" s="35"/>
      <c r="N20" s="97">
        <v>4</v>
      </c>
      <c r="O20" s="97">
        <v>28</v>
      </c>
      <c r="P20" s="97">
        <v>4</v>
      </c>
      <c r="Q20" s="97">
        <v>3</v>
      </c>
      <c r="R20" s="97">
        <v>3</v>
      </c>
      <c r="S20" s="97"/>
      <c r="T20" s="97"/>
      <c r="U20" s="97">
        <v>1</v>
      </c>
      <c r="V20" s="97">
        <v>4</v>
      </c>
      <c r="W20" s="97">
        <v>7</v>
      </c>
      <c r="X20" s="97">
        <v>2</v>
      </c>
      <c r="Y20" s="123"/>
      <c r="Z20" s="132">
        <f>((N20*1.2^2+O20*1.2^2+P20*0.82^2)+(Q20*1.45^2+R20*1.44^2)+(U20*0.79^2+V20*0.79^2+(W20/7)*0.9^2)+X20*1.2^2)</f>
        <v>68.10839999999999</v>
      </c>
      <c r="AA20" s="137">
        <f>(((N20*1.2^2+O20*1.2^2+P20*0.82^2)+(Q20*1.45^2+R20*1.44^2)+(U20*0.79^2+V20*0.79^2+(W20/7)*0.9^2)+X20*1.2^2)/90)*100</f>
        <v>75.67599999999999</v>
      </c>
      <c r="AB20" s="138">
        <f>(N20*1.2^2+O20*1.28^2+P20*1.15^2)+(Q20*1.45^2+R20*1.44^2)+(U20*0.79^2+V20*0.79^2+(W20/7)*0.9^2)+X20*1.4^2</f>
        <v>77.30399999999999</v>
      </c>
      <c r="AC20" s="159">
        <f>(((N20*1.2^2+O20*1.28^2+P20*1.15^2)+(Q20*1.45^2+R20*1.44^2)+(U20*0.79^2+V20*0.79^2+(W20/7)*0.9^2)+X20*1.4^2)/($AC$9/2))*100</f>
        <v>103.07199999999999</v>
      </c>
      <c r="AD20" s="184">
        <f>SUM(N20:R20)</f>
        <v>42</v>
      </c>
      <c r="AE20" s="186"/>
      <c r="AF20" s="171" t="s">
        <v>146</v>
      </c>
      <c r="AG20" s="11"/>
      <c r="AH20" s="11"/>
      <c r="AI20" s="11"/>
      <c r="AJ20" s="11"/>
    </row>
    <row r="21" spans="1:36" s="12" customFormat="1" ht="9.75" customHeight="1">
      <c r="A21" s="84">
        <v>10</v>
      </c>
      <c r="B21" s="85" t="s">
        <v>126</v>
      </c>
      <c r="C21" s="86">
        <v>13</v>
      </c>
      <c r="D21" s="86">
        <v>2</v>
      </c>
      <c r="E21" s="87">
        <v>11</v>
      </c>
      <c r="F21" s="88">
        <v>2</v>
      </c>
      <c r="G21" s="87">
        <v>12</v>
      </c>
      <c r="H21" s="87">
        <v>4</v>
      </c>
      <c r="I21" s="89">
        <v>1</v>
      </c>
      <c r="J21" s="32">
        <v>1</v>
      </c>
      <c r="K21" s="37">
        <v>1</v>
      </c>
      <c r="L21" s="37">
        <v>1</v>
      </c>
      <c r="M21" s="37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122"/>
      <c r="Z21" s="135">
        <f t="shared" si="0"/>
        <v>36.354</v>
      </c>
      <c r="AA21" s="149">
        <f t="shared" si="1"/>
        <v>72.708</v>
      </c>
      <c r="AB21" s="160">
        <f>C21*1.2^2+D21*1.15^2+E21*1.2^2+F21*1.15^2+G21*1.2^2+H21*0.75^2+I21*1.2^2+J21*1.4^2+K21*1.4^2+L21*1.2^2</f>
        <v>66.17999999999999</v>
      </c>
      <c r="AC21" s="156">
        <f>((C21*1.2^2+D21*1.15^2+E21*1.2^2+F21*1.15^2+G21*1.2^2+H21*0.75^2+I21*1.2^2+J21*1.4^2+K21*1.4^2+L21*1.2^2)/($AC$9/2))*100</f>
        <v>88.23999999999998</v>
      </c>
      <c r="AD21" s="182">
        <f t="shared" si="2"/>
        <v>36</v>
      </c>
      <c r="AE21" s="183">
        <f t="shared" si="3"/>
        <v>8</v>
      </c>
      <c r="AF21" s="169" t="s">
        <v>124</v>
      </c>
      <c r="AG21" s="11"/>
      <c r="AH21" s="11"/>
      <c r="AI21" s="11"/>
      <c r="AJ21" s="11"/>
    </row>
    <row r="22" spans="1:36" s="12" customFormat="1" ht="9.75" customHeight="1">
      <c r="A22" s="84">
        <v>11</v>
      </c>
      <c r="B22" s="85" t="s">
        <v>133</v>
      </c>
      <c r="C22" s="86">
        <v>13</v>
      </c>
      <c r="D22" s="86">
        <v>0</v>
      </c>
      <c r="E22" s="87">
        <v>7</v>
      </c>
      <c r="F22" s="88">
        <v>1</v>
      </c>
      <c r="G22" s="87">
        <v>16</v>
      </c>
      <c r="H22" s="87">
        <v>5</v>
      </c>
      <c r="I22" s="89">
        <v>1</v>
      </c>
      <c r="J22" s="227">
        <v>1</v>
      </c>
      <c r="K22" s="227">
        <v>1</v>
      </c>
      <c r="L22" s="227">
        <v>1</v>
      </c>
      <c r="M22" s="32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122"/>
      <c r="Z22" s="135">
        <f t="shared" si="0"/>
        <v>35.5952</v>
      </c>
      <c r="AA22" s="149">
        <f t="shared" si="1"/>
        <v>71.1904</v>
      </c>
      <c r="AB22" s="221">
        <f>(C22+C23)*1.2^2+(D22+D23)*1.15^2+(E22+E23)*1.2^2+(F22+F23)*1.15^2+(G22+G23)*1.2^2+(H22+H23)*0.75^2+(I22+I23)*1.2^2+J22*1.4^2+K22*1.4^2+L22*1.2^2</f>
        <v>117.25999999999998</v>
      </c>
      <c r="AC22" s="223">
        <f>(((C22+C23)*1.2^2+(D22+D23)*1.15^2+(E22+E23)*1.2^2+(F22+F23)*1.15^2+(G22+G23)*1.2^2+(H22+H23)*0.75^2+(I22+I23)*1.2^2+J22*1.4^2+K22*1.4^2+L22*1.2^2)/$AC$9)*100</f>
        <v>78.17333333333332</v>
      </c>
      <c r="AD22" s="182">
        <f t="shared" si="2"/>
        <v>36</v>
      </c>
      <c r="AE22" s="183">
        <f t="shared" si="3"/>
        <v>6</v>
      </c>
      <c r="AF22" s="168"/>
      <c r="AG22" s="11"/>
      <c r="AH22" s="11"/>
      <c r="AI22" s="11"/>
      <c r="AJ22" s="11"/>
    </row>
    <row r="23" spans="1:36" s="12" customFormat="1" ht="9.75" customHeight="1">
      <c r="A23" s="84">
        <v>12</v>
      </c>
      <c r="B23" s="85" t="s">
        <v>134</v>
      </c>
      <c r="C23" s="86">
        <v>13</v>
      </c>
      <c r="D23" s="86">
        <v>0</v>
      </c>
      <c r="E23" s="87">
        <v>5</v>
      </c>
      <c r="F23" s="88">
        <v>2</v>
      </c>
      <c r="G23" s="87">
        <v>17</v>
      </c>
      <c r="H23" s="87">
        <v>0</v>
      </c>
      <c r="I23" s="89">
        <v>1</v>
      </c>
      <c r="J23" s="217"/>
      <c r="K23" s="217"/>
      <c r="L23" s="217"/>
      <c r="M23" s="141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122"/>
      <c r="Z23" s="135">
        <f t="shared" si="0"/>
        <v>33.8332</v>
      </c>
      <c r="AA23" s="149">
        <f t="shared" si="1"/>
        <v>67.6664</v>
      </c>
      <c r="AB23" s="222"/>
      <c r="AC23" s="224"/>
      <c r="AD23" s="182">
        <f t="shared" si="2"/>
        <v>35</v>
      </c>
      <c r="AE23" s="183">
        <f t="shared" si="3"/>
        <v>2</v>
      </c>
      <c r="AF23" s="167" t="s">
        <v>124</v>
      </c>
      <c r="AG23" s="11"/>
      <c r="AH23" s="11"/>
      <c r="AI23" s="11"/>
      <c r="AJ23" s="11"/>
    </row>
    <row r="24" spans="1:36" s="12" customFormat="1" ht="9.75" customHeight="1">
      <c r="A24" s="84">
        <v>13</v>
      </c>
      <c r="B24" s="85" t="s">
        <v>135</v>
      </c>
      <c r="C24" s="86">
        <v>12</v>
      </c>
      <c r="D24" s="87">
        <v>3</v>
      </c>
      <c r="E24" s="87">
        <v>12</v>
      </c>
      <c r="F24" s="88">
        <v>2</v>
      </c>
      <c r="G24" s="87">
        <v>12</v>
      </c>
      <c r="H24" s="87">
        <v>0</v>
      </c>
      <c r="I24" s="89">
        <v>1</v>
      </c>
      <c r="J24" s="227">
        <v>1</v>
      </c>
      <c r="K24" s="227">
        <v>1</v>
      </c>
      <c r="L24" s="227">
        <v>1</v>
      </c>
      <c r="M24" s="37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122"/>
      <c r="Z24" s="135">
        <f t="shared" si="0"/>
        <v>35.0696</v>
      </c>
      <c r="AA24" s="149">
        <f t="shared" si="1"/>
        <v>70.1392</v>
      </c>
      <c r="AB24" s="221">
        <f>(C24+C25)*1.2^2+(D24+D25)*1.15^2+(E24+E25)*1.2^2+(F24+F25)*1.15^2+(G24+G25)*1.2^2+(H24+H25)*0.75^2+(I24+I25)*1.2^2+J24*1.4^2+K24*1.4^2+L24*1.2^2</f>
        <v>123.07499999999997</v>
      </c>
      <c r="AC24" s="223">
        <f>(((C24+C25)*1.2^2+(D24+D25)*1.15^2+(E24+E25)*1.2^2+(F24+F25)*1.15^2+(G24+G25)*1.2^2+(H24+H25)*0.75^2+(I24+I25)*1.2^2+J24*1.4^2+K24*1.4^2+L24*1.2^2)/$AC$9)*100</f>
        <v>82.04999999999998</v>
      </c>
      <c r="AD24" s="182">
        <f t="shared" si="2"/>
        <v>36</v>
      </c>
      <c r="AE24" s="183">
        <f t="shared" si="3"/>
        <v>5</v>
      </c>
      <c r="AF24" s="168"/>
      <c r="AG24" s="11"/>
      <c r="AH24" s="11"/>
      <c r="AI24" s="11"/>
      <c r="AJ24" s="11"/>
    </row>
    <row r="25" spans="1:36" s="12" customFormat="1" ht="9.75" customHeight="1">
      <c r="A25" s="84">
        <v>14</v>
      </c>
      <c r="B25" s="85" t="s">
        <v>136</v>
      </c>
      <c r="C25" s="86">
        <v>10</v>
      </c>
      <c r="D25" s="86">
        <v>2</v>
      </c>
      <c r="E25" s="87">
        <v>8</v>
      </c>
      <c r="F25" s="88">
        <v>3</v>
      </c>
      <c r="G25" s="87">
        <v>15</v>
      </c>
      <c r="H25" s="87">
        <v>4</v>
      </c>
      <c r="I25" s="89">
        <v>1</v>
      </c>
      <c r="J25" s="217"/>
      <c r="K25" s="217"/>
      <c r="L25" s="217"/>
      <c r="M25" s="141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122"/>
      <c r="Z25" s="135">
        <f t="shared" si="0"/>
        <v>34.5868</v>
      </c>
      <c r="AA25" s="149">
        <f t="shared" si="1"/>
        <v>69.1736</v>
      </c>
      <c r="AB25" s="222"/>
      <c r="AC25" s="224"/>
      <c r="AD25" s="182">
        <f t="shared" si="2"/>
        <v>33</v>
      </c>
      <c r="AE25" s="183">
        <f t="shared" si="3"/>
        <v>9</v>
      </c>
      <c r="AF25" s="167" t="s">
        <v>137</v>
      </c>
      <c r="AG25" s="11"/>
      <c r="AH25" s="11"/>
      <c r="AI25" s="11"/>
      <c r="AJ25" s="11"/>
    </row>
    <row r="26" spans="1:36" s="12" customFormat="1" ht="9.75" customHeight="1">
      <c r="A26" s="84">
        <v>15</v>
      </c>
      <c r="B26" s="85" t="s">
        <v>138</v>
      </c>
      <c r="C26" s="86">
        <v>13</v>
      </c>
      <c r="D26" s="86">
        <v>0</v>
      </c>
      <c r="E26" s="87">
        <v>9</v>
      </c>
      <c r="F26" s="88">
        <v>3</v>
      </c>
      <c r="G26" s="87">
        <v>12</v>
      </c>
      <c r="H26" s="87">
        <v>5</v>
      </c>
      <c r="I26" s="89">
        <v>1</v>
      </c>
      <c r="J26" s="227">
        <v>1</v>
      </c>
      <c r="K26" s="227">
        <v>1</v>
      </c>
      <c r="L26" s="227">
        <v>1</v>
      </c>
      <c r="M26" s="37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122"/>
      <c r="Z26" s="135">
        <f t="shared" si="0"/>
        <v>35.443200000000004</v>
      </c>
      <c r="AA26" s="149">
        <f t="shared" si="1"/>
        <v>70.88640000000001</v>
      </c>
      <c r="AB26" s="221">
        <f>(C26+C27)*1.2^2+(D26+D27)*1.15^2+(E26+E27)*1.2^2+(F26+F27)*1.15^2+(G26+G27)*1.2^2+(H26+H27)*0.75^2+(I26+I27)*1.2^2+J26*1.4^2+K26*1.4^2+L26*1.2^2</f>
        <v>123.75499999999998</v>
      </c>
      <c r="AC26" s="223">
        <f>(((C26+C27)*1.2^2+(D26+D27)*1.15^2+(E26+E27)*1.2^2+(F26+F27)*1.15^2+(G26+G27)*1.2^2+(H26+H27)*0.75^2+(I26+I27)*1.2^2+J26*1.4^2+K26*1.4^2+L26*1.2^2)/$AC$9)*100</f>
        <v>82.50333333333332</v>
      </c>
      <c r="AD26" s="182">
        <f t="shared" si="2"/>
        <v>34</v>
      </c>
      <c r="AE26" s="183">
        <f t="shared" si="3"/>
        <v>8</v>
      </c>
      <c r="AF26" s="168"/>
      <c r="AG26" s="11"/>
      <c r="AH26" s="11"/>
      <c r="AI26" s="11"/>
      <c r="AJ26" s="11"/>
    </row>
    <row r="27" spans="1:36" s="12" customFormat="1" ht="9.75" customHeight="1">
      <c r="A27" s="84">
        <v>16</v>
      </c>
      <c r="B27" s="85" t="s">
        <v>139</v>
      </c>
      <c r="C27" s="86">
        <v>13</v>
      </c>
      <c r="D27" s="86">
        <v>3</v>
      </c>
      <c r="E27" s="87">
        <v>11</v>
      </c>
      <c r="F27" s="88">
        <v>3</v>
      </c>
      <c r="G27" s="87">
        <v>12</v>
      </c>
      <c r="H27" s="87">
        <v>0</v>
      </c>
      <c r="I27" s="89">
        <v>1</v>
      </c>
      <c r="J27" s="217"/>
      <c r="K27" s="217"/>
      <c r="L27" s="217"/>
      <c r="M27" s="141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122"/>
      <c r="Z27" s="135">
        <f t="shared" si="0"/>
        <v>35.991200000000006</v>
      </c>
      <c r="AA27" s="149">
        <f t="shared" si="1"/>
        <v>71.98240000000001</v>
      </c>
      <c r="AB27" s="222"/>
      <c r="AC27" s="224"/>
      <c r="AD27" s="182">
        <f t="shared" si="2"/>
        <v>36</v>
      </c>
      <c r="AE27" s="183">
        <f t="shared" si="3"/>
        <v>6</v>
      </c>
      <c r="AF27" s="167" t="s">
        <v>137</v>
      </c>
      <c r="AG27" s="11"/>
      <c r="AH27" s="11"/>
      <c r="AI27" s="11"/>
      <c r="AJ27" s="11"/>
    </row>
    <row r="28" spans="1:36" s="12" customFormat="1" ht="9.75" customHeight="1">
      <c r="A28" s="84">
        <v>17</v>
      </c>
      <c r="B28" s="85" t="s">
        <v>140</v>
      </c>
      <c r="C28" s="86">
        <v>13</v>
      </c>
      <c r="D28" s="87">
        <v>3</v>
      </c>
      <c r="E28" s="87">
        <v>9</v>
      </c>
      <c r="F28" s="88">
        <v>4</v>
      </c>
      <c r="G28" s="87">
        <v>12</v>
      </c>
      <c r="H28" s="87">
        <v>0</v>
      </c>
      <c r="I28" s="89">
        <v>1</v>
      </c>
      <c r="J28" s="227">
        <v>1</v>
      </c>
      <c r="K28" s="227">
        <v>1</v>
      </c>
      <c r="L28" s="227">
        <v>1</v>
      </c>
      <c r="M28" s="37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122"/>
      <c r="Z28" s="135">
        <f t="shared" si="0"/>
        <v>35.107600000000005</v>
      </c>
      <c r="AA28" s="149">
        <f t="shared" si="1"/>
        <v>70.21520000000001</v>
      </c>
      <c r="AB28" s="221">
        <f>(C28+C29)*1.2^2+(D28+D29)*1.15^2+(E28+E29)*1.2^2+(F28+F29)*1.15^2+(G28+G29)*1.2^2+(H28+H29)*0.75^2+(I28+I29)*1.2^2+J28*1.4^2+K28*1.4^2+L28*1.2^2</f>
        <v>120.47999999999999</v>
      </c>
      <c r="AC28" s="223">
        <f>(((C28+C29)*1.2^2+(D28+D29)*1.15^2+(E28+E29)*1.2^2+(F28+F29)*1.15^2+(G28+G29)*1.2^2+(H28+H29)*0.75^2+(I28+I29)*1.2^2+J28*1.4^2+K28*1.4^2+L28*1.2^2)/$AC$9)*100</f>
        <v>80.32</v>
      </c>
      <c r="AD28" s="182">
        <f t="shared" si="2"/>
        <v>34</v>
      </c>
      <c r="AE28" s="183">
        <f t="shared" si="3"/>
        <v>7</v>
      </c>
      <c r="AF28" s="168"/>
      <c r="AG28" s="11"/>
      <c r="AH28" s="11"/>
      <c r="AI28" s="11"/>
      <c r="AJ28" s="11"/>
    </row>
    <row r="29" spans="1:36" s="12" customFormat="1" ht="9.75" customHeight="1">
      <c r="A29" s="84">
        <v>18</v>
      </c>
      <c r="B29" s="85" t="s">
        <v>141</v>
      </c>
      <c r="C29" s="86">
        <v>13</v>
      </c>
      <c r="D29" s="86">
        <v>0</v>
      </c>
      <c r="E29" s="87">
        <v>9</v>
      </c>
      <c r="F29" s="88">
        <v>0</v>
      </c>
      <c r="G29" s="87">
        <v>12</v>
      </c>
      <c r="H29" s="87">
        <v>9</v>
      </c>
      <c r="I29" s="89">
        <v>1</v>
      </c>
      <c r="J29" s="217"/>
      <c r="K29" s="217"/>
      <c r="L29" s="217"/>
      <c r="M29" s="141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122"/>
      <c r="Z29" s="135">
        <f t="shared" si="0"/>
        <v>34.2324</v>
      </c>
      <c r="AA29" s="149">
        <f t="shared" si="1"/>
        <v>68.4648</v>
      </c>
      <c r="AB29" s="222"/>
      <c r="AC29" s="224"/>
      <c r="AD29" s="182">
        <f t="shared" si="2"/>
        <v>34</v>
      </c>
      <c r="AE29" s="183">
        <f t="shared" si="3"/>
        <v>9</v>
      </c>
      <c r="AF29" s="167" t="s">
        <v>137</v>
      </c>
      <c r="AG29" s="11"/>
      <c r="AH29" s="11"/>
      <c r="AI29" s="11"/>
      <c r="AJ29" s="11"/>
    </row>
    <row r="30" spans="1:36" s="12" customFormat="1" ht="9.75" customHeight="1">
      <c r="A30" s="84">
        <v>19</v>
      </c>
      <c r="B30" s="85" t="s">
        <v>142</v>
      </c>
      <c r="C30" s="86">
        <v>10</v>
      </c>
      <c r="D30" s="86">
        <v>2</v>
      </c>
      <c r="E30" s="87">
        <v>7</v>
      </c>
      <c r="F30" s="88">
        <v>4</v>
      </c>
      <c r="G30" s="87">
        <v>17</v>
      </c>
      <c r="H30" s="87">
        <v>0</v>
      </c>
      <c r="I30" s="89">
        <v>1</v>
      </c>
      <c r="J30" s="227">
        <v>1</v>
      </c>
      <c r="K30" s="227">
        <v>1</v>
      </c>
      <c r="L30" s="227">
        <v>1</v>
      </c>
      <c r="M30" s="3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122"/>
      <c r="Z30" s="135">
        <f t="shared" si="0"/>
        <v>34.99</v>
      </c>
      <c r="AA30" s="149">
        <f t="shared" si="1"/>
        <v>69.98</v>
      </c>
      <c r="AB30" s="221">
        <f>(C30+C31)*1.2^2+(D30+D31)*1.15^2+(E30+E31)*1.2^2+(F30+F31)*1.15^2+(G30+G31)*1.2^2+(H30+H31)*0.75^2+(I30+I31)*1.2^2+J30*1.4^2+K30*1.4^2+L30*1.2^2</f>
        <v>120.87499999999999</v>
      </c>
      <c r="AC30" s="223">
        <f>(((C30+C31)*1.2^2+(D30+D31)*1.15^2+(E30+E31)*1.2^2+(F30+F31)*1.15^2+(G30+G31)*1.2^2+(H30+H31)*0.75^2+(I30+I31)*1.2^2+J30*1.4^2+K30*1.4^2+L30*1.2^2)/$AC$9)*100</f>
        <v>80.58333333333333</v>
      </c>
      <c r="AD30" s="182">
        <f t="shared" si="2"/>
        <v>34</v>
      </c>
      <c r="AE30" s="183">
        <f t="shared" si="3"/>
        <v>6</v>
      </c>
      <c r="AF30" s="168"/>
      <c r="AG30" s="11"/>
      <c r="AH30" s="11"/>
      <c r="AI30" s="11"/>
      <c r="AJ30" s="11"/>
    </row>
    <row r="31" spans="1:36" s="12" customFormat="1" ht="9.75" customHeight="1">
      <c r="A31" s="84">
        <v>20</v>
      </c>
      <c r="B31" s="85" t="s">
        <v>143</v>
      </c>
      <c r="C31" s="86">
        <v>10</v>
      </c>
      <c r="D31" s="86">
        <v>3</v>
      </c>
      <c r="E31" s="87">
        <v>10</v>
      </c>
      <c r="F31" s="88">
        <v>0</v>
      </c>
      <c r="G31" s="87">
        <v>14</v>
      </c>
      <c r="H31" s="87">
        <v>5</v>
      </c>
      <c r="I31" s="89">
        <v>1</v>
      </c>
      <c r="J31" s="217"/>
      <c r="K31" s="217"/>
      <c r="L31" s="217"/>
      <c r="M31" s="141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122"/>
      <c r="Z31" s="135">
        <f t="shared" si="0"/>
        <v>33.3352</v>
      </c>
      <c r="AA31" s="149">
        <f t="shared" si="1"/>
        <v>66.6704</v>
      </c>
      <c r="AB31" s="222"/>
      <c r="AC31" s="224"/>
      <c r="AD31" s="182">
        <f t="shared" si="2"/>
        <v>34</v>
      </c>
      <c r="AE31" s="183">
        <f t="shared" si="3"/>
        <v>8</v>
      </c>
      <c r="AF31" s="167" t="s">
        <v>137</v>
      </c>
      <c r="AG31" s="11"/>
      <c r="AH31" s="11"/>
      <c r="AI31" s="11"/>
      <c r="AJ31" s="11"/>
    </row>
    <row r="32" spans="1:36" s="12" customFormat="1" ht="9.75" customHeight="1">
      <c r="A32" s="84">
        <v>21</v>
      </c>
      <c r="B32" s="85" t="s">
        <v>144</v>
      </c>
      <c r="C32" s="86">
        <v>13</v>
      </c>
      <c r="D32" s="86">
        <v>0</v>
      </c>
      <c r="E32" s="87">
        <v>5</v>
      </c>
      <c r="F32" s="88">
        <v>1</v>
      </c>
      <c r="G32" s="87">
        <v>17</v>
      </c>
      <c r="H32" s="87">
        <v>4</v>
      </c>
      <c r="I32" s="89">
        <v>1</v>
      </c>
      <c r="J32" s="227">
        <v>1</v>
      </c>
      <c r="K32" s="227">
        <v>1</v>
      </c>
      <c r="L32" s="227">
        <v>1</v>
      </c>
      <c r="M32" s="37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122"/>
      <c r="Z32" s="135">
        <f t="shared" si="0"/>
        <v>34.3896</v>
      </c>
      <c r="AA32" s="149">
        <f t="shared" si="1"/>
        <v>68.7792</v>
      </c>
      <c r="AB32" s="221">
        <f>(C32+C33)*1.2^2+(D32+D33)*1.15^2+(E32+E33)*1.2^2+(F32+F33)*1.15^2+(G32+G33)*1.2^2+(H32+H33)*0.75^2+(I32+I33)*1.2^2+J32*1.4^2+K32*1.4^2+L32*1.2^2</f>
        <v>115.13999999999997</v>
      </c>
      <c r="AC32" s="223">
        <f>(((C32+C33)*1.2^2+(D32+D33)*1.15^2+(E32+E33)*1.2^2+(F32+F33)*1.15^2+(G32+G33)*1.2^2+(H32+H33)*0.75^2+(I32+I33)*1.2^2+J32*1.4^2+K32*1.4^2+L32*1.2^2)/$AC$9)*100</f>
        <v>76.75999999999999</v>
      </c>
      <c r="AD32" s="182">
        <f t="shared" si="2"/>
        <v>35</v>
      </c>
      <c r="AE32" s="183">
        <f t="shared" si="3"/>
        <v>5</v>
      </c>
      <c r="AF32" s="168"/>
      <c r="AG32" s="11"/>
      <c r="AH32" s="11"/>
      <c r="AI32" s="11"/>
      <c r="AJ32" s="11"/>
    </row>
    <row r="33" spans="1:36" s="12" customFormat="1" ht="9.75" customHeight="1">
      <c r="A33" s="84">
        <v>22</v>
      </c>
      <c r="B33" s="85" t="s">
        <v>145</v>
      </c>
      <c r="C33" s="86">
        <v>13</v>
      </c>
      <c r="D33" s="86">
        <v>0</v>
      </c>
      <c r="E33" s="87">
        <v>9</v>
      </c>
      <c r="F33" s="88">
        <v>3</v>
      </c>
      <c r="G33" s="87">
        <v>12</v>
      </c>
      <c r="H33" s="87">
        <v>0</v>
      </c>
      <c r="I33" s="89">
        <v>1</v>
      </c>
      <c r="J33" s="217"/>
      <c r="K33" s="217"/>
      <c r="L33" s="217"/>
      <c r="M33" s="141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122"/>
      <c r="Z33" s="135">
        <f t="shared" si="0"/>
        <v>33.6432</v>
      </c>
      <c r="AA33" s="149">
        <f t="shared" si="1"/>
        <v>67.2864</v>
      </c>
      <c r="AB33" s="222"/>
      <c r="AC33" s="224"/>
      <c r="AD33" s="182">
        <f t="shared" si="2"/>
        <v>34</v>
      </c>
      <c r="AE33" s="183">
        <f t="shared" si="3"/>
        <v>3</v>
      </c>
      <c r="AF33" s="167" t="s">
        <v>137</v>
      </c>
      <c r="AG33" s="11"/>
      <c r="AH33" s="11"/>
      <c r="AI33" s="11"/>
      <c r="AJ33" s="11"/>
    </row>
    <row r="34" spans="1:36" s="12" customFormat="1" ht="9.75" customHeight="1">
      <c r="A34" s="84">
        <v>23</v>
      </c>
      <c r="B34" s="85" t="s">
        <v>147</v>
      </c>
      <c r="C34" s="86">
        <v>13</v>
      </c>
      <c r="D34" s="86">
        <v>3</v>
      </c>
      <c r="E34" s="87">
        <v>10</v>
      </c>
      <c r="F34" s="88">
        <v>2</v>
      </c>
      <c r="G34" s="87">
        <v>12</v>
      </c>
      <c r="H34" s="87">
        <v>0</v>
      </c>
      <c r="I34" s="89">
        <v>1</v>
      </c>
      <c r="J34" s="89">
        <v>1</v>
      </c>
      <c r="K34" s="89">
        <v>1</v>
      </c>
      <c r="L34" s="89">
        <v>1</v>
      </c>
      <c r="M34" s="89">
        <v>1</v>
      </c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122"/>
      <c r="Z34" s="135">
        <f>((C34*0.96^2+D34*0.44^2)+(E34*0.94^2+F34*0.94^2)+(G34*0.96^2+H34*0.6^2)+M34*1.2^2)</f>
        <v>35.664</v>
      </c>
      <c r="AA34" s="149">
        <f>(((C34*0.96^2+D34*0.44^2)+(E34*0.94^2+F34*0.94^2)+(G34*0.96^2+H34*0.6^2)+M34*1.2^2)/50)*100</f>
        <v>71.328</v>
      </c>
      <c r="AB34" s="160">
        <f>C34*1.2^2+D34*1.15^2+E34*1.2^2+F34*1.15^2+G34*1.2^2+H34*0.75^2+I34*1.2^2+J34*1.4^2+M34*1.4^2+K34*1.4^2+L34*1.2^2</f>
        <v>65.7725</v>
      </c>
      <c r="AC34" s="156">
        <f>((C34*1.2^2+D34*1.15^2+E34*1.2^2+F34*1.15^2+G34*1.2^2+H34*0.75^2+I34*1.2^2+J34*1.4^2+M34*1.4^2+K34*1.4^2+L34*1.2^2)/($AC$9/2))*100</f>
        <v>87.69666666666666</v>
      </c>
      <c r="AD34" s="182">
        <f t="shared" si="2"/>
        <v>35</v>
      </c>
      <c r="AE34" s="183">
        <f t="shared" si="3"/>
        <v>5</v>
      </c>
      <c r="AF34" s="169" t="s">
        <v>137</v>
      </c>
      <c r="AG34" s="11"/>
      <c r="AH34" s="11"/>
      <c r="AI34" s="11"/>
      <c r="AJ34" s="11"/>
    </row>
    <row r="35" spans="1:36" s="12" customFormat="1" ht="9.75" customHeight="1">
      <c r="A35" s="84">
        <v>24</v>
      </c>
      <c r="B35" s="90" t="s">
        <v>7</v>
      </c>
      <c r="C35" s="91" t="s">
        <v>110</v>
      </c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138"/>
      <c r="AA35" s="139"/>
      <c r="AB35" s="161"/>
      <c r="AC35" s="162"/>
      <c r="AD35" s="187"/>
      <c r="AE35" s="186"/>
      <c r="AF35" s="170"/>
      <c r="AG35" s="11"/>
      <c r="AH35" s="11"/>
      <c r="AI35" s="11"/>
      <c r="AJ35" s="11"/>
    </row>
    <row r="36" spans="1:36" s="12" customFormat="1" ht="9.75" customHeight="1">
      <c r="A36" s="84">
        <v>25</v>
      </c>
      <c r="B36" s="90" t="s">
        <v>8</v>
      </c>
      <c r="C36" s="95"/>
      <c r="D36" s="95"/>
      <c r="E36" s="90"/>
      <c r="F36" s="96"/>
      <c r="G36" s="90"/>
      <c r="H36" s="90"/>
      <c r="I36" s="97"/>
      <c r="J36" s="198"/>
      <c r="K36" s="35"/>
      <c r="L36" s="35"/>
      <c r="M36" s="35"/>
      <c r="N36" s="97">
        <v>2</v>
      </c>
      <c r="O36" s="97">
        <v>28</v>
      </c>
      <c r="P36" s="97">
        <v>4</v>
      </c>
      <c r="Q36" s="97">
        <v>3</v>
      </c>
      <c r="R36" s="97">
        <v>4</v>
      </c>
      <c r="S36" s="97">
        <v>3</v>
      </c>
      <c r="T36" s="97">
        <v>1</v>
      </c>
      <c r="U36" s="97"/>
      <c r="V36" s="97"/>
      <c r="W36" s="97"/>
      <c r="X36" s="97">
        <v>1</v>
      </c>
      <c r="Y36" s="123"/>
      <c r="Z36" s="132">
        <f>((N36*1.2^2+O36*1.2^2+P36*0.82^2)+(Q36*1.45^2+R36*1.44^2)+(S36*1.18^2+T36*1.25^2)+X36*1.2^2)</f>
        <v>67.6712</v>
      </c>
      <c r="AA36" s="137">
        <f>((((N36*1.2^2+O36*1.2^2+P36*0.82^2)+(Q36*1.45^2+R36*1.44^2)+(S36*1.18^2+T36*1.25^2)+X36*1.2^2))/90)*100</f>
        <v>75.19022222222222</v>
      </c>
      <c r="AB36" s="163">
        <f>(N36*1.2^2+O36*1.28^2+P36*1.15^2)+(Q36*1.45^2+R36*1.44^2)+(S36*1.18^2+T36*1.25^2)+X36*1.4^2</f>
        <v>76.34679999999999</v>
      </c>
      <c r="AC36" s="164">
        <f>(((N36*1.2^2+O36*1.28^2+P36*1.15^2)+(Q36*1.45^2+R36*1.44^2)+(S36*1.18^2+T36*1.25^2)+X36*1.4^2)/($AC$9/2))*100</f>
        <v>101.79573333333332</v>
      </c>
      <c r="AD36" s="184">
        <f>SUM(N36:R36)</f>
        <v>41</v>
      </c>
      <c r="AE36" s="185"/>
      <c r="AF36" s="171" t="s">
        <v>146</v>
      </c>
      <c r="AG36" s="11"/>
      <c r="AH36" s="11"/>
      <c r="AI36" s="11"/>
      <c r="AJ36" s="11"/>
    </row>
    <row r="37" spans="1:36" s="12" customFormat="1" ht="9.75" customHeight="1">
      <c r="A37" s="84">
        <v>26</v>
      </c>
      <c r="B37" s="85" t="s">
        <v>148</v>
      </c>
      <c r="C37" s="86">
        <v>13</v>
      </c>
      <c r="D37" s="86">
        <v>3</v>
      </c>
      <c r="E37" s="87">
        <v>11</v>
      </c>
      <c r="F37" s="88">
        <v>2</v>
      </c>
      <c r="G37" s="87">
        <v>10</v>
      </c>
      <c r="H37" s="87">
        <v>4</v>
      </c>
      <c r="I37" s="89">
        <v>1</v>
      </c>
      <c r="J37" s="32">
        <v>1</v>
      </c>
      <c r="K37" s="37">
        <v>1</v>
      </c>
      <c r="L37" s="37">
        <v>1</v>
      </c>
      <c r="M37" s="37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122"/>
      <c r="Z37" s="135">
        <f t="shared" si="0"/>
        <v>34.7044</v>
      </c>
      <c r="AA37" s="149">
        <f t="shared" si="1"/>
        <v>69.4088</v>
      </c>
      <c r="AB37" s="160">
        <f>C37*1.2^2+D37*1.15^2+E37*1.2^2+F37*1.15^2+G37*1.2^2+H37*0.75^2+I37*1.2^2+J37*1.4^2+K37*1.4^2+L37*1.2^2</f>
        <v>64.6225</v>
      </c>
      <c r="AC37" s="156">
        <f>((C37*1.2^2+D37*1.15^2+E37*1.2^2+F37*1.15^2+G37*1.2^2+H37*0.75^2+I37*1.2^2+J37*1.4^2+K37*1.4^2+L37*1.2^2)/($AC$9/2))*100</f>
        <v>86.16333333333334</v>
      </c>
      <c r="AD37" s="182">
        <f t="shared" si="2"/>
        <v>34</v>
      </c>
      <c r="AE37" s="183">
        <f t="shared" si="3"/>
        <v>9</v>
      </c>
      <c r="AF37" s="169" t="s">
        <v>146</v>
      </c>
      <c r="AG37" s="11"/>
      <c r="AH37" s="11"/>
      <c r="AI37" s="11"/>
      <c r="AJ37" s="11"/>
    </row>
    <row r="38" spans="1:36" s="12" customFormat="1" ht="9.75" customHeight="1">
      <c r="A38" s="84">
        <v>27</v>
      </c>
      <c r="B38" s="85" t="s">
        <v>149</v>
      </c>
      <c r="C38" s="86">
        <v>13</v>
      </c>
      <c r="D38" s="86">
        <v>3</v>
      </c>
      <c r="E38" s="87">
        <v>7</v>
      </c>
      <c r="F38" s="88">
        <v>1</v>
      </c>
      <c r="G38" s="87">
        <v>14</v>
      </c>
      <c r="H38" s="87">
        <v>5</v>
      </c>
      <c r="I38" s="89">
        <v>1</v>
      </c>
      <c r="J38" s="227">
        <v>1</v>
      </c>
      <c r="K38" s="227">
        <v>1</v>
      </c>
      <c r="L38" s="227">
        <v>1</v>
      </c>
      <c r="M38" s="32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122"/>
      <c r="Z38" s="135">
        <f t="shared" si="0"/>
        <v>34.332800000000006</v>
      </c>
      <c r="AA38" s="149">
        <f t="shared" si="1"/>
        <v>68.66560000000001</v>
      </c>
      <c r="AB38" s="230">
        <f>(C38+C39)*1.2^2+(D38+D39)*1.15^2+(E38+E39)*1.2^2+(F38+F39)*1.15^2+(G38+G39)*1.2^2+(H38+H39)*0.75^2+(I38+I39)*1.2^2+J38*1.4^2+K38*1.4^2+L38*1.2^2-(11)*1.2^2+(1)*1.15^2</f>
        <v>103.82999999999998</v>
      </c>
      <c r="AC38" s="232">
        <f>(((C38+C39)*1.2^2+(D38+D39)*1.15^2+(E38+E39)*1.2^2+(F38+F39)*1.15^2+(G38+G39)*1.2^2+(H38+H39)*0.75^2+(I38+I39)*1.2^2+J38*1.4^2+K38*1.4^2+L38*1.2^2-(11)*1.2^2+(1)*1.15^2)/$AC$9)*100</f>
        <v>69.22</v>
      </c>
      <c r="AD38" s="182">
        <f t="shared" si="2"/>
        <v>34</v>
      </c>
      <c r="AE38" s="183">
        <f t="shared" si="3"/>
        <v>9</v>
      </c>
      <c r="AF38" s="168"/>
      <c r="AG38" s="11"/>
      <c r="AH38" s="11"/>
      <c r="AI38" s="11"/>
      <c r="AJ38" s="11"/>
    </row>
    <row r="39" spans="1:36" s="12" customFormat="1" ht="9.75" customHeight="1">
      <c r="A39" s="84">
        <v>28</v>
      </c>
      <c r="B39" s="85" t="s">
        <v>150</v>
      </c>
      <c r="C39" s="86">
        <v>13</v>
      </c>
      <c r="D39" s="86">
        <v>0</v>
      </c>
      <c r="E39" s="87">
        <v>5</v>
      </c>
      <c r="F39" s="88">
        <v>2</v>
      </c>
      <c r="G39" s="87">
        <v>17</v>
      </c>
      <c r="H39" s="87">
        <v>0</v>
      </c>
      <c r="I39" s="89">
        <v>1</v>
      </c>
      <c r="J39" s="217"/>
      <c r="K39" s="217"/>
      <c r="L39" s="217"/>
      <c r="M39" s="141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122"/>
      <c r="Z39" s="135">
        <f t="shared" si="0"/>
        <v>33.8332</v>
      </c>
      <c r="AA39" s="149">
        <f t="shared" si="1"/>
        <v>67.6664</v>
      </c>
      <c r="AB39" s="231"/>
      <c r="AC39" s="233"/>
      <c r="AD39" s="182">
        <f t="shared" si="2"/>
        <v>35</v>
      </c>
      <c r="AE39" s="183">
        <f t="shared" si="3"/>
        <v>2</v>
      </c>
      <c r="AF39" s="167" t="s">
        <v>146</v>
      </c>
      <c r="AG39" s="11"/>
      <c r="AH39" s="11"/>
      <c r="AI39" s="11"/>
      <c r="AJ39" s="11"/>
    </row>
    <row r="40" spans="1:36" s="12" customFormat="1" ht="9.75" customHeight="1">
      <c r="A40" s="84">
        <v>29</v>
      </c>
      <c r="B40" s="85" t="s">
        <v>151</v>
      </c>
      <c r="C40" s="86">
        <v>11</v>
      </c>
      <c r="D40" s="86">
        <v>0</v>
      </c>
      <c r="E40" s="87">
        <v>12</v>
      </c>
      <c r="F40" s="88">
        <v>2</v>
      </c>
      <c r="G40" s="87">
        <v>12</v>
      </c>
      <c r="H40" s="87">
        <v>7</v>
      </c>
      <c r="I40" s="89">
        <v>1</v>
      </c>
      <c r="J40" s="227">
        <v>1</v>
      </c>
      <c r="K40" s="227">
        <v>1</v>
      </c>
      <c r="L40" s="227">
        <v>1</v>
      </c>
      <c r="M40" s="37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122"/>
      <c r="Z40" s="135">
        <f t="shared" si="0"/>
        <v>36.087199999999996</v>
      </c>
      <c r="AA40" s="149">
        <f t="shared" si="1"/>
        <v>72.17439999999999</v>
      </c>
      <c r="AB40" s="230">
        <f>(C40+C41)*1.2^2+(D40+D41)*1.15^2+(E40+E41)*1.2^2+(F40+F41)*1.15^2+(G40+G41)*1.2^2+(H40+H41)*0.75^2+(I40+I41)*1.2^2+J40*1.4^2+K40*1.4^2+L40*1.2^2+(11)*1.2^2-(1)*1.15^2</f>
        <v>139.515</v>
      </c>
      <c r="AC40" s="232">
        <f>(((C40+C41)*1.2^2+(D40+D41)*1.15^2+(E40+E41)*1.2^2+(F40+F41)*1.15^2+(G40+G41)*1.2^2+(H40+H41)*0.75^2+(I40+I41)*1.2^2+J40*1.4^2+K40*1.4^2+L40*1.2^2+(11)*1.2^2-(1)*1.15^2)/$AC$9)*100</f>
        <v>93.00999999999999</v>
      </c>
      <c r="AD40" s="182">
        <f t="shared" si="2"/>
        <v>35</v>
      </c>
      <c r="AE40" s="183">
        <f t="shared" si="3"/>
        <v>9</v>
      </c>
      <c r="AF40" s="168"/>
      <c r="AG40" s="11"/>
      <c r="AH40" s="11"/>
      <c r="AI40" s="11"/>
      <c r="AJ40" s="11"/>
    </row>
    <row r="41" spans="1:36" s="12" customFormat="1" ht="9.75" customHeight="1">
      <c r="A41" s="84">
        <v>30</v>
      </c>
      <c r="B41" s="85" t="s">
        <v>152</v>
      </c>
      <c r="C41" s="86">
        <v>11</v>
      </c>
      <c r="D41" s="86">
        <v>3</v>
      </c>
      <c r="E41" s="87">
        <v>8</v>
      </c>
      <c r="F41" s="88">
        <v>3</v>
      </c>
      <c r="G41" s="87">
        <v>17</v>
      </c>
      <c r="H41" s="87">
        <v>0</v>
      </c>
      <c r="I41" s="89">
        <v>1</v>
      </c>
      <c r="J41" s="217"/>
      <c r="K41" s="217"/>
      <c r="L41" s="217"/>
      <c r="M41" s="141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122"/>
      <c r="Z41" s="135">
        <f t="shared" si="0"/>
        <v>36.105199999999996</v>
      </c>
      <c r="AA41" s="149">
        <f t="shared" si="1"/>
        <v>72.21039999999999</v>
      </c>
      <c r="AB41" s="231"/>
      <c r="AC41" s="233"/>
      <c r="AD41" s="182">
        <f t="shared" si="2"/>
        <v>36</v>
      </c>
      <c r="AE41" s="183">
        <f t="shared" si="3"/>
        <v>6</v>
      </c>
      <c r="AF41" s="167" t="s">
        <v>153</v>
      </c>
      <c r="AG41" s="11"/>
      <c r="AH41" s="11"/>
      <c r="AI41" s="11"/>
      <c r="AJ41" s="11"/>
    </row>
    <row r="42" spans="1:36" s="12" customFormat="1" ht="9.75" customHeight="1">
      <c r="A42" s="84">
        <v>31</v>
      </c>
      <c r="B42" s="85" t="s">
        <v>154</v>
      </c>
      <c r="C42" s="86">
        <v>13</v>
      </c>
      <c r="D42" s="86">
        <v>0</v>
      </c>
      <c r="E42" s="87">
        <v>9</v>
      </c>
      <c r="F42" s="88">
        <v>3</v>
      </c>
      <c r="G42" s="87">
        <v>14</v>
      </c>
      <c r="H42" s="87">
        <v>2</v>
      </c>
      <c r="I42" s="89">
        <v>1</v>
      </c>
      <c r="J42" s="227">
        <v>1</v>
      </c>
      <c r="K42" s="227">
        <v>1</v>
      </c>
      <c r="L42" s="227">
        <v>1</v>
      </c>
      <c r="M42" s="37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22"/>
      <c r="Z42" s="135">
        <f t="shared" si="0"/>
        <v>36.2064</v>
      </c>
      <c r="AA42" s="149">
        <f t="shared" si="1"/>
        <v>72.4128</v>
      </c>
      <c r="AB42" s="221">
        <f>(C42+C43)*1.2^2+(D42+D43)*1.15^2+(E42+E43)*1.2^2+(F42+F43)*1.15^2+(G42+G43)*1.2^2+(H42+H43)*0.75^2+(I42+I43)*1.2^2+J42*1.4^2+K42*1.4^2+L42*1.2^2</f>
        <v>124.94749999999998</v>
      </c>
      <c r="AC42" s="223">
        <f>(((C42+C43)*1.2^2+(D42+D43)*1.15^2+(E42+E43)*1.2^2+(F42+F43)*1.15^2+(G42+G43)*1.2^2+(H42+H43)*0.75^2+(I42+I43)*1.2^2+J42*1.4^2+K42*1.4^2+L42*1.2^2)/$AC$9)*100</f>
        <v>83.29833333333332</v>
      </c>
      <c r="AD42" s="182">
        <f t="shared" si="2"/>
        <v>36</v>
      </c>
      <c r="AE42" s="183">
        <f t="shared" si="3"/>
        <v>5</v>
      </c>
      <c r="AF42" s="168"/>
      <c r="AG42" s="11"/>
      <c r="AH42" s="11"/>
      <c r="AI42" s="11"/>
      <c r="AJ42" s="11"/>
    </row>
    <row r="43" spans="1:36" s="12" customFormat="1" ht="9.75" customHeight="1" thickBot="1">
      <c r="A43" s="84">
        <v>32</v>
      </c>
      <c r="B43" s="98" t="s">
        <v>0</v>
      </c>
      <c r="C43" s="99">
        <v>13</v>
      </c>
      <c r="D43" s="99">
        <v>3</v>
      </c>
      <c r="E43" s="100">
        <v>11</v>
      </c>
      <c r="F43" s="101">
        <v>3</v>
      </c>
      <c r="G43" s="100">
        <v>12</v>
      </c>
      <c r="H43" s="100">
        <v>0</v>
      </c>
      <c r="I43" s="102">
        <v>1</v>
      </c>
      <c r="J43" s="229"/>
      <c r="K43" s="229"/>
      <c r="L43" s="229"/>
      <c r="M43" s="140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24"/>
      <c r="Z43" s="136">
        <f t="shared" si="0"/>
        <v>35.991200000000006</v>
      </c>
      <c r="AA43" s="149">
        <f t="shared" si="1"/>
        <v>71.98240000000001</v>
      </c>
      <c r="AB43" s="222"/>
      <c r="AC43" s="224"/>
      <c r="AD43" s="188">
        <f t="shared" si="2"/>
        <v>36</v>
      </c>
      <c r="AE43" s="189">
        <f t="shared" si="3"/>
        <v>6</v>
      </c>
      <c r="AF43" s="167" t="s">
        <v>153</v>
      </c>
      <c r="AG43" s="11"/>
      <c r="AH43" s="11"/>
      <c r="AI43" s="11"/>
      <c r="AJ43" s="11"/>
    </row>
    <row r="44" spans="1:36" s="12" customFormat="1" ht="9.75" customHeight="1">
      <c r="A44" s="103"/>
      <c r="B44" s="104" t="s">
        <v>4</v>
      </c>
      <c r="C44" s="105">
        <f aca="true" t="shared" si="4" ref="C44:I44">SUM(C12:C43)</f>
        <v>344</v>
      </c>
      <c r="D44" s="105">
        <f t="shared" si="4"/>
        <v>46</v>
      </c>
      <c r="E44" s="105">
        <f t="shared" si="4"/>
        <v>244</v>
      </c>
      <c r="F44" s="105">
        <f t="shared" si="4"/>
        <v>60</v>
      </c>
      <c r="G44" s="105">
        <f t="shared" si="4"/>
        <v>384</v>
      </c>
      <c r="H44" s="105">
        <f t="shared" si="4"/>
        <v>72</v>
      </c>
      <c r="I44" s="105">
        <f t="shared" si="4"/>
        <v>28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25"/>
      <c r="Z44" s="133">
        <f>AVERAGE(AVERAGE(Z12:Z18),AVERAGE(Z21:Z34),AVERAGE(Z37:Z43))</f>
        <v>35.05367619047619</v>
      </c>
      <c r="AA44" s="199">
        <f>AVERAGE(AVERAGE(AA12:AA18),AVERAGE(AA20:AA34),AVERAGE(AA36:AA43))</f>
        <v>70.42843798941799</v>
      </c>
      <c r="AB44" s="133">
        <f>SUM(AB12:AB18)+SUM(AB20:AB34)+SUM(AB36:AB43)</f>
        <v>1864.0158</v>
      </c>
      <c r="AC44" s="199">
        <f>AVERAGE(AVERAGE(AC12:AC18),AVERAGE(AC20:AC34),AVERAGE(AC36:AC43))</f>
        <v>84.04531432098764</v>
      </c>
      <c r="AD44" s="201">
        <f>SUM(AD12:AD18)+SUM(AD21:AD34)+SUM(AD37:AD43)</f>
        <v>972</v>
      </c>
      <c r="AE44" s="105">
        <f>SUM(AE12:AE18)+SUM(AE21:AE34)+SUM(AE37:AE43)</f>
        <v>178</v>
      </c>
      <c r="AF44" s="106"/>
      <c r="AG44" s="11"/>
      <c r="AH44" s="11"/>
      <c r="AI44" s="11"/>
      <c r="AJ44" s="11"/>
    </row>
    <row r="45" spans="1:36" s="12" customFormat="1" ht="9.75" customHeight="1">
      <c r="A45" s="106"/>
      <c r="B45" s="107" t="s">
        <v>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>
        <f>SUM(N12:N43)</f>
        <v>6</v>
      </c>
      <c r="O45" s="108">
        <f>SUM(O12:O43)</f>
        <v>56</v>
      </c>
      <c r="P45" s="108">
        <f>SUM(P12:P43)</f>
        <v>8</v>
      </c>
      <c r="Q45" s="108"/>
      <c r="R45" s="108"/>
      <c r="S45" s="108"/>
      <c r="T45" s="108"/>
      <c r="U45" s="108"/>
      <c r="V45" s="108"/>
      <c r="W45" s="108"/>
      <c r="X45" s="108"/>
      <c r="Y45" s="126"/>
      <c r="Z45" s="134"/>
      <c r="AA45" s="200"/>
      <c r="AB45" s="206">
        <f>AVERAGE(AVERAGE(AB12:AB17),AVERAGE(AB22:AB33),AVERAGE(AB38:AB43))</f>
        <v>121.33833333333331</v>
      </c>
      <c r="AC45" s="200"/>
      <c r="AD45" s="202">
        <f>SUM(C45:Y45)</f>
        <v>70</v>
      </c>
      <c r="AE45" s="109"/>
      <c r="AF45" s="106"/>
      <c r="AG45" s="11"/>
      <c r="AH45" s="11"/>
      <c r="AI45" s="11"/>
      <c r="AJ45" s="11"/>
    </row>
    <row r="46" spans="1:36" s="12" customFormat="1" ht="9.75" customHeight="1">
      <c r="A46" s="106"/>
      <c r="B46" s="225" t="s">
        <v>53</v>
      </c>
      <c r="C46" s="22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>
        <f>SUM(Q12:Q43)</f>
        <v>6</v>
      </c>
      <c r="R46" s="108">
        <f>SUM(R12:R43)</f>
        <v>7</v>
      </c>
      <c r="S46" s="108"/>
      <c r="T46" s="108"/>
      <c r="U46" s="108"/>
      <c r="V46" s="108"/>
      <c r="W46" s="108"/>
      <c r="X46" s="108"/>
      <c r="Y46" s="126"/>
      <c r="Z46" s="134"/>
      <c r="AA46" s="200"/>
      <c r="AB46" s="203"/>
      <c r="AC46" s="200"/>
      <c r="AD46" s="202">
        <f>SUM(C46:Y46)</f>
        <v>13</v>
      </c>
      <c r="AE46" s="109"/>
      <c r="AF46" s="106"/>
      <c r="AG46" s="11"/>
      <c r="AH46" s="11"/>
      <c r="AI46" s="11"/>
      <c r="AJ46" s="11"/>
    </row>
    <row r="47" spans="1:36" s="12" customFormat="1" ht="9.75" customHeight="1">
      <c r="A47" s="106"/>
      <c r="B47" s="107" t="s">
        <v>129</v>
      </c>
      <c r="C47" s="108"/>
      <c r="D47" s="126"/>
      <c r="E47" s="213"/>
      <c r="F47" s="108"/>
      <c r="G47" s="108"/>
      <c r="H47" s="108"/>
      <c r="I47" s="108"/>
      <c r="J47" s="108">
        <f>SUM(J12:J42)</f>
        <v>16</v>
      </c>
      <c r="K47" s="108">
        <f>SUM(K12:K42)</f>
        <v>16</v>
      </c>
      <c r="L47" s="108">
        <f>SUM(L12:L42)</f>
        <v>16</v>
      </c>
      <c r="M47" s="108">
        <f>SUM(M12:M43)</f>
        <v>2</v>
      </c>
      <c r="N47" s="108"/>
      <c r="O47" s="108"/>
      <c r="P47" s="108"/>
      <c r="Q47" s="108"/>
      <c r="R47" s="108"/>
      <c r="S47" s="108">
        <f aca="true" t="shared" si="5" ref="S47:Y47">SUM(S12:S43)</f>
        <v>3</v>
      </c>
      <c r="T47" s="108">
        <f t="shared" si="5"/>
        <v>1</v>
      </c>
      <c r="U47" s="108">
        <f t="shared" si="5"/>
        <v>1</v>
      </c>
      <c r="V47" s="108">
        <f t="shared" si="5"/>
        <v>4</v>
      </c>
      <c r="W47" s="108">
        <f t="shared" si="5"/>
        <v>7</v>
      </c>
      <c r="X47" s="108">
        <f t="shared" si="5"/>
        <v>3</v>
      </c>
      <c r="Y47" s="126">
        <f t="shared" si="5"/>
        <v>30</v>
      </c>
      <c r="Z47" s="134"/>
      <c r="AA47" s="200"/>
      <c r="AB47" s="203"/>
      <c r="AC47" s="200"/>
      <c r="AD47" s="202">
        <f>SUM(C47:Y47)</f>
        <v>99</v>
      </c>
      <c r="AE47" s="109"/>
      <c r="AF47" s="106"/>
      <c r="AG47" s="11"/>
      <c r="AH47" s="11"/>
      <c r="AI47" s="11"/>
      <c r="AJ47" s="11"/>
    </row>
    <row r="48" spans="1:35" s="12" customFormat="1" ht="9.7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10">
        <f>AD44+AE44+AD45+AD46+AD47+I44</f>
        <v>1360</v>
      </c>
      <c r="AD48" s="111"/>
      <c r="AE48" s="106"/>
      <c r="AF48" s="11"/>
      <c r="AG48" s="11"/>
      <c r="AH48" s="11"/>
      <c r="AI48" s="11"/>
    </row>
    <row r="49" spans="1:33" s="12" customFormat="1" ht="21" customHeight="1">
      <c r="A49" s="2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25"/>
      <c r="AD49" s="11"/>
      <c r="AE49" s="11"/>
      <c r="AF49" s="11"/>
      <c r="AG49" s="11"/>
    </row>
    <row r="50" spans="1:32" s="12" customFormat="1" ht="21" customHeight="1">
      <c r="A50" s="11"/>
      <c r="B50" s="25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11"/>
      <c r="AD50" s="11"/>
      <c r="AE50" s="11"/>
      <c r="AF50" s="11"/>
    </row>
    <row r="51" spans="1:32" s="12" customFormat="1" ht="9.75" customHeight="1">
      <c r="A51" s="4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46"/>
      <c r="AD51" s="11"/>
      <c r="AE51" s="11"/>
      <c r="AF51" s="11"/>
    </row>
    <row r="52" spans="1:33" s="12" customFormat="1" ht="9.75" customHeight="1">
      <c r="A52" s="13"/>
      <c r="B52" s="112" t="s">
        <v>113</v>
      </c>
      <c r="C52" s="262" t="s">
        <v>93</v>
      </c>
      <c r="D52" s="263"/>
      <c r="E52" s="263"/>
      <c r="F52" s="263"/>
      <c r="G52" s="263"/>
      <c r="H52" s="263"/>
      <c r="I52" s="264"/>
      <c r="J52" s="17" t="s">
        <v>88</v>
      </c>
      <c r="K52" s="13" t="s">
        <v>128</v>
      </c>
      <c r="L52" s="211"/>
      <c r="M52" s="13" t="s">
        <v>88</v>
      </c>
      <c r="N52" s="13" t="s">
        <v>9</v>
      </c>
      <c r="O52" s="18"/>
      <c r="P52" s="14"/>
      <c r="Q52" s="116" t="s">
        <v>51</v>
      </c>
      <c r="R52" s="117"/>
      <c r="S52" s="14" t="s">
        <v>61</v>
      </c>
      <c r="T52" s="14" t="s">
        <v>62</v>
      </c>
      <c r="U52" s="54" t="s">
        <v>54</v>
      </c>
      <c r="V52" s="55"/>
      <c r="W52" s="56"/>
      <c r="X52" s="14" t="s">
        <v>63</v>
      </c>
      <c r="Y52" s="18" t="s">
        <v>57</v>
      </c>
      <c r="Z52" s="127" t="s">
        <v>56</v>
      </c>
      <c r="AA52" s="144"/>
      <c r="AB52" s="127" t="s">
        <v>85</v>
      </c>
      <c r="AC52" s="150"/>
      <c r="AD52" s="172" t="s">
        <v>1</v>
      </c>
      <c r="AE52" s="173" t="s">
        <v>1</v>
      </c>
      <c r="AF52" s="14" t="s">
        <v>71</v>
      </c>
      <c r="AG52" s="11"/>
    </row>
    <row r="53" spans="1:33" s="12" customFormat="1" ht="9.75" customHeight="1">
      <c r="A53" s="15"/>
      <c r="B53" s="113" t="s">
        <v>114</v>
      </c>
      <c r="C53" s="19" t="s">
        <v>111</v>
      </c>
      <c r="D53" s="20"/>
      <c r="E53" s="19" t="s">
        <v>112</v>
      </c>
      <c r="F53" s="20"/>
      <c r="G53" s="21" t="s">
        <v>3</v>
      </c>
      <c r="H53" s="22"/>
      <c r="I53" s="21" t="s">
        <v>104</v>
      </c>
      <c r="J53" s="114" t="s">
        <v>89</v>
      </c>
      <c r="K53" s="38" t="s">
        <v>127</v>
      </c>
      <c r="L53" s="212"/>
      <c r="M53" s="38" t="s">
        <v>60</v>
      </c>
      <c r="N53" s="38" t="s">
        <v>94</v>
      </c>
      <c r="O53" s="21"/>
      <c r="P53" s="22"/>
      <c r="Q53" s="119" t="s">
        <v>52</v>
      </c>
      <c r="R53" s="118"/>
      <c r="S53" s="51"/>
      <c r="T53" s="51"/>
      <c r="U53" s="38"/>
      <c r="V53" s="21"/>
      <c r="W53" s="22"/>
      <c r="X53" s="51"/>
      <c r="Y53" s="120"/>
      <c r="Z53" s="128" t="s">
        <v>99</v>
      </c>
      <c r="AA53" s="21" t="s">
        <v>64</v>
      </c>
      <c r="AB53" s="151" t="s">
        <v>99</v>
      </c>
      <c r="AC53" s="152" t="s">
        <v>64</v>
      </c>
      <c r="AD53" s="151" t="s">
        <v>2</v>
      </c>
      <c r="AE53" s="152" t="s">
        <v>2</v>
      </c>
      <c r="AF53" s="51" t="s">
        <v>72</v>
      </c>
      <c r="AG53" s="11"/>
    </row>
    <row r="54" spans="1:33" ht="9.75" customHeight="1">
      <c r="A54" s="15"/>
      <c r="B54" s="28"/>
      <c r="C54" s="72" t="s">
        <v>115</v>
      </c>
      <c r="D54" s="72" t="s">
        <v>116</v>
      </c>
      <c r="E54" s="73" t="s">
        <v>115</v>
      </c>
      <c r="F54" s="73" t="s">
        <v>116</v>
      </c>
      <c r="G54" s="75" t="s">
        <v>115</v>
      </c>
      <c r="H54" s="75" t="s">
        <v>116</v>
      </c>
      <c r="I54" s="76" t="s">
        <v>105</v>
      </c>
      <c r="J54" s="76" t="s">
        <v>70</v>
      </c>
      <c r="K54" s="75" t="s">
        <v>115</v>
      </c>
      <c r="L54" s="75" t="s">
        <v>96</v>
      </c>
      <c r="M54" s="75" t="s">
        <v>70</v>
      </c>
      <c r="N54" s="75" t="s">
        <v>95</v>
      </c>
      <c r="O54" s="75" t="s">
        <v>91</v>
      </c>
      <c r="P54" s="75" t="s">
        <v>116</v>
      </c>
      <c r="Q54" s="75" t="s">
        <v>115</v>
      </c>
      <c r="R54" s="40" t="s">
        <v>96</v>
      </c>
      <c r="S54" s="40" t="s">
        <v>90</v>
      </c>
      <c r="T54" s="40" t="s">
        <v>91</v>
      </c>
      <c r="U54" s="74" t="s">
        <v>67</v>
      </c>
      <c r="V54" s="74" t="s">
        <v>68</v>
      </c>
      <c r="W54" s="74" t="s">
        <v>69</v>
      </c>
      <c r="X54" s="41" t="s">
        <v>66</v>
      </c>
      <c r="Y54" s="121" t="s">
        <v>65</v>
      </c>
      <c r="Z54" s="129"/>
      <c r="AA54" s="145" t="s">
        <v>102</v>
      </c>
      <c r="AB54" s="129"/>
      <c r="AC54" s="153" t="s">
        <v>19</v>
      </c>
      <c r="AD54" s="174" t="s">
        <v>115</v>
      </c>
      <c r="AE54" s="175" t="s">
        <v>116</v>
      </c>
      <c r="AF54" s="165" t="s">
        <v>73</v>
      </c>
      <c r="AG54" s="1"/>
    </row>
    <row r="55" spans="1:33" ht="9.75" customHeight="1">
      <c r="A55" s="15"/>
      <c r="B55" s="77" t="s">
        <v>87</v>
      </c>
      <c r="C55" s="238" t="s">
        <v>86</v>
      </c>
      <c r="D55" s="219"/>
      <c r="E55" s="238" t="s">
        <v>86</v>
      </c>
      <c r="F55" s="219"/>
      <c r="G55" s="238" t="s">
        <v>86</v>
      </c>
      <c r="H55" s="219"/>
      <c r="I55" s="236" t="s">
        <v>85</v>
      </c>
      <c r="J55" s="236" t="s">
        <v>85</v>
      </c>
      <c r="K55" s="246" t="s">
        <v>92</v>
      </c>
      <c r="L55" s="247"/>
      <c r="M55" s="256" t="s">
        <v>97</v>
      </c>
      <c r="N55" s="238" t="s">
        <v>86</v>
      </c>
      <c r="O55" s="239"/>
      <c r="P55" s="240"/>
      <c r="Q55" s="241" t="s">
        <v>86</v>
      </c>
      <c r="R55" s="240"/>
      <c r="S55" s="258" t="s">
        <v>98</v>
      </c>
      <c r="T55" s="258" t="s">
        <v>98</v>
      </c>
      <c r="U55" s="259" t="s">
        <v>97</v>
      </c>
      <c r="V55" s="260"/>
      <c r="W55" s="247"/>
      <c r="X55" s="258" t="s">
        <v>98</v>
      </c>
      <c r="Y55" s="253" t="s">
        <v>98</v>
      </c>
      <c r="Z55" s="130"/>
      <c r="AA55" s="146" t="s">
        <v>103</v>
      </c>
      <c r="AB55" s="130"/>
      <c r="AC55" s="154" t="s">
        <v>100</v>
      </c>
      <c r="AD55" s="176"/>
      <c r="AE55" s="177"/>
      <c r="AF55" s="165"/>
      <c r="AG55" s="1"/>
    </row>
    <row r="56" spans="1:33" ht="9.75" customHeight="1" thickBot="1">
      <c r="A56" s="15"/>
      <c r="B56" s="78" t="s">
        <v>87</v>
      </c>
      <c r="C56" s="220" t="s">
        <v>85</v>
      </c>
      <c r="D56" s="214"/>
      <c r="E56" s="220" t="s">
        <v>85</v>
      </c>
      <c r="F56" s="214"/>
      <c r="G56" s="220" t="s">
        <v>85</v>
      </c>
      <c r="H56" s="214"/>
      <c r="I56" s="237"/>
      <c r="J56" s="237"/>
      <c r="K56" s="248"/>
      <c r="L56" s="249"/>
      <c r="M56" s="257"/>
      <c r="N56" s="242" t="s">
        <v>85</v>
      </c>
      <c r="O56" s="243"/>
      <c r="P56" s="115" t="s">
        <v>92</v>
      </c>
      <c r="Q56" s="244" t="s">
        <v>92</v>
      </c>
      <c r="R56" s="245"/>
      <c r="S56" s="257"/>
      <c r="T56" s="257"/>
      <c r="U56" s="248"/>
      <c r="V56" s="261"/>
      <c r="W56" s="249"/>
      <c r="X56" s="257"/>
      <c r="Y56" s="254"/>
      <c r="Z56" s="130" t="s">
        <v>100</v>
      </c>
      <c r="AA56" s="147" t="s">
        <v>101</v>
      </c>
      <c r="AB56" s="130" t="s">
        <v>100</v>
      </c>
      <c r="AC56" s="154" t="s">
        <v>101</v>
      </c>
      <c r="AD56" s="178"/>
      <c r="AE56" s="179"/>
      <c r="AF56" s="165"/>
      <c r="AG56" s="1"/>
    </row>
    <row r="57" spans="1:33" ht="9.75" customHeight="1" thickTop="1">
      <c r="A57" s="79">
        <v>1</v>
      </c>
      <c r="B57" s="80" t="s">
        <v>12</v>
      </c>
      <c r="C57" s="81">
        <v>13</v>
      </c>
      <c r="D57" s="81">
        <v>3</v>
      </c>
      <c r="E57" s="82">
        <v>9</v>
      </c>
      <c r="F57" s="83">
        <v>4</v>
      </c>
      <c r="G57" s="82">
        <v>12</v>
      </c>
      <c r="H57" s="82">
        <v>0</v>
      </c>
      <c r="I57" s="82">
        <v>1</v>
      </c>
      <c r="J57" s="255">
        <v>1</v>
      </c>
      <c r="K57" s="255">
        <v>1</v>
      </c>
      <c r="L57" s="255">
        <v>1</v>
      </c>
      <c r="M57" s="197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3"/>
      <c r="Z57" s="131">
        <f aca="true" t="shared" si="6" ref="Z57:Z62">((C57*0.96^2+D57*0.44^2)+(E57*0.94^2+F57*0.94^2)+(G57*0.96^2+H57*0.6^2))</f>
        <v>35.107600000000005</v>
      </c>
      <c r="AA57" s="148">
        <f aca="true" t="shared" si="7" ref="AA57:AA62">(((C57*0.96^2+D57*0.44^2)+(E57*0.94^2+F57*0.94^2)+(G57*0.96^2+H57*0.6^2))/50)*100</f>
        <v>70.21520000000001</v>
      </c>
      <c r="AB57" s="218">
        <f>(C57+C58)*1.2^2+(D57+D58)*1.15^2+(E57+E58)*1.2^2+(F57+F58)*1.15^2+(G57+G58)*1.2^2+(H57+H58)*0.75^2+(I57+I58)*1.2^2+J57*1.4^2+K57*1.4^2+L57*1.2^2</f>
        <v>123.75499999999997</v>
      </c>
      <c r="AC57" s="251">
        <f>(((C57+C58)*1.2^2+(D57+D58)*1.15^2+(E57+E58)*1.2^2+(F57+F58)*1.15^2+(G57+G58)*1.2^2+(H57+H58)*0.75^2+(I57+I58)*1.2^2+J57*1.4^2+K57^1.4^2+L57*1.2^2)/$AC$54)*100</f>
        <v>81.86333333333332</v>
      </c>
      <c r="AD57" s="180">
        <f aca="true" t="shared" si="8" ref="AD57:AE63">C57+E57+G57</f>
        <v>34</v>
      </c>
      <c r="AE57" s="181">
        <f t="shared" si="8"/>
        <v>7</v>
      </c>
      <c r="AF57" s="191"/>
      <c r="AG57" s="1"/>
    </row>
    <row r="58" spans="1:33" ht="9.75" customHeight="1">
      <c r="A58" s="84">
        <v>2</v>
      </c>
      <c r="B58" s="85" t="s">
        <v>13</v>
      </c>
      <c r="C58" s="86">
        <v>13</v>
      </c>
      <c r="D58" s="86">
        <v>2</v>
      </c>
      <c r="E58" s="87">
        <v>9</v>
      </c>
      <c r="F58" s="88">
        <v>0</v>
      </c>
      <c r="G58" s="87">
        <v>14</v>
      </c>
      <c r="H58" s="87">
        <v>5</v>
      </c>
      <c r="I58" s="89">
        <v>1</v>
      </c>
      <c r="J58" s="217"/>
      <c r="K58" s="217"/>
      <c r="L58" s="217"/>
      <c r="M58" s="141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122"/>
      <c r="Z58" s="135">
        <f t="shared" si="6"/>
        <v>35.022800000000004</v>
      </c>
      <c r="AA58" s="149">
        <f t="shared" si="7"/>
        <v>70.04560000000001</v>
      </c>
      <c r="AB58" s="250"/>
      <c r="AC58" s="252"/>
      <c r="AD58" s="182">
        <f t="shared" si="8"/>
        <v>36</v>
      </c>
      <c r="AE58" s="183">
        <f t="shared" si="8"/>
        <v>7</v>
      </c>
      <c r="AF58" s="192" t="s">
        <v>119</v>
      </c>
      <c r="AG58" s="1"/>
    </row>
    <row r="59" spans="1:33" ht="9.75" customHeight="1">
      <c r="A59" s="84">
        <v>3</v>
      </c>
      <c r="B59" s="85" t="s">
        <v>14</v>
      </c>
      <c r="C59" s="86">
        <v>13</v>
      </c>
      <c r="D59" s="86">
        <v>0</v>
      </c>
      <c r="E59" s="87">
        <v>7</v>
      </c>
      <c r="F59" s="88">
        <v>4</v>
      </c>
      <c r="G59" s="87">
        <v>15</v>
      </c>
      <c r="H59" s="87">
        <v>0</v>
      </c>
      <c r="I59" s="89">
        <v>1</v>
      </c>
      <c r="J59" s="227">
        <v>1</v>
      </c>
      <c r="K59" s="227">
        <v>1</v>
      </c>
      <c r="L59" s="227">
        <v>1</v>
      </c>
      <c r="M59" s="37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122"/>
      <c r="Z59" s="135">
        <f t="shared" si="6"/>
        <v>35.5244</v>
      </c>
      <c r="AA59" s="149">
        <f t="shared" si="7"/>
        <v>71.0488</v>
      </c>
      <c r="AB59" s="215">
        <f>(C59+C60)*1.2^2+(D59+D60)*1.15^2+(E59+E60)*1.2^2+(F59+F60)*1.15^2+(G59+G60)*1.2^2+(H59+H60)*0.75^2+(I59+I60)*1.2^2+J59*1.4^2+K59*1.4^2+L59*1.2^2+(11)*1.2^2-(1)*1.15^2</f>
        <v>136.50499999999997</v>
      </c>
      <c r="AC59" s="234">
        <f>(((C59+C60)*1.2^2+(D59+D60)*1.15^2+(E59+E60)*1.2^2+(F59+F60)*1.15^2+(G59+G60)*1.2^2+(H59+H60)*0.75^2+(I59+I60)*1.2^2+J59*1.4^2+K59*1.4^2+L59*1.2^2+(11)*1.2^2-(1)*1.15^2)/$AC$54)*100</f>
        <v>91.00333333333332</v>
      </c>
      <c r="AD59" s="182">
        <f t="shared" si="8"/>
        <v>35</v>
      </c>
      <c r="AE59" s="183">
        <f t="shared" si="8"/>
        <v>4</v>
      </c>
      <c r="AF59" s="193"/>
      <c r="AG59" s="1"/>
    </row>
    <row r="60" spans="1:33" ht="9.75" customHeight="1">
      <c r="A60" s="84">
        <v>4</v>
      </c>
      <c r="B60" s="85" t="s">
        <v>15</v>
      </c>
      <c r="C60" s="86">
        <v>10</v>
      </c>
      <c r="D60" s="86">
        <v>3</v>
      </c>
      <c r="E60" s="87">
        <v>10</v>
      </c>
      <c r="F60" s="88">
        <v>0</v>
      </c>
      <c r="G60" s="87">
        <v>16</v>
      </c>
      <c r="H60" s="87">
        <v>4</v>
      </c>
      <c r="I60" s="89">
        <v>1</v>
      </c>
      <c r="J60" s="228"/>
      <c r="K60" s="217"/>
      <c r="L60" s="217"/>
      <c r="M60" s="5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122"/>
      <c r="Z60" s="135">
        <f t="shared" si="6"/>
        <v>34.8184</v>
      </c>
      <c r="AA60" s="149">
        <f t="shared" si="7"/>
        <v>69.6368</v>
      </c>
      <c r="AB60" s="216"/>
      <c r="AC60" s="235"/>
      <c r="AD60" s="182">
        <f t="shared" si="8"/>
        <v>36</v>
      </c>
      <c r="AE60" s="183">
        <f t="shared" si="8"/>
        <v>7</v>
      </c>
      <c r="AF60" s="192" t="s">
        <v>119</v>
      </c>
      <c r="AG60" s="1"/>
    </row>
    <row r="61" spans="1:33" ht="9.75" customHeight="1">
      <c r="A61" s="84">
        <v>5</v>
      </c>
      <c r="B61" s="85" t="s">
        <v>16</v>
      </c>
      <c r="C61" s="86">
        <v>11</v>
      </c>
      <c r="D61" s="86">
        <v>0</v>
      </c>
      <c r="E61" s="87">
        <v>5</v>
      </c>
      <c r="F61" s="88">
        <v>1</v>
      </c>
      <c r="G61" s="87">
        <v>19</v>
      </c>
      <c r="H61" s="87">
        <v>1</v>
      </c>
      <c r="I61" s="89">
        <v>1</v>
      </c>
      <c r="J61" s="227">
        <v>1</v>
      </c>
      <c r="K61" s="227">
        <v>1</v>
      </c>
      <c r="L61" s="227">
        <v>1</v>
      </c>
      <c r="M61" s="37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122"/>
      <c r="Z61" s="135">
        <f t="shared" si="6"/>
        <v>33.309599999999996</v>
      </c>
      <c r="AA61" s="149">
        <f t="shared" si="7"/>
        <v>66.61919999999999</v>
      </c>
      <c r="AB61" s="215">
        <f>(C61+C62)*1.2^2+(D61+D62)*1.15^2+(E61+E62)*1.2^2+(F61+F62)*1.15^2+(G61+G62)*1.2^2+(H61+H62)*0.75^2+(I61+I62)*1.2^2+J61*1.4^2+K61*1.4^2+L61*1.2^2-(11)*1.2^2+(1)*1.15^2</f>
        <v>100.94999999999997</v>
      </c>
      <c r="AC61" s="234">
        <f>(((C61+C62)*1.2^2+(D61+D62)*1.15^2+(E61+E62)*1.2^2+(F61+F62)*1.15^2+(G61+G62)*1.2^2+(H61+H62)*0.75^2+(I61+I62)*1.2^2+J61*1.4^2+K61*1.4^2+L61*1.2^2-(11)*1.2^2+(1)*1.15^2)/$AC$54)*100</f>
        <v>67.29999999999998</v>
      </c>
      <c r="AD61" s="182">
        <f t="shared" si="8"/>
        <v>35</v>
      </c>
      <c r="AE61" s="183">
        <f t="shared" si="8"/>
        <v>2</v>
      </c>
      <c r="AF61" s="193"/>
      <c r="AG61" s="1"/>
    </row>
    <row r="62" spans="1:33" ht="9.75" customHeight="1">
      <c r="A62" s="84">
        <v>6</v>
      </c>
      <c r="B62" s="85" t="s">
        <v>22</v>
      </c>
      <c r="C62" s="86">
        <v>12</v>
      </c>
      <c r="D62" s="86">
        <v>2</v>
      </c>
      <c r="E62" s="87">
        <v>9</v>
      </c>
      <c r="F62" s="88">
        <v>3</v>
      </c>
      <c r="G62" s="87">
        <v>11</v>
      </c>
      <c r="H62" s="87">
        <v>4</v>
      </c>
      <c r="I62" s="89">
        <v>1</v>
      </c>
      <c r="J62" s="228"/>
      <c r="K62" s="217"/>
      <c r="L62" s="217"/>
      <c r="M62" s="5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122"/>
      <c r="Z62" s="135">
        <f t="shared" si="6"/>
        <v>33.627199999999995</v>
      </c>
      <c r="AA62" s="149">
        <f t="shared" si="7"/>
        <v>67.25439999999999</v>
      </c>
      <c r="AB62" s="216"/>
      <c r="AC62" s="235"/>
      <c r="AD62" s="182">
        <f t="shared" si="8"/>
        <v>32</v>
      </c>
      <c r="AE62" s="183">
        <f t="shared" si="8"/>
        <v>9</v>
      </c>
      <c r="AF62" s="192" t="s">
        <v>124</v>
      </c>
      <c r="AG62" s="1"/>
    </row>
    <row r="63" spans="1:33" ht="9.75" customHeight="1">
      <c r="A63" s="84">
        <v>7</v>
      </c>
      <c r="B63" s="85" t="s">
        <v>23</v>
      </c>
      <c r="C63" s="86">
        <v>13</v>
      </c>
      <c r="D63" s="86">
        <v>3</v>
      </c>
      <c r="E63" s="87">
        <v>10</v>
      </c>
      <c r="F63" s="88">
        <v>2</v>
      </c>
      <c r="G63" s="87">
        <v>9</v>
      </c>
      <c r="H63" s="87">
        <v>4</v>
      </c>
      <c r="I63" s="89">
        <v>1</v>
      </c>
      <c r="J63" s="89">
        <v>1</v>
      </c>
      <c r="K63" s="89">
        <v>1</v>
      </c>
      <c r="L63" s="89">
        <v>1</v>
      </c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122">
        <v>20</v>
      </c>
      <c r="Z63" s="135">
        <f>((C63*0.96^2+D63*0.44^2)+(E63*0.94^2+F63*0.94^2)+(G63*0.96^2+H63*0.6^2)+(Y63/10)*1^2)</f>
        <v>34.8992</v>
      </c>
      <c r="AA63" s="149">
        <f>(((C63*0.96^2+D63*0.44^2)+(E63*0.94^2+F63*0.94^2)+(G63*0.96^2+H63*0.6^2)+(Y63/10)*1^2)/50)*100</f>
        <v>69.7984</v>
      </c>
      <c r="AB63" s="155">
        <f>C63*1.2^2+D63*1.15^2+E63*1.2^2+F63*1.15^2+G63*1.2^2+H63*0.75^2+I63*1.2^2+J63*1.4^2+K63*1.4^2+L63*1.2^2</f>
        <v>61.7425</v>
      </c>
      <c r="AC63" s="156">
        <f>((C63*1.2^2+D63*1.15^2+E63*1.2^2+F63*1.15^2+G63*1.2^2+H63*0.75^2+I63*1.2^2+J63*1.4^2+K63*1.4^2+L63*1.2^2)/($AC$54/2))*100</f>
        <v>82.32333333333334</v>
      </c>
      <c r="AD63" s="182">
        <f t="shared" si="8"/>
        <v>32</v>
      </c>
      <c r="AE63" s="183">
        <f t="shared" si="8"/>
        <v>9</v>
      </c>
      <c r="AF63" s="194" t="s">
        <v>124</v>
      </c>
      <c r="AG63" s="1"/>
    </row>
    <row r="64" spans="1:33" ht="9.75" customHeight="1">
      <c r="A64" s="84">
        <v>8</v>
      </c>
      <c r="B64" s="90" t="s">
        <v>24</v>
      </c>
      <c r="C64" s="95"/>
      <c r="D64" s="95"/>
      <c r="E64" s="90"/>
      <c r="F64" s="96"/>
      <c r="G64" s="90"/>
      <c r="H64" s="90"/>
      <c r="I64" s="97"/>
      <c r="J64" s="97"/>
      <c r="K64" s="97"/>
      <c r="L64" s="97"/>
      <c r="M64" s="97"/>
      <c r="N64" s="97">
        <v>4</v>
      </c>
      <c r="O64" s="97">
        <v>28</v>
      </c>
      <c r="P64" s="97">
        <v>4</v>
      </c>
      <c r="Q64" s="97">
        <v>3</v>
      </c>
      <c r="R64" s="97">
        <v>3</v>
      </c>
      <c r="S64" s="97"/>
      <c r="T64" s="97"/>
      <c r="U64" s="97">
        <v>1</v>
      </c>
      <c r="V64" s="97">
        <v>4</v>
      </c>
      <c r="W64" s="97">
        <v>7</v>
      </c>
      <c r="X64" s="97">
        <v>2</v>
      </c>
      <c r="Y64" s="123"/>
      <c r="Z64" s="132">
        <f>((N64*1.2^2+O64*1.2^2+P64*0.82^2)+(Q64*1.45^2+R64*1.44^2)+(U64*0.79^2+V64*0.79^2+(W64/7)*0.9^2)+X64*1.2^2)</f>
        <v>68.10839999999999</v>
      </c>
      <c r="AA64" s="137">
        <f>(((N64*1.2^2+O64*1.2^2+P64*0.82^2)+(Q64*1.45^2+R64*1.44^2)+(U64*0.79^2+V64*0.79^2+(W64/7)*0.9^2)+X64*1.2^2)/90)*100</f>
        <v>75.67599999999999</v>
      </c>
      <c r="AB64" s="138">
        <f>(N64*1.2^2+O64*1.28^2+P64*1.15^2)+(Q64*1.45^2+R64*1.44^2)+(U64*0.79^2+V64*0.79^2+(W64/7)*0.9^2)+X64*1.4^2</f>
        <v>77.30399999999999</v>
      </c>
      <c r="AC64" s="159">
        <f>(((N64*1.2^2+O64*1.28^2+P64*1.15^2)+(Q64*1.45^2+R64*1.44^2)+(U64*0.79^2+V64*0.79^2+(W64/7)*0.9^2)+X64*1.4^2)/($AC$54/2))*100</f>
        <v>103.07199999999999</v>
      </c>
      <c r="AD64" s="184">
        <f>SUM(N64:R64)</f>
        <v>42</v>
      </c>
      <c r="AE64" s="186"/>
      <c r="AF64" s="195"/>
      <c r="AG64" s="1"/>
    </row>
    <row r="65" spans="1:33" ht="9.75" customHeight="1">
      <c r="A65" s="84">
        <v>9</v>
      </c>
      <c r="B65" s="90" t="s">
        <v>25</v>
      </c>
      <c r="C65" s="143" t="s">
        <v>110</v>
      </c>
      <c r="D65" s="94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38"/>
      <c r="AA65" s="139"/>
      <c r="AB65" s="138"/>
      <c r="AC65" s="190"/>
      <c r="AD65" s="184"/>
      <c r="AE65" s="186"/>
      <c r="AF65" s="196" t="s">
        <v>146</v>
      </c>
      <c r="AG65" s="1"/>
    </row>
    <row r="66" spans="1:33" ht="9.75" customHeight="1">
      <c r="A66" s="84">
        <v>10</v>
      </c>
      <c r="B66" s="85" t="s">
        <v>26</v>
      </c>
      <c r="C66" s="86">
        <v>13</v>
      </c>
      <c r="D66" s="86">
        <v>2</v>
      </c>
      <c r="E66" s="87">
        <v>11</v>
      </c>
      <c r="F66" s="88">
        <v>2</v>
      </c>
      <c r="G66" s="87">
        <v>12</v>
      </c>
      <c r="H66" s="87">
        <v>0</v>
      </c>
      <c r="I66" s="89">
        <v>1</v>
      </c>
      <c r="J66" s="89">
        <v>1</v>
      </c>
      <c r="K66" s="89">
        <v>1</v>
      </c>
      <c r="L66" s="89">
        <v>1</v>
      </c>
      <c r="M66" s="89">
        <v>1</v>
      </c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122"/>
      <c r="Z66" s="135">
        <f>((C66*0.96^2+D66*0.44^2)+(E66*0.94^2+F66*0.94^2)+(G66*0.96^2+H66*0.6^2)+M66*1.2^2)</f>
        <v>36.354</v>
      </c>
      <c r="AA66" s="149">
        <f>(((C66*0.96^2+D66*0.44^2)+(E66*0.94^2+F66*0.94^2)+(G66*0.96^2+H66*0.6^2)+M66*1.2^2)/50)*100</f>
        <v>72.708</v>
      </c>
      <c r="AB66" s="160">
        <f>C66*1.2^2+D66*1.15^2+E66*1.2^2+F66*1.15^2+G66*1.2^2+H66*0.75^2+I66*1.2^2+J66*1.4^2+K66*1.4^2+L66*1.2^2+M66*1.4^2</f>
        <v>65.88999999999999</v>
      </c>
      <c r="AC66" s="156">
        <f>((C66*1.2^2+D66*1.15^2+E66*1.2^2+F66*1.15^2+G66*1.2^2+H66*0.75^2+I66*1.2^2+J66*1.4^2+K66*1.4^2+L66*1.2^2+M66*1.4^2)/($AC$54/2))*100</f>
        <v>87.85333333333331</v>
      </c>
      <c r="AD66" s="182">
        <f aca="true" t="shared" si="9" ref="AD66:AD79">C66+E66+G66</f>
        <v>36</v>
      </c>
      <c r="AE66" s="183">
        <f aca="true" t="shared" si="10" ref="AE66:AE79">D66+F66+H66</f>
        <v>4</v>
      </c>
      <c r="AF66" s="194" t="s">
        <v>124</v>
      </c>
      <c r="AG66" s="1"/>
    </row>
    <row r="67" spans="1:33" ht="9.75" customHeight="1">
      <c r="A67" s="84">
        <v>11</v>
      </c>
      <c r="B67" s="85" t="s">
        <v>27</v>
      </c>
      <c r="C67" s="86">
        <v>13</v>
      </c>
      <c r="D67" s="86">
        <v>0</v>
      </c>
      <c r="E67" s="87">
        <v>7</v>
      </c>
      <c r="F67" s="88">
        <v>1</v>
      </c>
      <c r="G67" s="87">
        <v>16</v>
      </c>
      <c r="H67" s="87">
        <v>5</v>
      </c>
      <c r="I67" s="89">
        <v>1</v>
      </c>
      <c r="J67" s="227">
        <v>1</v>
      </c>
      <c r="K67" s="227">
        <v>1</v>
      </c>
      <c r="L67" s="227">
        <v>1</v>
      </c>
      <c r="M67" s="37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122"/>
      <c r="Z67" s="135">
        <f aca="true" t="shared" si="11" ref="Z67:Z79">((C67*0.96^2+D67*0.44^2)+(E67*0.94^2+F67*0.94^2)+(G67*0.96^2+H67*0.6^2))</f>
        <v>35.5952</v>
      </c>
      <c r="AA67" s="149">
        <f aca="true" t="shared" si="12" ref="AA67:AA79">(((C67*0.96^2+D67*0.44^2)+(E67*0.94^2+F67*0.94^2)+(G67*0.96^2+H67*0.6^2))/50)*100</f>
        <v>71.1904</v>
      </c>
      <c r="AB67" s="221">
        <f>(C67+C68)*1.2^2+(D67+D68)*1.15^2+(E67+E68)*1.2^2+(F67+F68)*1.15^2+(G67+G68)*1.2^2+(H67+H68)*0.75^2+(I67+I68)*1.2^2+J67*1.4^2+K67*1.4^2+L67*1.2^2</f>
        <v>119.50999999999998</v>
      </c>
      <c r="AC67" s="223">
        <f>(((C67+C68)*1.2^2+(D67+D68)*1.15^2+(E67+E68)*1.2^2+(F67+F68)*1.15^2+(G67+G68)*1.2^2+(H67+H68)*0.75^2+(I67+I68)*1.2^2+J67*1.4^2+K67*1.4^2+L67*1.2^2)/$AC$54)*100</f>
        <v>79.67333333333332</v>
      </c>
      <c r="AD67" s="182">
        <f t="shared" si="9"/>
        <v>36</v>
      </c>
      <c r="AE67" s="183">
        <f t="shared" si="10"/>
        <v>6</v>
      </c>
      <c r="AF67" s="193"/>
      <c r="AG67" s="1"/>
    </row>
    <row r="68" spans="1:33" ht="9.75" customHeight="1">
      <c r="A68" s="84">
        <v>12</v>
      </c>
      <c r="B68" s="85" t="s">
        <v>28</v>
      </c>
      <c r="C68" s="86">
        <v>13</v>
      </c>
      <c r="D68" s="86">
        <v>0</v>
      </c>
      <c r="E68" s="87">
        <v>5</v>
      </c>
      <c r="F68" s="88">
        <v>2</v>
      </c>
      <c r="G68" s="87">
        <v>17</v>
      </c>
      <c r="H68" s="87">
        <v>4</v>
      </c>
      <c r="I68" s="89">
        <v>1</v>
      </c>
      <c r="J68" s="228"/>
      <c r="K68" s="217"/>
      <c r="L68" s="217"/>
      <c r="M68" s="5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122"/>
      <c r="Z68" s="135">
        <f t="shared" si="11"/>
        <v>35.2732</v>
      </c>
      <c r="AA68" s="149">
        <f t="shared" si="12"/>
        <v>70.5464</v>
      </c>
      <c r="AB68" s="222"/>
      <c r="AC68" s="224"/>
      <c r="AD68" s="182">
        <f t="shared" si="9"/>
        <v>35</v>
      </c>
      <c r="AE68" s="183">
        <f t="shared" si="10"/>
        <v>6</v>
      </c>
      <c r="AF68" s="192" t="s">
        <v>124</v>
      </c>
      <c r="AG68" s="1"/>
    </row>
    <row r="69" spans="1:33" ht="9.75" customHeight="1">
      <c r="A69" s="84">
        <v>13</v>
      </c>
      <c r="B69" s="85" t="s">
        <v>29</v>
      </c>
      <c r="C69" s="86">
        <v>12</v>
      </c>
      <c r="D69" s="87">
        <v>3</v>
      </c>
      <c r="E69" s="87">
        <v>12</v>
      </c>
      <c r="F69" s="88">
        <v>2</v>
      </c>
      <c r="G69" s="87">
        <v>12</v>
      </c>
      <c r="H69" s="87">
        <v>0</v>
      </c>
      <c r="I69" s="89">
        <v>1</v>
      </c>
      <c r="J69" s="227">
        <v>1</v>
      </c>
      <c r="K69" s="227">
        <v>1</v>
      </c>
      <c r="L69" s="227">
        <v>1</v>
      </c>
      <c r="M69" s="37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122"/>
      <c r="Z69" s="135">
        <f t="shared" si="11"/>
        <v>35.0696</v>
      </c>
      <c r="AA69" s="149">
        <f t="shared" si="12"/>
        <v>70.1392</v>
      </c>
      <c r="AB69" s="221">
        <f>(C69+C70)*1.2^2+(D69+D70)*1.15^2+(E69+E70)*1.2^2+(F69+F70)*1.15^2+(G69+G70)*1.2^2+(H69+H70)*0.75^2+(I69+I70)*1.2^2+J69*1.4^2+K69*1.4^2+L69*1.2^2</f>
        <v>123.70499999999998</v>
      </c>
      <c r="AC69" s="223">
        <f>(((C69+C70)*1.2^2+(D69+D70)*1.15^2+(E69+E70)*1.2^2+(F69+F70)*1.15^2+(G69+G70)*1.2^2+(H69+H70)*0.75^2+(I69+I70)*1.2^2+J69*1.4^2+K69*1.4^2+L69*1.2^2)/$AC$54)*100</f>
        <v>82.46999999999998</v>
      </c>
      <c r="AD69" s="182">
        <f t="shared" si="9"/>
        <v>36</v>
      </c>
      <c r="AE69" s="183">
        <f t="shared" si="10"/>
        <v>5</v>
      </c>
      <c r="AF69" s="193"/>
      <c r="AG69" s="1"/>
    </row>
    <row r="70" spans="1:33" ht="9.75" customHeight="1">
      <c r="A70" s="84">
        <v>14</v>
      </c>
      <c r="B70" s="85" t="s">
        <v>30</v>
      </c>
      <c r="C70" s="86">
        <v>10</v>
      </c>
      <c r="D70" s="86">
        <v>2</v>
      </c>
      <c r="E70" s="87">
        <v>8</v>
      </c>
      <c r="F70" s="88">
        <v>3</v>
      </c>
      <c r="G70" s="87">
        <v>17</v>
      </c>
      <c r="H70" s="87">
        <v>0</v>
      </c>
      <c r="I70" s="89">
        <v>1</v>
      </c>
      <c r="J70" s="228"/>
      <c r="K70" s="217"/>
      <c r="L70" s="217"/>
      <c r="M70" s="5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122"/>
      <c r="Z70" s="135">
        <f t="shared" si="11"/>
        <v>34.99</v>
      </c>
      <c r="AA70" s="149">
        <f t="shared" si="12"/>
        <v>69.98</v>
      </c>
      <c r="AB70" s="222"/>
      <c r="AC70" s="224"/>
      <c r="AD70" s="182">
        <f t="shared" si="9"/>
        <v>35</v>
      </c>
      <c r="AE70" s="183">
        <f t="shared" si="10"/>
        <v>5</v>
      </c>
      <c r="AF70" s="192" t="s">
        <v>124</v>
      </c>
      <c r="AG70" s="1"/>
    </row>
    <row r="71" spans="1:33" ht="9.75" customHeight="1">
      <c r="A71" s="84">
        <v>15</v>
      </c>
      <c r="B71" s="85" t="s">
        <v>31</v>
      </c>
      <c r="C71" s="86">
        <v>13</v>
      </c>
      <c r="D71" s="86">
        <v>0</v>
      </c>
      <c r="E71" s="87">
        <v>9</v>
      </c>
      <c r="F71" s="88">
        <v>3</v>
      </c>
      <c r="G71" s="87">
        <v>12</v>
      </c>
      <c r="H71" s="87">
        <v>6</v>
      </c>
      <c r="I71" s="89">
        <v>1</v>
      </c>
      <c r="J71" s="227">
        <v>1</v>
      </c>
      <c r="K71" s="227">
        <v>1</v>
      </c>
      <c r="L71" s="227">
        <v>1</v>
      </c>
      <c r="M71" s="37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122"/>
      <c r="Z71" s="135">
        <f t="shared" si="11"/>
        <v>35.803200000000004</v>
      </c>
      <c r="AA71" s="149">
        <f t="shared" si="12"/>
        <v>71.60640000000001</v>
      </c>
      <c r="AB71" s="221">
        <f>(C71+C72)*1.2^2+(D71+D72)*1.15^2+(E71+E72)*1.2^2+(F71+F72)*1.15^2+(G71+G72)*1.2^2+(H71+H72)*0.75^2+(I71+I72)*1.2^2+J71*1.4^2+K71*1.4^2+L71*1.2^2</f>
        <v>123.12499999999997</v>
      </c>
      <c r="AC71" s="223">
        <f>(((C71+C72)*1.2^2+(D71+D72)*1.15^2+(E71+E72)*1.2^2+(F71+F72)*1.15^2+(G71+G72)*1.2^2+(H71+H72)*0.75^2+(I71+I72)*1.2^2+J71*1.4^2+K71*1.4^2+L71*1.2^2)/$AC$54)*100</f>
        <v>82.08333333333331</v>
      </c>
      <c r="AD71" s="182">
        <f t="shared" si="9"/>
        <v>34</v>
      </c>
      <c r="AE71" s="183">
        <f t="shared" si="10"/>
        <v>9</v>
      </c>
      <c r="AF71" s="193"/>
      <c r="AG71" s="1"/>
    </row>
    <row r="72" spans="1:33" ht="9.75" customHeight="1">
      <c r="A72" s="84">
        <v>16</v>
      </c>
      <c r="B72" s="85" t="s">
        <v>32</v>
      </c>
      <c r="C72" s="86">
        <v>13</v>
      </c>
      <c r="D72" s="86">
        <v>3</v>
      </c>
      <c r="E72" s="87">
        <v>11</v>
      </c>
      <c r="F72" s="88">
        <v>3</v>
      </c>
      <c r="G72" s="87">
        <v>10</v>
      </c>
      <c r="H72" s="87">
        <v>3</v>
      </c>
      <c r="I72" s="89">
        <v>1</v>
      </c>
      <c r="J72" s="228"/>
      <c r="K72" s="217"/>
      <c r="L72" s="217"/>
      <c r="M72" s="5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122"/>
      <c r="Z72" s="135">
        <f t="shared" si="11"/>
        <v>35.228</v>
      </c>
      <c r="AA72" s="149">
        <f t="shared" si="12"/>
        <v>70.456</v>
      </c>
      <c r="AB72" s="222"/>
      <c r="AC72" s="224"/>
      <c r="AD72" s="182">
        <f t="shared" si="9"/>
        <v>34</v>
      </c>
      <c r="AE72" s="183">
        <f t="shared" si="10"/>
        <v>9</v>
      </c>
      <c r="AF72" s="192" t="s">
        <v>124</v>
      </c>
      <c r="AG72" s="1"/>
    </row>
    <row r="73" spans="1:33" ht="9.75" customHeight="1">
      <c r="A73" s="84">
        <v>17</v>
      </c>
      <c r="B73" s="85" t="s">
        <v>33</v>
      </c>
      <c r="C73" s="86">
        <v>13</v>
      </c>
      <c r="D73" s="87">
        <v>3</v>
      </c>
      <c r="E73" s="87">
        <v>9</v>
      </c>
      <c r="F73" s="88">
        <v>4</v>
      </c>
      <c r="G73" s="87">
        <v>12</v>
      </c>
      <c r="H73" s="87">
        <v>0</v>
      </c>
      <c r="I73" s="89">
        <v>1</v>
      </c>
      <c r="J73" s="227">
        <v>1</v>
      </c>
      <c r="K73" s="227">
        <v>1</v>
      </c>
      <c r="L73" s="227">
        <v>1</v>
      </c>
      <c r="M73" s="37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122"/>
      <c r="Z73" s="135">
        <f t="shared" si="11"/>
        <v>35.107600000000005</v>
      </c>
      <c r="AA73" s="149">
        <f t="shared" si="12"/>
        <v>70.21520000000001</v>
      </c>
      <c r="AB73" s="221">
        <f>(C73+C74)*1.2^2+(D73+D74)*1.15^2+(E73+E74)*1.2^2+(F73+F74)*1.15^2+(G73+G74)*1.2^2+(H73+H74)*0.75^2+(I73+I74)*1.2^2+J73*1.4^2+K73*1.4^2+L73*1.2^2</f>
        <v>120.54749999999999</v>
      </c>
      <c r="AC73" s="223">
        <f>(((C73+C74)*1.2^2+(D73+D74)*1.15^2+(E73+E74)*1.2^2+(F73+F74)*1.15^2+(G73+G74)*1.2^2+(H73+H74)*0.75^2+(I73+I74)*1.2^2+J73*1.4^2+K73*1.4^2+L73*1.2^2)/$AC$54)*100</f>
        <v>80.36499999999998</v>
      </c>
      <c r="AD73" s="182">
        <f t="shared" si="9"/>
        <v>34</v>
      </c>
      <c r="AE73" s="183">
        <f t="shared" si="10"/>
        <v>7</v>
      </c>
      <c r="AF73" s="193"/>
      <c r="AG73" s="1"/>
    </row>
    <row r="74" spans="1:33" ht="9.75" customHeight="1">
      <c r="A74" s="84">
        <v>18</v>
      </c>
      <c r="B74" s="85" t="s">
        <v>34</v>
      </c>
      <c r="C74" s="86">
        <v>13</v>
      </c>
      <c r="D74" s="86">
        <v>0</v>
      </c>
      <c r="E74" s="87">
        <v>9</v>
      </c>
      <c r="F74" s="88">
        <v>0</v>
      </c>
      <c r="G74" s="87">
        <v>14</v>
      </c>
      <c r="H74" s="87">
        <v>4</v>
      </c>
      <c r="I74" s="89">
        <v>1</v>
      </c>
      <c r="J74" s="228"/>
      <c r="K74" s="217"/>
      <c r="L74" s="217"/>
      <c r="M74" s="5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122"/>
      <c r="Z74" s="135">
        <f t="shared" si="11"/>
        <v>34.2756</v>
      </c>
      <c r="AA74" s="149">
        <f t="shared" si="12"/>
        <v>68.5512</v>
      </c>
      <c r="AB74" s="222"/>
      <c r="AC74" s="224"/>
      <c r="AD74" s="182">
        <f t="shared" si="9"/>
        <v>36</v>
      </c>
      <c r="AE74" s="183">
        <f t="shared" si="10"/>
        <v>4</v>
      </c>
      <c r="AF74" s="192" t="s">
        <v>124</v>
      </c>
      <c r="AG74" s="1"/>
    </row>
    <row r="75" spans="1:33" ht="9.75" customHeight="1">
      <c r="A75" s="84">
        <v>19</v>
      </c>
      <c r="B75" s="85" t="s">
        <v>35</v>
      </c>
      <c r="C75" s="86">
        <v>10</v>
      </c>
      <c r="D75" s="86">
        <v>2</v>
      </c>
      <c r="E75" s="87">
        <v>7</v>
      </c>
      <c r="F75" s="88">
        <v>4</v>
      </c>
      <c r="G75" s="87">
        <v>15</v>
      </c>
      <c r="H75" s="87">
        <v>3</v>
      </c>
      <c r="I75" s="89">
        <v>1</v>
      </c>
      <c r="J75" s="227">
        <v>1</v>
      </c>
      <c r="K75" s="227">
        <v>1</v>
      </c>
      <c r="L75" s="227">
        <v>1</v>
      </c>
      <c r="M75" s="37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122"/>
      <c r="Z75" s="135">
        <f t="shared" si="11"/>
        <v>34.2268</v>
      </c>
      <c r="AA75" s="149">
        <f t="shared" si="12"/>
        <v>68.4536</v>
      </c>
      <c r="AB75" s="230">
        <f>(C75+C76)*1.2^2+(D75+D76)*1.15^2+(E75+E76)*1.2^2+(F75+F76)*1.15^2+(G75+G76)*1.2^2+(H75+H76)*0.75^2+(I75+I76)*1.2^2+J75*1.4^2+K75*1.4^2+L75*1.2^2+(11)*1.2^2-(2)*1.15^2</f>
        <v>134.06999999999996</v>
      </c>
      <c r="AC75" s="232">
        <f>(((C75+C76)*1.2^2+(D75+D76)*1.15^2+(E75+E76)*1.2^2+(F75+F76)*1.15^2+(G75+G76)*1.2^2+(H75+H76)*0.75^2+(I75+I76)*1.2^2+J75*1.4^2+K75*1.4^2+L75*1.2^2+(11)*1.2^2-(2)*1.15^2)/$AC$54)*100</f>
        <v>89.37999999999998</v>
      </c>
      <c r="AD75" s="182">
        <f t="shared" si="9"/>
        <v>32</v>
      </c>
      <c r="AE75" s="183">
        <f t="shared" si="10"/>
        <v>9</v>
      </c>
      <c r="AF75" s="193"/>
      <c r="AG75" s="1"/>
    </row>
    <row r="76" spans="1:33" ht="9.75" customHeight="1">
      <c r="A76" s="84">
        <v>20</v>
      </c>
      <c r="B76" s="85" t="s">
        <v>36</v>
      </c>
      <c r="C76" s="86">
        <v>10</v>
      </c>
      <c r="D76" s="86">
        <v>3</v>
      </c>
      <c r="E76" s="87">
        <v>10</v>
      </c>
      <c r="F76" s="88">
        <v>0</v>
      </c>
      <c r="G76" s="87">
        <v>16</v>
      </c>
      <c r="H76" s="87">
        <v>2</v>
      </c>
      <c r="I76" s="89">
        <v>1</v>
      </c>
      <c r="J76" s="228"/>
      <c r="K76" s="217"/>
      <c r="L76" s="217"/>
      <c r="M76" s="5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122"/>
      <c r="Z76" s="135">
        <f t="shared" si="11"/>
        <v>34.0984</v>
      </c>
      <c r="AA76" s="149">
        <f t="shared" si="12"/>
        <v>68.1968</v>
      </c>
      <c r="AB76" s="231"/>
      <c r="AC76" s="233"/>
      <c r="AD76" s="182">
        <f t="shared" si="9"/>
        <v>36</v>
      </c>
      <c r="AE76" s="183">
        <f t="shared" si="10"/>
        <v>5</v>
      </c>
      <c r="AF76" s="192" t="s">
        <v>124</v>
      </c>
      <c r="AG76" s="1"/>
    </row>
    <row r="77" spans="1:33" ht="9.75" customHeight="1">
      <c r="A77" s="84">
        <v>21</v>
      </c>
      <c r="B77" s="85" t="s">
        <v>39</v>
      </c>
      <c r="C77" s="86">
        <v>13</v>
      </c>
      <c r="D77" s="86">
        <v>0</v>
      </c>
      <c r="E77" s="87">
        <v>5</v>
      </c>
      <c r="F77" s="88">
        <v>1</v>
      </c>
      <c r="G77" s="87">
        <v>18</v>
      </c>
      <c r="H77" s="87">
        <v>0</v>
      </c>
      <c r="I77" s="89">
        <v>1</v>
      </c>
      <c r="J77" s="227">
        <v>1</v>
      </c>
      <c r="K77" s="227">
        <v>1</v>
      </c>
      <c r="L77" s="227">
        <v>1</v>
      </c>
      <c r="M77" s="37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122"/>
      <c r="Z77" s="135">
        <f t="shared" si="11"/>
        <v>33.8712</v>
      </c>
      <c r="AA77" s="149">
        <f t="shared" si="12"/>
        <v>67.7424</v>
      </c>
      <c r="AB77" s="230">
        <f>(C77+C78)*1.2^2+(D77+D78)*1.15^2+(E77+E78)*1.2^2+(F77+F78)*1.15^2+(G77+G78)*1.2^2+(H77+H78)*0.75^2+(I77+I78)*1.2^2+J77*1.4^2+K77*1.4^2+L77*1.2^2-(11)*1.2^2+(2)*1.15^2</f>
        <v>102.50749999999996</v>
      </c>
      <c r="AC77" s="232">
        <f>(((C77+C78)*1.2^2+(D77+D78)*1.15^2+(E77+E78)*1.2^2+(F77+F78)*1.15^2+(G77+G78)*1.2^2+(H77+H78)*0.75^2+(I77+I78)*1.2^2+J77*1.4^2+K77*1.4^2+L77*1.2^2-(11)*1.2^2+(2)*1.15^2)/$AC$54)*100</f>
        <v>68.33833333333331</v>
      </c>
      <c r="AD77" s="182">
        <f t="shared" si="9"/>
        <v>36</v>
      </c>
      <c r="AE77" s="183">
        <f t="shared" si="10"/>
        <v>1</v>
      </c>
      <c r="AF77" s="193"/>
      <c r="AG77" s="1"/>
    </row>
    <row r="78" spans="1:33" ht="9.75" customHeight="1">
      <c r="A78" s="84">
        <v>22</v>
      </c>
      <c r="B78" s="85" t="s">
        <v>40</v>
      </c>
      <c r="C78" s="86">
        <v>13</v>
      </c>
      <c r="D78" s="86">
        <v>0</v>
      </c>
      <c r="E78" s="87">
        <v>9</v>
      </c>
      <c r="F78" s="88">
        <v>3</v>
      </c>
      <c r="G78" s="87">
        <v>11</v>
      </c>
      <c r="H78" s="87">
        <v>5</v>
      </c>
      <c r="I78" s="89">
        <v>1</v>
      </c>
      <c r="J78" s="228"/>
      <c r="K78" s="217"/>
      <c r="L78" s="217"/>
      <c r="M78" s="5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122"/>
      <c r="Z78" s="135">
        <f t="shared" si="11"/>
        <v>34.5216</v>
      </c>
      <c r="AA78" s="149">
        <f t="shared" si="12"/>
        <v>69.0432</v>
      </c>
      <c r="AB78" s="231"/>
      <c r="AC78" s="233"/>
      <c r="AD78" s="182">
        <f t="shared" si="9"/>
        <v>33</v>
      </c>
      <c r="AE78" s="183">
        <f t="shared" si="10"/>
        <v>8</v>
      </c>
      <c r="AF78" s="192" t="s">
        <v>55</v>
      </c>
      <c r="AG78" s="1"/>
    </row>
    <row r="79" spans="1:33" ht="9.75" customHeight="1">
      <c r="A79" s="84">
        <v>23</v>
      </c>
      <c r="B79" s="85" t="s">
        <v>41</v>
      </c>
      <c r="C79" s="86">
        <v>13</v>
      </c>
      <c r="D79" s="86">
        <v>3</v>
      </c>
      <c r="E79" s="87">
        <v>10</v>
      </c>
      <c r="F79" s="88">
        <v>2</v>
      </c>
      <c r="G79" s="87">
        <v>10</v>
      </c>
      <c r="H79" s="87">
        <v>4</v>
      </c>
      <c r="I79" s="89">
        <v>1</v>
      </c>
      <c r="J79" s="89">
        <v>1</v>
      </c>
      <c r="K79" s="89">
        <v>1</v>
      </c>
      <c r="L79" s="89">
        <v>1</v>
      </c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122"/>
      <c r="Z79" s="135">
        <f t="shared" si="11"/>
        <v>33.8208</v>
      </c>
      <c r="AA79" s="149">
        <f t="shared" si="12"/>
        <v>67.6416</v>
      </c>
      <c r="AB79" s="160">
        <f>C79*1.2^2+D79*1.15^2+E79*1.2^2+F79*1.15^2+G79*1.2^2+H79*0.75^2+I79*1.2^2+J79*1.4^2+K79*1.4^2+L79*1.2^2</f>
        <v>63.1825</v>
      </c>
      <c r="AC79" s="156">
        <f>((C79*1.2^2+D79*1.15^2+E79*1.2^2+F79*1.15^2+G79*1.2^2+H79*0.75^2+I79*1.2^2+J79*1.4^2+K79*1.4^2+L79*1.2^2)/($AC$54/2))*100</f>
        <v>84.24333333333333</v>
      </c>
      <c r="AD79" s="182">
        <f t="shared" si="9"/>
        <v>33</v>
      </c>
      <c r="AE79" s="183">
        <f t="shared" si="10"/>
        <v>9</v>
      </c>
      <c r="AF79" s="193" t="s">
        <v>55</v>
      </c>
      <c r="AG79" s="1"/>
    </row>
    <row r="80" spans="1:33" ht="9.75" customHeight="1">
      <c r="A80" s="84">
        <v>24</v>
      </c>
      <c r="B80" s="90" t="s">
        <v>42</v>
      </c>
      <c r="C80" s="95"/>
      <c r="D80" s="95"/>
      <c r="E80" s="90"/>
      <c r="F80" s="96"/>
      <c r="G80" s="90"/>
      <c r="H80" s="90"/>
      <c r="I80" s="97"/>
      <c r="J80" s="97"/>
      <c r="K80" s="97"/>
      <c r="L80" s="97"/>
      <c r="M80" s="97"/>
      <c r="N80" s="97">
        <v>2</v>
      </c>
      <c r="O80" s="97">
        <v>28</v>
      </c>
      <c r="P80" s="97">
        <v>4</v>
      </c>
      <c r="Q80" s="97">
        <v>3</v>
      </c>
      <c r="R80" s="97">
        <v>4</v>
      </c>
      <c r="S80" s="97">
        <v>3</v>
      </c>
      <c r="T80" s="97">
        <v>1</v>
      </c>
      <c r="U80" s="97"/>
      <c r="V80" s="97"/>
      <c r="W80" s="97"/>
      <c r="X80" s="97">
        <v>1</v>
      </c>
      <c r="Y80" s="123"/>
      <c r="Z80" s="132">
        <f>((N80*1.2^2+O80*1.2^2+P80*0.82^2)+(Q80*1.45^2+R80*1.44^2)+(S80*1.18^2+T80*1.25^2)+X80*1.2^2)</f>
        <v>67.6712</v>
      </c>
      <c r="AA80" s="137">
        <f>((((N80*1.2^2+O80*1.2^2+P80*0.82^2)+(Q80*1.45^2+R80*1.44^2)+(S80*1.18^2+T80*1.25^2)+X80*1.2^2))/90)*100</f>
        <v>75.19022222222222</v>
      </c>
      <c r="AB80" s="163">
        <f>((N80*1.2^2+O80*1.28^2+P80*1.15^2)+(Q80*1.45^2+R80*1.44^2)+(S80*1.18^2+T80*1.25^2)+X80*1.4^2)</f>
        <v>76.34679999999999</v>
      </c>
      <c r="AC80" s="164">
        <f>(((N80*1.2^2+O80*1.28^2+P80*1.15^2)+(Q80*1.45^2+R80*1.44^2)+(S80*1.18^2+T80*1.25^2)+X80*1.4^2)/($AC$54/2))*100</f>
        <v>101.79573333333332</v>
      </c>
      <c r="AD80" s="184">
        <f>SUM(N80:R80)</f>
        <v>41</v>
      </c>
      <c r="AE80" s="185"/>
      <c r="AF80" s="195"/>
      <c r="AG80" s="1"/>
    </row>
    <row r="81" spans="1:33" ht="9.75" customHeight="1">
      <c r="A81" s="84">
        <v>25</v>
      </c>
      <c r="B81" s="90" t="s">
        <v>43</v>
      </c>
      <c r="C81" s="143" t="s">
        <v>110</v>
      </c>
      <c r="D81" s="94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38"/>
      <c r="AA81" s="139"/>
      <c r="AB81" s="138"/>
      <c r="AC81" s="190"/>
      <c r="AD81" s="184"/>
      <c r="AE81" s="185"/>
      <c r="AF81" s="196" t="s">
        <v>146</v>
      </c>
      <c r="AG81" s="1"/>
    </row>
    <row r="82" spans="1:33" ht="9.75" customHeight="1">
      <c r="A82" s="84">
        <v>26</v>
      </c>
      <c r="B82" s="85" t="s">
        <v>44</v>
      </c>
      <c r="C82" s="86">
        <v>13</v>
      </c>
      <c r="D82" s="86">
        <v>3</v>
      </c>
      <c r="E82" s="87">
        <v>11</v>
      </c>
      <c r="F82" s="88">
        <v>2</v>
      </c>
      <c r="G82" s="87">
        <v>12</v>
      </c>
      <c r="H82" s="87">
        <v>0</v>
      </c>
      <c r="I82" s="89">
        <v>1</v>
      </c>
      <c r="J82" s="89">
        <v>1</v>
      </c>
      <c r="K82" s="89">
        <v>1</v>
      </c>
      <c r="L82" s="89">
        <v>1</v>
      </c>
      <c r="M82" s="89">
        <v>1</v>
      </c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122"/>
      <c r="Z82" s="135">
        <f>((C82*0.96^2+D82*0.44^2)+(E82*0.94^2+F82*0.94^2)+(G82*0.96^2+H82*0.6^2)+M82*1.2^2)</f>
        <v>36.5476</v>
      </c>
      <c r="AA82" s="149">
        <f>(((C82*0.96^2+D82*0.44^2)+(E82*0.94^2+F82*0.94^2)+(G82*0.96^2+H82*0.6^2)+M82*1.2^2)/50)*100</f>
        <v>73.0952</v>
      </c>
      <c r="AB82" s="160">
        <f>C82*1.2^2+D82*1.15^2+E82*1.2^2+F82*1.15^2+G82*1.2^2+H82*0.75^2+I82*1.2^2+J82*1.4^2+K82*1.4^2+L82*1.2^2+M82*1.4^2</f>
        <v>67.21249999999999</v>
      </c>
      <c r="AC82" s="156">
        <f>((C82*1.2^2+D82*1.15^2+E82*1.2^2+F82*1.15^2+G82*1.2^2+H82*0.75^2+I82*1.2^2+J82*1.4^2+K82*1.4^2+L82*1.2^2+M82*1.4^2)/($AC$54/2))*100</f>
        <v>89.61666666666666</v>
      </c>
      <c r="AD82" s="182">
        <f aca="true" t="shared" si="13" ref="AD82:AD88">C82+E82+G82</f>
        <v>36</v>
      </c>
      <c r="AE82" s="183">
        <f aca="true" t="shared" si="14" ref="AE82:AE88">D82+F82+H82</f>
        <v>5</v>
      </c>
      <c r="AF82" s="194" t="s">
        <v>55</v>
      </c>
      <c r="AG82" s="1"/>
    </row>
    <row r="83" spans="1:33" ht="9.75" customHeight="1">
      <c r="A83" s="84">
        <v>27</v>
      </c>
      <c r="B83" s="85" t="s">
        <v>45</v>
      </c>
      <c r="C83" s="86">
        <v>13</v>
      </c>
      <c r="D83" s="86">
        <v>3</v>
      </c>
      <c r="E83" s="87">
        <v>7</v>
      </c>
      <c r="F83" s="88">
        <v>1</v>
      </c>
      <c r="G83" s="87">
        <v>16</v>
      </c>
      <c r="H83" s="87">
        <v>3</v>
      </c>
      <c r="I83" s="89">
        <v>1</v>
      </c>
      <c r="J83" s="227">
        <v>1</v>
      </c>
      <c r="K83" s="227">
        <v>1</v>
      </c>
      <c r="L83" s="227">
        <v>1</v>
      </c>
      <c r="M83" s="37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122"/>
      <c r="Z83" s="135">
        <f aca="true" t="shared" si="15" ref="Z83:Z88">((C83*0.96^2+D83*0.44^2)+(E83*0.94^2+F83*0.94^2)+(G83*0.96^2+H83*0.6^2))</f>
        <v>35.456</v>
      </c>
      <c r="AA83" s="149">
        <f aca="true" t="shared" si="16" ref="AA83:AA88">(((C83*0.96^2+D83*0.44^2)+(E83*0.94^2+F83*0.94^2)+(G83*0.96^2+H83*0.6^2))/50)*100</f>
        <v>70.912</v>
      </c>
      <c r="AB83" s="221">
        <f>(C83+C84)*1.2^2+(D83+D84)*1.15^2+(E83+E84)*1.2^2+(F83+F84)*1.15^2+(G83+G84)*1.2^2+(H83+H84)*0.75^2+(I83+I84)*1.2^2+J83*1.4^2+K83*1.4^2+L83*1.2^2</f>
        <v>122.35249999999998</v>
      </c>
      <c r="AC83" s="223">
        <f>(((C83+C84)*1.2^2+(D83+D84)*1.15^2+(E83+E84)*1.2^2+(F83+F84)*1.15^2+(G83+G84)*1.2^2+(H83+H84)*0.75^2+(I83+I84)*1.2^2+J83*1.4^2+K83*1.4^2+L83*1.2^2)/$AC$54)*100</f>
        <v>81.56833333333331</v>
      </c>
      <c r="AD83" s="182">
        <f t="shared" si="13"/>
        <v>36</v>
      </c>
      <c r="AE83" s="183">
        <f t="shared" si="14"/>
        <v>7</v>
      </c>
      <c r="AF83" s="193"/>
      <c r="AG83" s="1"/>
    </row>
    <row r="84" spans="1:33" ht="9.75" customHeight="1">
      <c r="A84" s="84">
        <v>28</v>
      </c>
      <c r="B84" s="85" t="s">
        <v>46</v>
      </c>
      <c r="C84" s="86">
        <v>13</v>
      </c>
      <c r="D84" s="86">
        <v>0</v>
      </c>
      <c r="E84" s="87">
        <v>5</v>
      </c>
      <c r="F84" s="88">
        <v>2</v>
      </c>
      <c r="G84" s="87">
        <v>17</v>
      </c>
      <c r="H84" s="87">
        <v>4</v>
      </c>
      <c r="I84" s="89">
        <v>1</v>
      </c>
      <c r="J84" s="228"/>
      <c r="K84" s="217"/>
      <c r="L84" s="217"/>
      <c r="M84" s="5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122"/>
      <c r="Z84" s="135">
        <f t="shared" si="15"/>
        <v>35.2732</v>
      </c>
      <c r="AA84" s="149">
        <f t="shared" si="16"/>
        <v>70.5464</v>
      </c>
      <c r="AB84" s="222"/>
      <c r="AC84" s="224"/>
      <c r="AD84" s="182">
        <f t="shared" si="13"/>
        <v>35</v>
      </c>
      <c r="AE84" s="183">
        <f t="shared" si="14"/>
        <v>6</v>
      </c>
      <c r="AF84" s="192" t="s">
        <v>55</v>
      </c>
      <c r="AG84" s="1"/>
    </row>
    <row r="85" spans="1:33" ht="9.75" customHeight="1">
      <c r="A85" s="84">
        <v>29</v>
      </c>
      <c r="B85" s="85" t="s">
        <v>47</v>
      </c>
      <c r="C85" s="86">
        <v>11</v>
      </c>
      <c r="D85" s="86">
        <v>0</v>
      </c>
      <c r="E85" s="87">
        <v>12</v>
      </c>
      <c r="F85" s="88">
        <v>2</v>
      </c>
      <c r="G85" s="87">
        <v>13</v>
      </c>
      <c r="H85" s="87">
        <v>2</v>
      </c>
      <c r="I85" s="89">
        <v>1</v>
      </c>
      <c r="J85" s="227">
        <v>1</v>
      </c>
      <c r="K85" s="227">
        <v>1</v>
      </c>
      <c r="L85" s="227">
        <v>1</v>
      </c>
      <c r="M85" s="37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122"/>
      <c r="Z85" s="135">
        <f t="shared" si="15"/>
        <v>35.2088</v>
      </c>
      <c r="AA85" s="149">
        <f t="shared" si="16"/>
        <v>70.4176</v>
      </c>
      <c r="AB85" s="221">
        <f>(C85+C86)*1.2^2+(D85+D86)*1.15^2+(E85+E86)*1.2^2+(F85+F86)*1.15^2+(G85+G86)*1.2^2+(H85+H86)*0.75^2+(I85+I86)*1.2^2+J85*1.4^2+K85*1.4^2+L85*1.2^2</f>
        <v>122.18499999999997</v>
      </c>
      <c r="AC85" s="223">
        <f>(((C85+C86)*1.2^2+(D85+D86)*1.15^2+(E85+E86)*1.2^2+(F85+F86)*1.15^2+(G85+G86)*1.2^2+(H85+H86)*0.75^2+(I85+I86)*1.2^2+J85*1.4^2+K85*1.4^2+L85*1.2^2)/$AC$54)*100</f>
        <v>81.45666666666665</v>
      </c>
      <c r="AD85" s="182">
        <f t="shared" si="13"/>
        <v>36</v>
      </c>
      <c r="AE85" s="183">
        <f t="shared" si="14"/>
        <v>4</v>
      </c>
      <c r="AF85" s="193"/>
      <c r="AG85" s="1"/>
    </row>
    <row r="86" spans="1:33" ht="9.75" customHeight="1">
      <c r="A86" s="84">
        <v>30</v>
      </c>
      <c r="B86" s="85" t="s">
        <v>48</v>
      </c>
      <c r="C86" s="86">
        <v>11</v>
      </c>
      <c r="D86" s="86">
        <v>3</v>
      </c>
      <c r="E86" s="87">
        <v>8</v>
      </c>
      <c r="F86" s="88">
        <v>3</v>
      </c>
      <c r="G86" s="87">
        <v>16</v>
      </c>
      <c r="H86" s="87">
        <v>0</v>
      </c>
      <c r="I86" s="89">
        <v>1</v>
      </c>
      <c r="J86" s="228"/>
      <c r="K86" s="217"/>
      <c r="L86" s="217"/>
      <c r="M86" s="5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122"/>
      <c r="Z86" s="135">
        <f t="shared" si="15"/>
        <v>35.1836</v>
      </c>
      <c r="AA86" s="149">
        <f t="shared" si="16"/>
        <v>70.3672</v>
      </c>
      <c r="AB86" s="222"/>
      <c r="AC86" s="224"/>
      <c r="AD86" s="182">
        <f t="shared" si="13"/>
        <v>35</v>
      </c>
      <c r="AE86" s="183">
        <f t="shared" si="14"/>
        <v>6</v>
      </c>
      <c r="AF86" s="192" t="s">
        <v>153</v>
      </c>
      <c r="AG86" s="1"/>
    </row>
    <row r="87" spans="1:33" ht="9.75" customHeight="1">
      <c r="A87" s="84">
        <v>31</v>
      </c>
      <c r="B87" s="85" t="s">
        <v>49</v>
      </c>
      <c r="C87" s="86">
        <v>13</v>
      </c>
      <c r="D87" s="86">
        <v>0</v>
      </c>
      <c r="E87" s="87">
        <v>9</v>
      </c>
      <c r="F87" s="88">
        <v>3</v>
      </c>
      <c r="G87" s="87">
        <v>12</v>
      </c>
      <c r="H87" s="87">
        <v>6</v>
      </c>
      <c r="I87" s="89">
        <v>1</v>
      </c>
      <c r="J87" s="227">
        <v>1</v>
      </c>
      <c r="K87" s="227">
        <v>1</v>
      </c>
      <c r="L87" s="227">
        <v>1</v>
      </c>
      <c r="M87" s="37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122"/>
      <c r="Z87" s="135">
        <f t="shared" si="15"/>
        <v>35.803200000000004</v>
      </c>
      <c r="AA87" s="149">
        <f t="shared" si="16"/>
        <v>71.60640000000001</v>
      </c>
      <c r="AB87" s="221">
        <f>(C87+C88)*1.2^2+(D87+D88)*1.15^2+(E87+E88)*1.2^2+(F87+F88)*1.15^2+(G87+G88)*1.2^2+(H87+H88)*0.75^2+(I87+I88)*1.2^2+J87*1.4^2+K87*1.4^2+L87*1.2^2</f>
        <v>123.12499999999997</v>
      </c>
      <c r="AC87" s="223">
        <f>(((C87+C88)*1.2^2+(D87+D88)*1.15^2+(E87+E88)*1.2^2+(F87+F88)*1.15^2+(G87+G88)*1.2^2+(H87+H88)*0.75^2+(I87+I88)*1.2^2+J87*1.4^2+K87*1.4^2+L87*1.2^2)/$AC$54)*100</f>
        <v>82.08333333333331</v>
      </c>
      <c r="AD87" s="182">
        <f t="shared" si="13"/>
        <v>34</v>
      </c>
      <c r="AE87" s="183">
        <f t="shared" si="14"/>
        <v>9</v>
      </c>
      <c r="AF87" s="193"/>
      <c r="AG87" s="1"/>
    </row>
    <row r="88" spans="1:33" ht="9.75" customHeight="1" thickBot="1">
      <c r="A88" s="84">
        <v>32</v>
      </c>
      <c r="B88" s="98" t="s">
        <v>50</v>
      </c>
      <c r="C88" s="99">
        <v>13</v>
      </c>
      <c r="D88" s="99">
        <v>3</v>
      </c>
      <c r="E88" s="100">
        <v>11</v>
      </c>
      <c r="F88" s="101">
        <v>3</v>
      </c>
      <c r="G88" s="100">
        <v>10</v>
      </c>
      <c r="H88" s="100">
        <v>3</v>
      </c>
      <c r="I88" s="102">
        <v>1</v>
      </c>
      <c r="J88" s="229"/>
      <c r="K88" s="229"/>
      <c r="L88" s="229"/>
      <c r="M88" s="140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24"/>
      <c r="Z88" s="136">
        <f t="shared" si="15"/>
        <v>35.228</v>
      </c>
      <c r="AA88" s="149">
        <f t="shared" si="16"/>
        <v>70.456</v>
      </c>
      <c r="AB88" s="222"/>
      <c r="AC88" s="224"/>
      <c r="AD88" s="188">
        <f t="shared" si="13"/>
        <v>34</v>
      </c>
      <c r="AE88" s="189">
        <f t="shared" si="14"/>
        <v>9</v>
      </c>
      <c r="AF88" s="192" t="s">
        <v>153</v>
      </c>
      <c r="AG88" s="1"/>
    </row>
    <row r="89" spans="1:32" ht="9.75" customHeight="1">
      <c r="A89" s="103"/>
      <c r="B89" s="104" t="s">
        <v>4</v>
      </c>
      <c r="C89" s="105">
        <f aca="true" t="shared" si="17" ref="C89:I89">SUM(C57:C88)</f>
        <v>344</v>
      </c>
      <c r="D89" s="105">
        <f t="shared" si="17"/>
        <v>46</v>
      </c>
      <c r="E89" s="105">
        <f t="shared" si="17"/>
        <v>244</v>
      </c>
      <c r="F89" s="105">
        <f t="shared" si="17"/>
        <v>60</v>
      </c>
      <c r="G89" s="105">
        <f t="shared" si="17"/>
        <v>384</v>
      </c>
      <c r="H89" s="105">
        <f t="shared" si="17"/>
        <v>72</v>
      </c>
      <c r="I89" s="105">
        <f t="shared" si="17"/>
        <v>28</v>
      </c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25"/>
      <c r="Z89" s="133">
        <f>AVERAGE(AVERAGE(Z57:Z64),AVERAGE(Z66:Z80),AVERAGE(Z82:Z88))</f>
        <v>37.13041841269841</v>
      </c>
      <c r="AA89" s="199">
        <f>AVERAGE(AVERAGE(AA57:AA64),AVERAGE(AA66:AA80),AVERAGE(AA82:AA88))</f>
        <v>70.4015884303351</v>
      </c>
      <c r="AB89" s="133">
        <f>SUM(AB57:AB64)+SUM(AB66:AB80)+SUM(AB82:AB88)</f>
        <v>1864.0157999999997</v>
      </c>
      <c r="AC89" s="199">
        <f>AVERAGE(AVERAGE(AC57:AC64),AVERAGE(AC66:AC80),AVERAGE(AC82:AC88))</f>
        <v>84.27204629629628</v>
      </c>
      <c r="AD89" s="201">
        <f>SUM(AD57:AD63)+SUM(AD66:AD79)+SUM(AD82:AD88)</f>
        <v>972</v>
      </c>
      <c r="AE89" s="105">
        <f>SUM(AE57:AE63)+SUM(AE66:AE79)+SUM(AE82:AE88)</f>
        <v>178</v>
      </c>
      <c r="AF89" s="106"/>
    </row>
    <row r="90" spans="1:32" ht="12.75">
      <c r="A90" s="106"/>
      <c r="B90" s="107" t="s">
        <v>9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>
        <f>SUM(N57:N88)</f>
        <v>6</v>
      </c>
      <c r="O90" s="108">
        <f>SUM(O57:O88)</f>
        <v>56</v>
      </c>
      <c r="P90" s="108">
        <f>SUM(P57:P88)</f>
        <v>8</v>
      </c>
      <c r="Q90" s="108"/>
      <c r="R90" s="108"/>
      <c r="S90" s="108"/>
      <c r="T90" s="108"/>
      <c r="U90" s="108"/>
      <c r="V90" s="108"/>
      <c r="W90" s="108"/>
      <c r="X90" s="108"/>
      <c r="Y90" s="126"/>
      <c r="Z90" s="134"/>
      <c r="AA90" s="200"/>
      <c r="AB90" s="206">
        <f>AVERAGE(AVERAGE(AB57:AB64),AVERAGE(AB66:AB80),AVERAGE(AB82:AB88))</f>
        <v>103.99313888888885</v>
      </c>
      <c r="AC90" s="200"/>
      <c r="AD90" s="202">
        <f>SUM(C90:Y90)</f>
        <v>70</v>
      </c>
      <c r="AE90" s="109"/>
      <c r="AF90" s="106"/>
    </row>
    <row r="91" spans="1:33" ht="12.75">
      <c r="A91" s="106"/>
      <c r="B91" s="225" t="s">
        <v>53</v>
      </c>
      <c r="C91" s="226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>
        <f>SUM(Q57:Q88)</f>
        <v>6</v>
      </c>
      <c r="R91" s="108">
        <f>SUM(R57:R88)</f>
        <v>7</v>
      </c>
      <c r="S91" s="108"/>
      <c r="T91" s="108"/>
      <c r="U91" s="108"/>
      <c r="V91" s="108"/>
      <c r="W91" s="108"/>
      <c r="X91" s="108"/>
      <c r="Y91" s="126"/>
      <c r="Z91" s="134"/>
      <c r="AA91" s="200"/>
      <c r="AB91" s="203"/>
      <c r="AC91" s="200"/>
      <c r="AD91" s="202">
        <f>SUM(C91:Y91)</f>
        <v>13</v>
      </c>
      <c r="AE91" s="109"/>
      <c r="AF91" s="106"/>
      <c r="AG91" s="1"/>
    </row>
    <row r="92" spans="1:33" ht="12.75">
      <c r="A92" s="106"/>
      <c r="B92" s="107" t="s">
        <v>129</v>
      </c>
      <c r="C92" s="108"/>
      <c r="D92" s="108"/>
      <c r="E92" s="108"/>
      <c r="F92" s="108"/>
      <c r="G92" s="108"/>
      <c r="H92" s="108"/>
      <c r="I92" s="108"/>
      <c r="J92" s="108">
        <f>SUM(J57:J87)</f>
        <v>16</v>
      </c>
      <c r="K92" s="108">
        <f>SUM(K57:K87)</f>
        <v>16</v>
      </c>
      <c r="L92" s="108">
        <f>SUM(L57:L87)</f>
        <v>16</v>
      </c>
      <c r="M92" s="108">
        <f>SUM(M57:M88)</f>
        <v>2</v>
      </c>
      <c r="N92" s="108"/>
      <c r="O92" s="108"/>
      <c r="P92" s="108"/>
      <c r="Q92" s="108"/>
      <c r="R92" s="108"/>
      <c r="S92" s="108">
        <f aca="true" t="shared" si="18" ref="S92:Y92">SUM(S57:S88)</f>
        <v>3</v>
      </c>
      <c r="T92" s="108">
        <f t="shared" si="18"/>
        <v>1</v>
      </c>
      <c r="U92" s="108">
        <f t="shared" si="18"/>
        <v>1</v>
      </c>
      <c r="V92" s="108">
        <f t="shared" si="18"/>
        <v>4</v>
      </c>
      <c r="W92" s="108">
        <f t="shared" si="18"/>
        <v>7</v>
      </c>
      <c r="X92" s="108">
        <f t="shared" si="18"/>
        <v>3</v>
      </c>
      <c r="Y92" s="126">
        <f t="shared" si="18"/>
        <v>20</v>
      </c>
      <c r="Z92" s="134"/>
      <c r="AA92" s="200"/>
      <c r="AB92" s="203"/>
      <c r="AC92" s="200"/>
      <c r="AD92" s="202">
        <f>SUM(C92:Y92)</f>
        <v>89</v>
      </c>
      <c r="AE92" s="109"/>
      <c r="AF92" s="106"/>
      <c r="AG92" s="1"/>
    </row>
    <row r="93" spans="1:31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10">
        <f>AD89+AE89+AD90+AD91+AD92+I89</f>
        <v>1350</v>
      </c>
      <c r="AD93" s="111"/>
      <c r="AE93" s="106"/>
    </row>
    <row r="94" ht="12.75">
      <c r="B94" s="1" t="s">
        <v>84</v>
      </c>
    </row>
    <row r="95" ht="12.75">
      <c r="B95" s="1" t="s">
        <v>130</v>
      </c>
    </row>
    <row r="96" ht="12.75">
      <c r="B96" s="1" t="s">
        <v>109</v>
      </c>
    </row>
    <row r="97" ht="12.75">
      <c r="B97" s="1" t="s">
        <v>106</v>
      </c>
    </row>
    <row r="98" ht="12.75">
      <c r="B98" s="1" t="s">
        <v>131</v>
      </c>
    </row>
    <row r="99" ht="12.75">
      <c r="B99" s="1" t="s">
        <v>132</v>
      </c>
    </row>
  </sheetData>
  <mergeCells count="162">
    <mergeCell ref="AB28:AB29"/>
    <mergeCell ref="AB30:AB31"/>
    <mergeCell ref="AB32:AB33"/>
    <mergeCell ref="L22:L23"/>
    <mergeCell ref="AB14:AB15"/>
    <mergeCell ref="AB16:AB17"/>
    <mergeCell ref="AB24:AB25"/>
    <mergeCell ref="AB26:AB27"/>
    <mergeCell ref="L87:L88"/>
    <mergeCell ref="L85:L86"/>
    <mergeCell ref="L40:L41"/>
    <mergeCell ref="L42:L43"/>
    <mergeCell ref="K12:K13"/>
    <mergeCell ref="K14:K15"/>
    <mergeCell ref="K16:K17"/>
    <mergeCell ref="K22:K23"/>
    <mergeCell ref="K77:K78"/>
    <mergeCell ref="L32:L33"/>
    <mergeCell ref="L38:L39"/>
    <mergeCell ref="K24:K25"/>
    <mergeCell ref="K26:K27"/>
    <mergeCell ref="K28:K29"/>
    <mergeCell ref="K30:K31"/>
    <mergeCell ref="L24:L25"/>
    <mergeCell ref="L26:L27"/>
    <mergeCell ref="L28:L29"/>
    <mergeCell ref="K87:K88"/>
    <mergeCell ref="L57:L58"/>
    <mergeCell ref="L59:L60"/>
    <mergeCell ref="L61:L62"/>
    <mergeCell ref="L67:L68"/>
    <mergeCell ref="L69:L70"/>
    <mergeCell ref="L71:L72"/>
    <mergeCell ref="L73:L74"/>
    <mergeCell ref="K71:K72"/>
    <mergeCell ref="L75:L76"/>
    <mergeCell ref="L12:L13"/>
    <mergeCell ref="L14:L15"/>
    <mergeCell ref="L16:L17"/>
    <mergeCell ref="K85:K86"/>
    <mergeCell ref="K32:K33"/>
    <mergeCell ref="L77:L78"/>
    <mergeCell ref="L83:L84"/>
    <mergeCell ref="K83:K84"/>
    <mergeCell ref="K73:K74"/>
    <mergeCell ref="K75:K76"/>
    <mergeCell ref="K57:K58"/>
    <mergeCell ref="K59:K60"/>
    <mergeCell ref="K38:K39"/>
    <mergeCell ref="K40:K41"/>
    <mergeCell ref="K42:K43"/>
    <mergeCell ref="J71:J72"/>
    <mergeCell ref="J73:J74"/>
    <mergeCell ref="J75:J76"/>
    <mergeCell ref="J77:J78"/>
    <mergeCell ref="J40:J41"/>
    <mergeCell ref="J42:J43"/>
    <mergeCell ref="AC24:AC25"/>
    <mergeCell ref="AC26:AC27"/>
    <mergeCell ref="AC28:AC29"/>
    <mergeCell ref="AC30:AC31"/>
    <mergeCell ref="J30:J31"/>
    <mergeCell ref="J32:J33"/>
    <mergeCell ref="J38:J39"/>
    <mergeCell ref="L30:L31"/>
    <mergeCell ref="J22:J23"/>
    <mergeCell ref="J24:J25"/>
    <mergeCell ref="J26:J27"/>
    <mergeCell ref="J28:J29"/>
    <mergeCell ref="J12:J13"/>
    <mergeCell ref="J14:J15"/>
    <mergeCell ref="J16:J17"/>
    <mergeCell ref="AC32:AC33"/>
    <mergeCell ref="AB12:AB13"/>
    <mergeCell ref="AC12:AC13"/>
    <mergeCell ref="AC14:AC15"/>
    <mergeCell ref="AC16:AC17"/>
    <mergeCell ref="AB22:AB23"/>
    <mergeCell ref="AC22:AC23"/>
    <mergeCell ref="X10:X11"/>
    <mergeCell ref="C7:I7"/>
    <mergeCell ref="N10:P10"/>
    <mergeCell ref="N11:O11"/>
    <mergeCell ref="Q10:R10"/>
    <mergeCell ref="Q11:R11"/>
    <mergeCell ref="J10:J11"/>
    <mergeCell ref="M10:M11"/>
    <mergeCell ref="G10:H10"/>
    <mergeCell ref="I10:I11"/>
    <mergeCell ref="S10:S11"/>
    <mergeCell ref="T10:T11"/>
    <mergeCell ref="U10:W11"/>
    <mergeCell ref="E11:F11"/>
    <mergeCell ref="G11:H11"/>
    <mergeCell ref="K10:L11"/>
    <mergeCell ref="B46:C46"/>
    <mergeCell ref="C10:D10"/>
    <mergeCell ref="C52:I52"/>
    <mergeCell ref="E10:F10"/>
    <mergeCell ref="AB38:AB39"/>
    <mergeCell ref="AC38:AC39"/>
    <mergeCell ref="AC40:AC41"/>
    <mergeCell ref="AC42:AC43"/>
    <mergeCell ref="AB40:AB41"/>
    <mergeCell ref="AB42:AB43"/>
    <mergeCell ref="Y10:Y11"/>
    <mergeCell ref="C11:D11"/>
    <mergeCell ref="J57:J58"/>
    <mergeCell ref="J59:J60"/>
    <mergeCell ref="Y55:Y56"/>
    <mergeCell ref="M55:M56"/>
    <mergeCell ref="S55:S56"/>
    <mergeCell ref="T55:T56"/>
    <mergeCell ref="U55:W56"/>
    <mergeCell ref="X55:X56"/>
    <mergeCell ref="AB59:AB60"/>
    <mergeCell ref="AC59:AC60"/>
    <mergeCell ref="AB57:AB58"/>
    <mergeCell ref="AC57:AC58"/>
    <mergeCell ref="J61:J62"/>
    <mergeCell ref="J67:J68"/>
    <mergeCell ref="J69:J70"/>
    <mergeCell ref="AB61:AB62"/>
    <mergeCell ref="AB69:AB70"/>
    <mergeCell ref="K61:K62"/>
    <mergeCell ref="K67:K68"/>
    <mergeCell ref="K69:K70"/>
    <mergeCell ref="C55:D55"/>
    <mergeCell ref="E55:F55"/>
    <mergeCell ref="G55:H55"/>
    <mergeCell ref="I55:I56"/>
    <mergeCell ref="C56:D56"/>
    <mergeCell ref="E56:F56"/>
    <mergeCell ref="G56:H56"/>
    <mergeCell ref="J55:J56"/>
    <mergeCell ref="N55:P55"/>
    <mergeCell ref="Q55:R55"/>
    <mergeCell ref="N56:O56"/>
    <mergeCell ref="Q56:R56"/>
    <mergeCell ref="K55:L56"/>
    <mergeCell ref="AC61:AC62"/>
    <mergeCell ref="AB67:AB68"/>
    <mergeCell ref="AC67:AC68"/>
    <mergeCell ref="AC69:AC70"/>
    <mergeCell ref="AB71:AB72"/>
    <mergeCell ref="AC71:AC72"/>
    <mergeCell ref="AB73:AB74"/>
    <mergeCell ref="AC73:AC74"/>
    <mergeCell ref="AB75:AB76"/>
    <mergeCell ref="AC75:AC76"/>
    <mergeCell ref="AB77:AB78"/>
    <mergeCell ref="AC77:AC78"/>
    <mergeCell ref="AB87:AB88"/>
    <mergeCell ref="AC87:AC88"/>
    <mergeCell ref="B91:C91"/>
    <mergeCell ref="AB83:AB84"/>
    <mergeCell ref="AC83:AC84"/>
    <mergeCell ref="AB85:AB86"/>
    <mergeCell ref="AC85:AC86"/>
    <mergeCell ref="J83:J84"/>
    <mergeCell ref="J85:J86"/>
    <mergeCell ref="J87:J88"/>
  </mergeCells>
  <printOptions/>
  <pageMargins left="0.75" right="0.75" top="1" bottom="1" header="0.5" footer="0.5"/>
  <pageSetup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2"/>
  <sheetViews>
    <sheetView workbookViewId="0" topLeftCell="A1">
      <selection activeCell="P53" sqref="P53"/>
    </sheetView>
  </sheetViews>
  <sheetFormatPr defaultColWidth="9.00390625" defaultRowHeight="12.75"/>
  <cols>
    <col min="1" max="1" width="3.00390625" style="1" customWidth="1"/>
    <col min="2" max="9" width="6.375" style="1" customWidth="1"/>
    <col min="10" max="10" width="8.125" style="1" customWidth="1"/>
    <col min="11" max="13" width="6.375" style="1" customWidth="1"/>
    <col min="14" max="14" width="6.75390625" style="1" customWidth="1"/>
    <col min="15" max="15" width="6.375" style="1" customWidth="1"/>
    <col min="16" max="16" width="8.25390625" style="1" customWidth="1"/>
    <col min="17" max="16384" width="11.00390625" style="0" customWidth="1"/>
  </cols>
  <sheetData>
    <row r="2" ht="12.75">
      <c r="B2" s="71" t="s">
        <v>107</v>
      </c>
    </row>
    <row r="3" ht="15.75">
      <c r="B3" s="205">
        <v>37866</v>
      </c>
    </row>
    <row r="4" spans="1:16" s="12" customFormat="1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26" customFormat="1" ht="21" customHeight="1">
      <c r="A5" s="25"/>
      <c r="B5" s="25" t="s">
        <v>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12" customFormat="1" ht="9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8" s="12" customFormat="1" ht="9.75" customHeight="1">
      <c r="A7" s="13"/>
      <c r="B7" s="27"/>
      <c r="C7" s="13" t="s">
        <v>111</v>
      </c>
      <c r="D7" s="17" t="s">
        <v>76</v>
      </c>
      <c r="E7" s="17" t="s">
        <v>77</v>
      </c>
      <c r="F7" s="17" t="s">
        <v>3</v>
      </c>
      <c r="G7" s="13" t="s">
        <v>9</v>
      </c>
      <c r="H7" s="14"/>
      <c r="I7" s="17" t="s">
        <v>51</v>
      </c>
      <c r="J7" s="17" t="s">
        <v>17</v>
      </c>
      <c r="K7" s="14" t="s">
        <v>56</v>
      </c>
      <c r="L7" s="14" t="s">
        <v>21</v>
      </c>
      <c r="M7" s="14" t="s">
        <v>1</v>
      </c>
      <c r="N7" s="62" t="s">
        <v>71</v>
      </c>
      <c r="O7" s="11"/>
      <c r="P7" s="11"/>
      <c r="Q7" s="11"/>
      <c r="R7" s="11"/>
    </row>
    <row r="8" spans="1:18" s="12" customFormat="1" ht="9.75" customHeight="1">
      <c r="A8" s="15"/>
      <c r="B8" s="28" t="s">
        <v>113</v>
      </c>
      <c r="C8" s="65" t="s">
        <v>70</v>
      </c>
      <c r="D8" s="61" t="s">
        <v>70</v>
      </c>
      <c r="E8" s="57" t="s">
        <v>70</v>
      </c>
      <c r="F8" s="57" t="s">
        <v>70</v>
      </c>
      <c r="G8" s="38" t="s">
        <v>70</v>
      </c>
      <c r="H8" s="22"/>
      <c r="I8" s="57" t="s">
        <v>52</v>
      </c>
      <c r="J8" s="114" t="s">
        <v>18</v>
      </c>
      <c r="K8" s="22" t="s">
        <v>78</v>
      </c>
      <c r="L8" s="22" t="s">
        <v>78</v>
      </c>
      <c r="M8" s="22" t="s">
        <v>2</v>
      </c>
      <c r="N8" s="63" t="s">
        <v>79</v>
      </c>
      <c r="O8" s="11"/>
      <c r="P8" s="11"/>
      <c r="Q8" s="11"/>
      <c r="R8" s="11"/>
    </row>
    <row r="9" spans="1:18" s="12" customFormat="1" ht="9.75" customHeight="1" thickBot="1">
      <c r="A9" s="16"/>
      <c r="B9" s="29" t="s">
        <v>114</v>
      </c>
      <c r="C9" s="66"/>
      <c r="D9" s="66"/>
      <c r="E9" s="52"/>
      <c r="F9" s="52"/>
      <c r="G9" s="23" t="s">
        <v>10</v>
      </c>
      <c r="H9" s="23" t="s">
        <v>11</v>
      </c>
      <c r="I9" s="52" t="s">
        <v>70</v>
      </c>
      <c r="J9" s="53" t="s">
        <v>80</v>
      </c>
      <c r="K9" s="209" t="s">
        <v>100</v>
      </c>
      <c r="L9" s="209" t="s">
        <v>100</v>
      </c>
      <c r="M9" s="23" t="s">
        <v>70</v>
      </c>
      <c r="N9" s="64"/>
      <c r="O9" s="11"/>
      <c r="P9" s="11"/>
      <c r="Q9" s="11"/>
      <c r="R9" s="11"/>
    </row>
    <row r="10" spans="1:18" s="12" customFormat="1" ht="9.75" customHeight="1" thickTop="1">
      <c r="A10" s="2">
        <v>1</v>
      </c>
      <c r="B10" s="3" t="s">
        <v>117</v>
      </c>
      <c r="C10" s="4">
        <v>2</v>
      </c>
      <c r="D10" s="5">
        <v>3</v>
      </c>
      <c r="E10" s="5">
        <v>0</v>
      </c>
      <c r="F10" s="5">
        <v>2</v>
      </c>
      <c r="G10" s="5"/>
      <c r="H10" s="5"/>
      <c r="I10" s="5"/>
      <c r="J10" s="5"/>
      <c r="K10" s="24">
        <f aca="true" t="shared" si="0" ref="K10:K16">(C10+D10+E10+F10)*1.2^2</f>
        <v>10.08</v>
      </c>
      <c r="L10" s="24">
        <f>(C10+D10+E10+F10)*1.4^2</f>
        <v>13.719999999999999</v>
      </c>
      <c r="M10" s="4">
        <f>C10+D10+E10+F10</f>
        <v>7</v>
      </c>
      <c r="N10" s="270" t="s">
        <v>81</v>
      </c>
      <c r="O10" s="11"/>
      <c r="P10" s="11"/>
      <c r="Q10" s="11"/>
      <c r="R10" s="11"/>
    </row>
    <row r="11" spans="1:18" s="12" customFormat="1" ht="9.75" customHeight="1">
      <c r="A11" s="6">
        <v>2</v>
      </c>
      <c r="B11" s="7" t="s">
        <v>118</v>
      </c>
      <c r="C11" s="8">
        <v>2</v>
      </c>
      <c r="D11" s="9">
        <v>1</v>
      </c>
      <c r="E11" s="9">
        <v>0</v>
      </c>
      <c r="F11" s="9">
        <v>4</v>
      </c>
      <c r="G11" s="5"/>
      <c r="H11" s="5"/>
      <c r="I11" s="5"/>
      <c r="J11" s="5"/>
      <c r="K11" s="24">
        <f t="shared" si="0"/>
        <v>10.08</v>
      </c>
      <c r="L11" s="24">
        <f aca="true" t="shared" si="1" ref="L11:L16">(C11+D11+E11+F11)*1.4^2</f>
        <v>13.719999999999999</v>
      </c>
      <c r="M11" s="4">
        <f aca="true" t="shared" si="2" ref="M11:M41">C11+D11+E11+F11</f>
        <v>7</v>
      </c>
      <c r="N11" s="271"/>
      <c r="O11" s="11"/>
      <c r="P11" s="11"/>
      <c r="Q11" s="11"/>
      <c r="R11" s="11"/>
    </row>
    <row r="12" spans="1:18" s="12" customFormat="1" ht="9.75" customHeight="1">
      <c r="A12" s="6">
        <v>3</v>
      </c>
      <c r="B12" s="7" t="s">
        <v>120</v>
      </c>
      <c r="C12" s="8">
        <v>2</v>
      </c>
      <c r="D12" s="9">
        <v>1</v>
      </c>
      <c r="E12" s="9">
        <v>1</v>
      </c>
      <c r="F12" s="9">
        <v>2</v>
      </c>
      <c r="G12" s="5"/>
      <c r="H12" s="5"/>
      <c r="I12" s="5"/>
      <c r="J12" s="5"/>
      <c r="K12" s="24">
        <f t="shared" si="0"/>
        <v>8.64</v>
      </c>
      <c r="L12" s="24">
        <f t="shared" si="1"/>
        <v>11.759999999999998</v>
      </c>
      <c r="M12" s="4">
        <f t="shared" si="2"/>
        <v>6</v>
      </c>
      <c r="N12" s="271"/>
      <c r="O12" s="11"/>
      <c r="P12" s="11"/>
      <c r="Q12" s="11"/>
      <c r="R12" s="11"/>
    </row>
    <row r="13" spans="1:18" s="12" customFormat="1" ht="9.75" customHeight="1">
      <c r="A13" s="6">
        <v>4</v>
      </c>
      <c r="B13" s="7" t="s">
        <v>121</v>
      </c>
      <c r="C13" s="8">
        <v>2</v>
      </c>
      <c r="D13" s="9">
        <v>3</v>
      </c>
      <c r="E13" s="9">
        <v>1</v>
      </c>
      <c r="F13" s="9">
        <v>0</v>
      </c>
      <c r="G13" s="5"/>
      <c r="H13" s="5"/>
      <c r="I13" s="5"/>
      <c r="J13" s="5"/>
      <c r="K13" s="24">
        <f t="shared" si="0"/>
        <v>8.64</v>
      </c>
      <c r="L13" s="24">
        <f t="shared" si="1"/>
        <v>11.759999999999998</v>
      </c>
      <c r="M13" s="4">
        <f t="shared" si="2"/>
        <v>6</v>
      </c>
      <c r="N13" s="228"/>
      <c r="O13" s="11"/>
      <c r="P13" s="11"/>
      <c r="Q13" s="11"/>
      <c r="R13" s="11"/>
    </row>
    <row r="14" spans="1:18" s="12" customFormat="1" ht="9.75" customHeight="1">
      <c r="A14" s="6">
        <v>5</v>
      </c>
      <c r="B14" s="7" t="s">
        <v>122</v>
      </c>
      <c r="C14" s="8">
        <v>1</v>
      </c>
      <c r="D14" s="9">
        <v>3</v>
      </c>
      <c r="E14" s="9">
        <v>0</v>
      </c>
      <c r="F14" s="9">
        <v>0</v>
      </c>
      <c r="G14" s="5"/>
      <c r="H14" s="5"/>
      <c r="I14" s="5"/>
      <c r="J14" s="5"/>
      <c r="K14" s="24">
        <f t="shared" si="0"/>
        <v>5.76</v>
      </c>
      <c r="L14" s="24">
        <f t="shared" si="1"/>
        <v>7.839999999999999</v>
      </c>
      <c r="M14" s="4">
        <f t="shared" si="2"/>
        <v>4</v>
      </c>
      <c r="N14" s="272" t="s">
        <v>82</v>
      </c>
      <c r="O14" s="11"/>
      <c r="P14" s="11"/>
      <c r="Q14" s="11"/>
      <c r="R14" s="11"/>
    </row>
    <row r="15" spans="1:18" s="12" customFormat="1" ht="9.75" customHeight="1">
      <c r="A15" s="6">
        <v>6</v>
      </c>
      <c r="B15" s="7" t="s">
        <v>123</v>
      </c>
      <c r="C15" s="8">
        <v>1</v>
      </c>
      <c r="D15" s="9">
        <v>3</v>
      </c>
      <c r="E15" s="9">
        <v>1</v>
      </c>
      <c r="F15" s="9">
        <v>2</v>
      </c>
      <c r="G15" s="5"/>
      <c r="H15" s="5"/>
      <c r="I15" s="5"/>
      <c r="J15" s="5"/>
      <c r="K15" s="24">
        <f t="shared" si="0"/>
        <v>10.08</v>
      </c>
      <c r="L15" s="24">
        <f t="shared" si="1"/>
        <v>13.719999999999999</v>
      </c>
      <c r="M15" s="4">
        <f t="shared" si="2"/>
        <v>7</v>
      </c>
      <c r="N15" s="271"/>
      <c r="O15" s="11"/>
      <c r="P15" s="11"/>
      <c r="Q15" s="11"/>
      <c r="R15" s="11"/>
    </row>
    <row r="16" spans="1:18" s="12" customFormat="1" ht="9.75" customHeight="1">
      <c r="A16" s="6">
        <v>7</v>
      </c>
      <c r="B16" s="7" t="s">
        <v>125</v>
      </c>
      <c r="C16" s="8">
        <v>2</v>
      </c>
      <c r="D16" s="9">
        <v>0</v>
      </c>
      <c r="E16" s="9">
        <v>1</v>
      </c>
      <c r="F16" s="9">
        <v>4</v>
      </c>
      <c r="G16" s="5"/>
      <c r="H16" s="5"/>
      <c r="I16" s="5"/>
      <c r="J16" s="5"/>
      <c r="K16" s="24">
        <f t="shared" si="0"/>
        <v>10.08</v>
      </c>
      <c r="L16" s="24">
        <f t="shared" si="1"/>
        <v>13.719999999999999</v>
      </c>
      <c r="M16" s="4">
        <f t="shared" si="2"/>
        <v>7</v>
      </c>
      <c r="N16" s="271"/>
      <c r="O16" s="11"/>
      <c r="P16" s="11"/>
      <c r="Q16" s="11"/>
      <c r="R16" s="11"/>
    </row>
    <row r="17" spans="1:18" s="12" customFormat="1" ht="9.75" customHeight="1">
      <c r="A17" s="6">
        <v>8</v>
      </c>
      <c r="B17" s="35" t="s">
        <v>5</v>
      </c>
      <c r="C17" s="59"/>
      <c r="D17" s="60"/>
      <c r="E17" s="60"/>
      <c r="F17" s="60"/>
      <c r="G17" s="35">
        <v>5</v>
      </c>
      <c r="H17" s="35">
        <v>4</v>
      </c>
      <c r="I17" s="35">
        <v>8</v>
      </c>
      <c r="J17" s="35">
        <v>6</v>
      </c>
      <c r="K17" s="36">
        <f>(G17+H17+I17+J17)*1.2^2</f>
        <v>33.12</v>
      </c>
      <c r="L17" s="36">
        <f>(G17+H17+I17+J17)*1.4^2</f>
        <v>45.07999999999999</v>
      </c>
      <c r="M17" s="69">
        <f>SUM(G17:J17)</f>
        <v>23</v>
      </c>
      <c r="N17" s="271"/>
      <c r="O17" s="11"/>
      <c r="P17" s="11"/>
      <c r="Q17" s="11"/>
      <c r="R17" s="11"/>
    </row>
    <row r="18" spans="1:18" s="12" customFormat="1" ht="9.75" customHeight="1">
      <c r="A18" s="6">
        <v>9</v>
      </c>
      <c r="B18" s="35" t="s">
        <v>6</v>
      </c>
      <c r="C18" s="48" t="s">
        <v>75</v>
      </c>
      <c r="D18" s="58"/>
      <c r="E18" s="58"/>
      <c r="F18" s="58"/>
      <c r="G18" s="58"/>
      <c r="H18" s="58"/>
      <c r="I18" s="58"/>
      <c r="J18" s="58"/>
      <c r="K18" s="50"/>
      <c r="L18" s="36"/>
      <c r="M18" s="69"/>
      <c r="N18" s="271"/>
      <c r="O18" s="11"/>
      <c r="P18" s="11"/>
      <c r="Q18" s="11"/>
      <c r="R18" s="11"/>
    </row>
    <row r="19" spans="1:18" s="12" customFormat="1" ht="9.75" customHeight="1">
      <c r="A19" s="6">
        <v>10</v>
      </c>
      <c r="B19" s="7" t="s">
        <v>126</v>
      </c>
      <c r="C19" s="8">
        <v>2</v>
      </c>
      <c r="D19" s="9">
        <v>3</v>
      </c>
      <c r="E19" s="9">
        <v>0</v>
      </c>
      <c r="F19" s="9">
        <v>2</v>
      </c>
      <c r="G19" s="5"/>
      <c r="H19" s="5"/>
      <c r="I19" s="5"/>
      <c r="J19" s="5"/>
      <c r="K19" s="24">
        <f aca="true" t="shared" si="3" ref="K19:K32">(C19+D19+E19+F19)*1.2^2</f>
        <v>10.08</v>
      </c>
      <c r="L19" s="24">
        <f>(C19+D19+E19+F19)*1.4^2</f>
        <v>13.719999999999999</v>
      </c>
      <c r="M19" s="4">
        <f t="shared" si="2"/>
        <v>7</v>
      </c>
      <c r="N19" s="271"/>
      <c r="O19" s="11"/>
      <c r="P19" s="11"/>
      <c r="Q19" s="11"/>
      <c r="R19" s="11"/>
    </row>
    <row r="20" spans="1:18" s="12" customFormat="1" ht="9.75" customHeight="1">
      <c r="A20" s="6">
        <v>11</v>
      </c>
      <c r="B20" s="7" t="s">
        <v>133</v>
      </c>
      <c r="C20" s="8">
        <v>1</v>
      </c>
      <c r="D20" s="9">
        <v>3</v>
      </c>
      <c r="E20" s="9">
        <v>0</v>
      </c>
      <c r="F20" s="9">
        <v>3</v>
      </c>
      <c r="G20" s="5"/>
      <c r="H20" s="5"/>
      <c r="I20" s="5"/>
      <c r="J20" s="5"/>
      <c r="K20" s="24">
        <f t="shared" si="3"/>
        <v>10.08</v>
      </c>
      <c r="L20" s="24">
        <f aca="true" t="shared" si="4" ref="L20:L32">(C20+D20+E20+F20)*1.4^2</f>
        <v>13.719999999999999</v>
      </c>
      <c r="M20" s="4">
        <f t="shared" si="2"/>
        <v>7</v>
      </c>
      <c r="N20" s="271"/>
      <c r="O20" s="11"/>
      <c r="P20" s="11"/>
      <c r="Q20" s="11"/>
      <c r="R20" s="11"/>
    </row>
    <row r="21" spans="1:18" s="12" customFormat="1" ht="9.75" customHeight="1">
      <c r="A21" s="6">
        <v>12</v>
      </c>
      <c r="B21" s="7" t="s">
        <v>134</v>
      </c>
      <c r="C21" s="8">
        <v>1</v>
      </c>
      <c r="D21" s="9">
        <v>0</v>
      </c>
      <c r="E21" s="9">
        <v>0</v>
      </c>
      <c r="F21" s="9">
        <v>4</v>
      </c>
      <c r="G21" s="5"/>
      <c r="H21" s="5"/>
      <c r="I21" s="5"/>
      <c r="J21" s="5"/>
      <c r="K21" s="24">
        <f t="shared" si="3"/>
        <v>7.199999999999999</v>
      </c>
      <c r="L21" s="24">
        <f t="shared" si="4"/>
        <v>9.799999999999999</v>
      </c>
      <c r="M21" s="4">
        <f t="shared" si="2"/>
        <v>5</v>
      </c>
      <c r="N21" s="271"/>
      <c r="O21" s="11"/>
      <c r="P21" s="11"/>
      <c r="Q21" s="11"/>
      <c r="R21" s="11"/>
    </row>
    <row r="22" spans="1:18" s="12" customFormat="1" ht="9.75" customHeight="1">
      <c r="A22" s="6">
        <v>13</v>
      </c>
      <c r="B22" s="7" t="s">
        <v>135</v>
      </c>
      <c r="C22" s="8">
        <v>2</v>
      </c>
      <c r="D22" s="9">
        <v>4</v>
      </c>
      <c r="E22" s="9">
        <v>1</v>
      </c>
      <c r="F22" s="9">
        <v>0</v>
      </c>
      <c r="G22" s="5"/>
      <c r="H22" s="5"/>
      <c r="I22" s="5"/>
      <c r="J22" s="5"/>
      <c r="K22" s="24">
        <f t="shared" si="3"/>
        <v>10.08</v>
      </c>
      <c r="L22" s="24">
        <f t="shared" si="4"/>
        <v>13.719999999999999</v>
      </c>
      <c r="M22" s="4">
        <f t="shared" si="2"/>
        <v>7</v>
      </c>
      <c r="N22" s="271"/>
      <c r="O22" s="11"/>
      <c r="P22" s="11"/>
      <c r="Q22" s="11"/>
      <c r="R22" s="11"/>
    </row>
    <row r="23" spans="1:18" s="12" customFormat="1" ht="9.75" customHeight="1">
      <c r="A23" s="6">
        <v>14</v>
      </c>
      <c r="B23" s="7" t="s">
        <v>136</v>
      </c>
      <c r="C23" s="8">
        <v>2</v>
      </c>
      <c r="D23" s="9">
        <v>2</v>
      </c>
      <c r="E23" s="9">
        <v>1</v>
      </c>
      <c r="F23" s="9">
        <v>1</v>
      </c>
      <c r="G23" s="5"/>
      <c r="H23" s="5"/>
      <c r="I23" s="5"/>
      <c r="J23" s="5"/>
      <c r="K23" s="24">
        <f t="shared" si="3"/>
        <v>8.64</v>
      </c>
      <c r="L23" s="24">
        <f t="shared" si="4"/>
        <v>11.759999999999998</v>
      </c>
      <c r="M23" s="4">
        <f t="shared" si="2"/>
        <v>6</v>
      </c>
      <c r="N23" s="271"/>
      <c r="O23" s="11"/>
      <c r="P23" s="11"/>
      <c r="Q23" s="11"/>
      <c r="R23" s="11"/>
    </row>
    <row r="24" spans="1:18" s="12" customFormat="1" ht="9.75" customHeight="1">
      <c r="A24" s="6">
        <v>15</v>
      </c>
      <c r="B24" s="7" t="s">
        <v>138</v>
      </c>
      <c r="C24" s="8">
        <v>1</v>
      </c>
      <c r="D24" s="9">
        <v>0</v>
      </c>
      <c r="E24" s="9">
        <v>1</v>
      </c>
      <c r="F24" s="9">
        <v>5</v>
      </c>
      <c r="G24" s="5"/>
      <c r="H24" s="5"/>
      <c r="I24" s="5"/>
      <c r="J24" s="5"/>
      <c r="K24" s="24">
        <f t="shared" si="3"/>
        <v>10.08</v>
      </c>
      <c r="L24" s="24">
        <f t="shared" si="4"/>
        <v>13.719999999999999</v>
      </c>
      <c r="M24" s="4">
        <f t="shared" si="2"/>
        <v>7</v>
      </c>
      <c r="N24" s="271"/>
      <c r="O24" s="11"/>
      <c r="P24" s="11"/>
      <c r="Q24" s="11"/>
      <c r="R24" s="11"/>
    </row>
    <row r="25" spans="1:18" s="12" customFormat="1" ht="9.75" customHeight="1">
      <c r="A25" s="6">
        <v>16</v>
      </c>
      <c r="B25" s="7" t="s">
        <v>139</v>
      </c>
      <c r="C25" s="8">
        <v>1</v>
      </c>
      <c r="D25" s="9">
        <v>2</v>
      </c>
      <c r="E25" s="9">
        <v>1</v>
      </c>
      <c r="F25" s="9">
        <v>3</v>
      </c>
      <c r="G25" s="5"/>
      <c r="H25" s="5"/>
      <c r="I25" s="5"/>
      <c r="J25" s="5"/>
      <c r="K25" s="24">
        <f t="shared" si="3"/>
        <v>10.08</v>
      </c>
      <c r="L25" s="24">
        <f t="shared" si="4"/>
        <v>13.719999999999999</v>
      </c>
      <c r="M25" s="4">
        <f t="shared" si="2"/>
        <v>7</v>
      </c>
      <c r="N25" s="271"/>
      <c r="O25" s="11"/>
      <c r="P25" s="11"/>
      <c r="Q25" s="11"/>
      <c r="R25" s="11"/>
    </row>
    <row r="26" spans="1:18" s="12" customFormat="1" ht="9.75" customHeight="1">
      <c r="A26" s="6">
        <v>17</v>
      </c>
      <c r="B26" s="7" t="s">
        <v>140</v>
      </c>
      <c r="C26" s="8">
        <v>2</v>
      </c>
      <c r="D26" s="9">
        <v>3</v>
      </c>
      <c r="E26" s="9">
        <v>0</v>
      </c>
      <c r="F26" s="9">
        <v>2</v>
      </c>
      <c r="G26" s="5"/>
      <c r="H26" s="5"/>
      <c r="I26" s="5"/>
      <c r="J26" s="5"/>
      <c r="K26" s="24">
        <f t="shared" si="3"/>
        <v>10.08</v>
      </c>
      <c r="L26" s="24">
        <f t="shared" si="4"/>
        <v>13.719999999999999</v>
      </c>
      <c r="M26" s="4">
        <f t="shared" si="2"/>
        <v>7</v>
      </c>
      <c r="N26" s="271"/>
      <c r="O26" s="11"/>
      <c r="P26" s="11"/>
      <c r="Q26" s="11"/>
      <c r="R26" s="11"/>
    </row>
    <row r="27" spans="1:18" s="12" customFormat="1" ht="9.75" customHeight="1">
      <c r="A27" s="6">
        <v>18</v>
      </c>
      <c r="B27" s="7" t="s">
        <v>141</v>
      </c>
      <c r="C27" s="8">
        <v>2</v>
      </c>
      <c r="D27" s="9">
        <v>1</v>
      </c>
      <c r="E27" s="9">
        <v>0</v>
      </c>
      <c r="F27" s="9">
        <v>3</v>
      </c>
      <c r="G27" s="5"/>
      <c r="H27" s="5"/>
      <c r="I27" s="5"/>
      <c r="J27" s="5"/>
      <c r="K27" s="24">
        <f t="shared" si="3"/>
        <v>8.64</v>
      </c>
      <c r="L27" s="24">
        <f t="shared" si="4"/>
        <v>11.759999999999998</v>
      </c>
      <c r="M27" s="4">
        <f t="shared" si="2"/>
        <v>6</v>
      </c>
      <c r="N27" s="271"/>
      <c r="O27" s="11"/>
      <c r="P27" s="11"/>
      <c r="Q27" s="11"/>
      <c r="R27" s="11"/>
    </row>
    <row r="28" spans="1:18" s="12" customFormat="1" ht="9.75" customHeight="1">
      <c r="A28" s="6">
        <v>19</v>
      </c>
      <c r="B28" s="7" t="s">
        <v>142</v>
      </c>
      <c r="C28" s="8">
        <v>2</v>
      </c>
      <c r="D28" s="9">
        <v>1</v>
      </c>
      <c r="E28" s="9">
        <v>1</v>
      </c>
      <c r="F28" s="9">
        <v>2</v>
      </c>
      <c r="G28" s="5"/>
      <c r="H28" s="5"/>
      <c r="I28" s="5"/>
      <c r="J28" s="5"/>
      <c r="K28" s="24">
        <f t="shared" si="3"/>
        <v>8.64</v>
      </c>
      <c r="L28" s="24">
        <f t="shared" si="4"/>
        <v>11.759999999999998</v>
      </c>
      <c r="M28" s="4">
        <f t="shared" si="2"/>
        <v>6</v>
      </c>
      <c r="N28" s="271"/>
      <c r="O28" s="11"/>
      <c r="P28" s="11"/>
      <c r="Q28" s="11"/>
      <c r="R28" s="11"/>
    </row>
    <row r="29" spans="1:18" s="12" customFormat="1" ht="9.75" customHeight="1">
      <c r="A29" s="6">
        <v>20</v>
      </c>
      <c r="B29" s="7" t="s">
        <v>143</v>
      </c>
      <c r="C29" s="8">
        <v>2</v>
      </c>
      <c r="D29" s="9">
        <v>3</v>
      </c>
      <c r="E29" s="9">
        <v>1</v>
      </c>
      <c r="F29" s="9">
        <v>1</v>
      </c>
      <c r="G29" s="5"/>
      <c r="H29" s="5"/>
      <c r="I29" s="5"/>
      <c r="J29" s="5"/>
      <c r="K29" s="24">
        <f t="shared" si="3"/>
        <v>10.08</v>
      </c>
      <c r="L29" s="24">
        <f t="shared" si="4"/>
        <v>13.719999999999999</v>
      </c>
      <c r="M29" s="4">
        <f t="shared" si="2"/>
        <v>7</v>
      </c>
      <c r="N29" s="228"/>
      <c r="O29" s="11"/>
      <c r="P29" s="11"/>
      <c r="Q29" s="11"/>
      <c r="R29" s="11"/>
    </row>
    <row r="30" spans="1:18" s="12" customFormat="1" ht="9.75" customHeight="1">
      <c r="A30" s="6">
        <v>21</v>
      </c>
      <c r="B30" s="7" t="s">
        <v>144</v>
      </c>
      <c r="C30" s="8">
        <v>1</v>
      </c>
      <c r="D30" s="9">
        <v>3</v>
      </c>
      <c r="E30" s="9">
        <v>0</v>
      </c>
      <c r="F30" s="9">
        <v>0</v>
      </c>
      <c r="G30" s="5"/>
      <c r="H30" s="5"/>
      <c r="I30" s="5"/>
      <c r="J30" s="5"/>
      <c r="K30" s="24">
        <f t="shared" si="3"/>
        <v>5.76</v>
      </c>
      <c r="L30" s="24">
        <f t="shared" si="4"/>
        <v>7.839999999999999</v>
      </c>
      <c r="M30" s="4">
        <f t="shared" si="2"/>
        <v>4</v>
      </c>
      <c r="N30" s="265" t="s">
        <v>81</v>
      </c>
      <c r="O30" s="11"/>
      <c r="P30" s="11"/>
      <c r="Q30" s="11"/>
      <c r="R30" s="11"/>
    </row>
    <row r="31" spans="1:18" s="12" customFormat="1" ht="9.75" customHeight="1">
      <c r="A31" s="6">
        <v>22</v>
      </c>
      <c r="B31" s="7" t="s">
        <v>145</v>
      </c>
      <c r="C31" s="8">
        <v>1</v>
      </c>
      <c r="D31" s="9">
        <v>3</v>
      </c>
      <c r="E31" s="9">
        <v>1</v>
      </c>
      <c r="F31" s="9">
        <v>2</v>
      </c>
      <c r="G31" s="5"/>
      <c r="H31" s="5"/>
      <c r="I31" s="5"/>
      <c r="J31" s="5"/>
      <c r="K31" s="24">
        <f t="shared" si="3"/>
        <v>10.08</v>
      </c>
      <c r="L31" s="24">
        <f t="shared" si="4"/>
        <v>13.719999999999999</v>
      </c>
      <c r="M31" s="4">
        <f t="shared" si="2"/>
        <v>7</v>
      </c>
      <c r="N31" s="271"/>
      <c r="O31" s="11"/>
      <c r="P31" s="11"/>
      <c r="Q31" s="11"/>
      <c r="R31" s="11"/>
    </row>
    <row r="32" spans="1:18" s="12" customFormat="1" ht="9.75" customHeight="1">
      <c r="A32" s="6">
        <v>23</v>
      </c>
      <c r="B32" s="7" t="s">
        <v>147</v>
      </c>
      <c r="C32" s="8">
        <v>2</v>
      </c>
      <c r="D32" s="9">
        <v>0</v>
      </c>
      <c r="E32" s="9">
        <v>1</v>
      </c>
      <c r="F32" s="9">
        <v>4</v>
      </c>
      <c r="G32" s="5"/>
      <c r="H32" s="5"/>
      <c r="I32" s="5"/>
      <c r="J32" s="5"/>
      <c r="K32" s="24">
        <f t="shared" si="3"/>
        <v>10.08</v>
      </c>
      <c r="L32" s="24">
        <f t="shared" si="4"/>
        <v>13.719999999999999</v>
      </c>
      <c r="M32" s="4">
        <f t="shared" si="2"/>
        <v>7</v>
      </c>
      <c r="N32" s="228"/>
      <c r="O32" s="11"/>
      <c r="P32" s="11"/>
      <c r="Q32" s="11"/>
      <c r="R32" s="11"/>
    </row>
    <row r="33" spans="1:18" s="12" customFormat="1" ht="9.75" customHeight="1">
      <c r="A33" s="6">
        <v>24</v>
      </c>
      <c r="B33" s="35" t="s">
        <v>7</v>
      </c>
      <c r="C33" s="59"/>
      <c r="D33" s="60"/>
      <c r="E33" s="60"/>
      <c r="F33" s="60"/>
      <c r="G33" s="35">
        <v>5</v>
      </c>
      <c r="H33" s="35">
        <v>4</v>
      </c>
      <c r="I33" s="35">
        <v>8</v>
      </c>
      <c r="J33" s="35">
        <v>6</v>
      </c>
      <c r="K33" s="36">
        <f>(G33+H33+I33+J33)*1.2^2</f>
        <v>33.12</v>
      </c>
      <c r="L33" s="36">
        <f>(G33+H33+I33+J33)*1.4^2</f>
        <v>45.07999999999999</v>
      </c>
      <c r="M33" s="69">
        <f>SUM(G33:J33)</f>
        <v>23</v>
      </c>
      <c r="N33" s="35" t="s">
        <v>82</v>
      </c>
      <c r="O33" s="11"/>
      <c r="P33" s="11"/>
      <c r="Q33" s="11"/>
      <c r="R33" s="11"/>
    </row>
    <row r="34" spans="1:18" s="12" customFormat="1" ht="9.75" customHeight="1">
      <c r="A34" s="6">
        <v>25</v>
      </c>
      <c r="B34" s="35" t="s">
        <v>8</v>
      </c>
      <c r="C34" s="48" t="s">
        <v>75</v>
      </c>
      <c r="D34" s="58"/>
      <c r="E34" s="58"/>
      <c r="F34" s="58"/>
      <c r="G34" s="58"/>
      <c r="H34" s="58"/>
      <c r="I34" s="58"/>
      <c r="J34" s="58"/>
      <c r="K34" s="36"/>
      <c r="L34" s="36"/>
      <c r="M34" s="69"/>
      <c r="N34" s="267" t="s">
        <v>81</v>
      </c>
      <c r="O34" s="11"/>
      <c r="P34" s="11"/>
      <c r="Q34" s="11"/>
      <c r="R34" s="11"/>
    </row>
    <row r="35" spans="1:18" s="12" customFormat="1" ht="9.75" customHeight="1">
      <c r="A35" s="6">
        <v>26</v>
      </c>
      <c r="B35" s="7" t="s">
        <v>148</v>
      </c>
      <c r="C35" s="8">
        <v>2</v>
      </c>
      <c r="D35" s="9">
        <v>3</v>
      </c>
      <c r="E35" s="9">
        <v>0</v>
      </c>
      <c r="F35" s="9">
        <v>2</v>
      </c>
      <c r="G35" s="5"/>
      <c r="H35" s="5"/>
      <c r="I35" s="5"/>
      <c r="J35" s="5"/>
      <c r="K35" s="24">
        <f>(C35+D35+E35+F35)*1.2^2</f>
        <v>10.08</v>
      </c>
      <c r="L35" s="24">
        <f>(C35+D35+E35+F35)*1.4^2</f>
        <v>13.719999999999999</v>
      </c>
      <c r="M35" s="4">
        <f t="shared" si="2"/>
        <v>7</v>
      </c>
      <c r="N35" s="271"/>
      <c r="O35" s="11"/>
      <c r="P35" s="11"/>
      <c r="Q35" s="11"/>
      <c r="R35" s="11"/>
    </row>
    <row r="36" spans="1:18" s="12" customFormat="1" ht="9.75" customHeight="1">
      <c r="A36" s="6">
        <v>27</v>
      </c>
      <c r="B36" s="7" t="s">
        <v>149</v>
      </c>
      <c r="C36" s="8">
        <v>1</v>
      </c>
      <c r="D36" s="9">
        <v>3</v>
      </c>
      <c r="E36" s="9">
        <v>0</v>
      </c>
      <c r="F36" s="9">
        <v>3</v>
      </c>
      <c r="G36" s="5"/>
      <c r="H36" s="5"/>
      <c r="I36" s="5"/>
      <c r="J36" s="5"/>
      <c r="K36" s="24">
        <f aca="true" t="shared" si="5" ref="K36:K41">(C36+D36+E36+F36)*1.2^2</f>
        <v>10.08</v>
      </c>
      <c r="L36" s="24">
        <f aca="true" t="shared" si="6" ref="L36:L41">(C36+D36+E36+F36)*1.4^2</f>
        <v>13.719999999999999</v>
      </c>
      <c r="M36" s="4">
        <f t="shared" si="2"/>
        <v>7</v>
      </c>
      <c r="N36" s="271"/>
      <c r="O36" s="11"/>
      <c r="P36" s="11"/>
      <c r="Q36" s="11"/>
      <c r="R36" s="11"/>
    </row>
    <row r="37" spans="1:18" s="12" customFormat="1" ht="9.75" customHeight="1">
      <c r="A37" s="6">
        <v>28</v>
      </c>
      <c r="B37" s="7" t="s">
        <v>150</v>
      </c>
      <c r="C37" s="8">
        <v>1</v>
      </c>
      <c r="D37" s="9">
        <v>0</v>
      </c>
      <c r="E37" s="9">
        <v>0</v>
      </c>
      <c r="F37" s="9">
        <v>4</v>
      </c>
      <c r="G37" s="5"/>
      <c r="H37" s="5"/>
      <c r="I37" s="5"/>
      <c r="J37" s="5"/>
      <c r="K37" s="24">
        <f t="shared" si="5"/>
        <v>7.199999999999999</v>
      </c>
      <c r="L37" s="24">
        <f t="shared" si="6"/>
        <v>9.799999999999999</v>
      </c>
      <c r="M37" s="4">
        <f t="shared" si="2"/>
        <v>5</v>
      </c>
      <c r="N37" s="271"/>
      <c r="O37" s="11"/>
      <c r="P37" s="11"/>
      <c r="Q37" s="11"/>
      <c r="R37" s="11"/>
    </row>
    <row r="38" spans="1:18" s="12" customFormat="1" ht="9.75" customHeight="1">
      <c r="A38" s="6">
        <v>29</v>
      </c>
      <c r="B38" s="7" t="s">
        <v>151</v>
      </c>
      <c r="C38" s="8">
        <v>2</v>
      </c>
      <c r="D38" s="9">
        <v>4</v>
      </c>
      <c r="E38" s="9">
        <v>1</v>
      </c>
      <c r="F38" s="9">
        <v>0</v>
      </c>
      <c r="G38" s="5"/>
      <c r="H38" s="5"/>
      <c r="I38" s="5"/>
      <c r="J38" s="5"/>
      <c r="K38" s="24">
        <f t="shared" si="5"/>
        <v>10.08</v>
      </c>
      <c r="L38" s="24">
        <f t="shared" si="6"/>
        <v>13.719999999999999</v>
      </c>
      <c r="M38" s="4">
        <f t="shared" si="2"/>
        <v>7</v>
      </c>
      <c r="N38" s="271"/>
      <c r="O38" s="11"/>
      <c r="P38" s="11"/>
      <c r="Q38" s="11"/>
      <c r="R38" s="11"/>
    </row>
    <row r="39" spans="1:18" s="12" customFormat="1" ht="9.75" customHeight="1">
      <c r="A39" s="6">
        <v>30</v>
      </c>
      <c r="B39" s="7" t="s">
        <v>152</v>
      </c>
      <c r="C39" s="8">
        <v>2</v>
      </c>
      <c r="D39" s="9">
        <v>2</v>
      </c>
      <c r="E39" s="9">
        <v>1</v>
      </c>
      <c r="F39" s="9">
        <v>1</v>
      </c>
      <c r="G39" s="5"/>
      <c r="H39" s="5"/>
      <c r="I39" s="5"/>
      <c r="J39" s="5"/>
      <c r="K39" s="24">
        <f t="shared" si="5"/>
        <v>8.64</v>
      </c>
      <c r="L39" s="24">
        <f t="shared" si="6"/>
        <v>11.759999999999998</v>
      </c>
      <c r="M39" s="4">
        <f t="shared" si="2"/>
        <v>6</v>
      </c>
      <c r="N39" s="271"/>
      <c r="O39" s="11"/>
      <c r="P39" s="11"/>
      <c r="Q39" s="11"/>
      <c r="R39" s="11"/>
    </row>
    <row r="40" spans="1:18" s="12" customFormat="1" ht="9.75" customHeight="1">
      <c r="A40" s="6">
        <v>31</v>
      </c>
      <c r="B40" s="7" t="s">
        <v>154</v>
      </c>
      <c r="C40" s="8">
        <v>1</v>
      </c>
      <c r="D40" s="9">
        <v>0</v>
      </c>
      <c r="E40" s="9">
        <v>1</v>
      </c>
      <c r="F40" s="9">
        <v>5</v>
      </c>
      <c r="G40" s="5"/>
      <c r="H40" s="5"/>
      <c r="I40" s="5"/>
      <c r="J40" s="5"/>
      <c r="K40" s="24">
        <f t="shared" si="5"/>
        <v>10.08</v>
      </c>
      <c r="L40" s="24">
        <f t="shared" si="6"/>
        <v>13.719999999999999</v>
      </c>
      <c r="M40" s="4">
        <f t="shared" si="2"/>
        <v>7</v>
      </c>
      <c r="N40" s="271"/>
      <c r="O40" s="11"/>
      <c r="P40" s="11"/>
      <c r="Q40" s="11"/>
      <c r="R40" s="11"/>
    </row>
    <row r="41" spans="1:18" s="12" customFormat="1" ht="9.75" customHeight="1" thickBot="1">
      <c r="A41" s="6">
        <v>32</v>
      </c>
      <c r="B41" s="30" t="s">
        <v>0</v>
      </c>
      <c r="C41" s="31">
        <v>1</v>
      </c>
      <c r="D41" s="32">
        <v>2</v>
      </c>
      <c r="E41" s="32">
        <v>1</v>
      </c>
      <c r="F41" s="32">
        <v>3</v>
      </c>
      <c r="G41" s="37"/>
      <c r="H41" s="37"/>
      <c r="I41" s="37"/>
      <c r="J41" s="37"/>
      <c r="K41" s="24">
        <f t="shared" si="5"/>
        <v>10.08</v>
      </c>
      <c r="L41" s="24">
        <f t="shared" si="6"/>
        <v>13.719999999999999</v>
      </c>
      <c r="M41" s="4">
        <f t="shared" si="2"/>
        <v>7</v>
      </c>
      <c r="N41" s="228"/>
      <c r="O41" s="11"/>
      <c r="P41" s="11"/>
      <c r="Q41" s="11"/>
      <c r="R41" s="11"/>
    </row>
    <row r="42" spans="1:18" s="12" customFormat="1" ht="9.75" customHeight="1">
      <c r="A42" s="10"/>
      <c r="B42" s="44" t="s">
        <v>74</v>
      </c>
      <c r="C42" s="33">
        <f>SUM(C10:C41)</f>
        <v>44</v>
      </c>
      <c r="D42" s="33">
        <f>SUM(D10:D41)</f>
        <v>56</v>
      </c>
      <c r="E42" s="33">
        <f>SUM(E10:E41)</f>
        <v>16</v>
      </c>
      <c r="F42" s="33">
        <f>SUM(F10:F41)</f>
        <v>64</v>
      </c>
      <c r="G42" s="33"/>
      <c r="H42" s="33"/>
      <c r="I42" s="33"/>
      <c r="J42" s="33"/>
      <c r="K42" s="34">
        <f>SUM(K10:K17)+SUM(K19:K33)+SUM(K35:K41)</f>
        <v>325.44</v>
      </c>
      <c r="L42" s="34">
        <f>SUM(L10:L17)+SUM(L19:L33)+SUM(L35:L41)</f>
        <v>442.9599999999999</v>
      </c>
      <c r="M42" s="33">
        <f>SUM(M10:M16)+SUM(M19:M32)+SUM(M35:M41)</f>
        <v>180</v>
      </c>
      <c r="N42" s="11"/>
      <c r="O42" s="11"/>
      <c r="P42" s="11"/>
      <c r="Q42" s="11"/>
      <c r="R42" s="11"/>
    </row>
    <row r="43" spans="1:18" s="12" customFormat="1" ht="9.75" customHeight="1">
      <c r="A43" s="11"/>
      <c r="B43" s="45" t="s">
        <v>9</v>
      </c>
      <c r="C43" s="39"/>
      <c r="D43" s="39"/>
      <c r="E43" s="39"/>
      <c r="F43" s="39"/>
      <c r="G43" s="42">
        <f>G17+H17+G33+H33</f>
        <v>18</v>
      </c>
      <c r="H43" s="43"/>
      <c r="I43" s="39"/>
      <c r="J43" s="39"/>
      <c r="K43" s="210">
        <f>SUM(AVERAGE(K10:K17)+AVERAGE(K19:K33)+AVERAGE(K35:K41))/3</f>
        <v>10.790285714285716</v>
      </c>
      <c r="L43" s="210">
        <f>SUM(AVERAGE(L10:L17)+AVERAGE(L19:L33)+AVERAGE(L35:L41))/3</f>
        <v>14.686777777777776</v>
      </c>
      <c r="M43" s="67">
        <f>SUM(C43:J43)</f>
        <v>18</v>
      </c>
      <c r="N43" s="11"/>
      <c r="O43" s="11"/>
      <c r="P43" s="11"/>
      <c r="Q43" s="11"/>
      <c r="R43" s="11"/>
    </row>
    <row r="44" spans="1:18" s="12" customFormat="1" ht="9.75" customHeight="1">
      <c r="A44" s="11"/>
      <c r="B44" s="268" t="s">
        <v>53</v>
      </c>
      <c r="C44" s="269"/>
      <c r="D44" s="39"/>
      <c r="E44" s="39"/>
      <c r="F44" s="39"/>
      <c r="G44" s="39"/>
      <c r="H44" s="39"/>
      <c r="I44" s="39">
        <f>SUM(I10:I41)</f>
        <v>16</v>
      </c>
      <c r="J44" s="39"/>
      <c r="K44" s="39"/>
      <c r="L44" s="39"/>
      <c r="M44" s="67">
        <f>SUM(C44:J44)</f>
        <v>16</v>
      </c>
      <c r="N44" s="11"/>
      <c r="O44" s="11"/>
      <c r="P44" s="11"/>
      <c r="Q44" s="11"/>
      <c r="R44" s="11"/>
    </row>
    <row r="45" spans="1:18" s="12" customFormat="1" ht="9.75" customHeight="1">
      <c r="A45" s="11"/>
      <c r="B45" s="45" t="s">
        <v>108</v>
      </c>
      <c r="C45" s="39"/>
      <c r="D45" s="39"/>
      <c r="E45" s="39"/>
      <c r="F45" s="39"/>
      <c r="G45" s="39"/>
      <c r="H45" s="39"/>
      <c r="I45" s="39"/>
      <c r="J45" s="42">
        <f>J17+J33</f>
        <v>12</v>
      </c>
      <c r="K45" s="39"/>
      <c r="L45" s="39"/>
      <c r="M45" s="67">
        <f>SUM(C45:J45)</f>
        <v>12</v>
      </c>
      <c r="N45" s="11"/>
      <c r="O45" s="11"/>
      <c r="P45" s="11"/>
      <c r="Q45" s="11"/>
      <c r="R45" s="11"/>
    </row>
    <row r="46" spans="1:16" s="12" customFormat="1" ht="9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68"/>
      <c r="L46" s="68"/>
      <c r="M46" s="70">
        <f>SUM(M42:M45)</f>
        <v>226</v>
      </c>
      <c r="N46" s="11"/>
      <c r="O46" s="11"/>
      <c r="P46" s="11"/>
    </row>
    <row r="47" spans="1:17" s="12" customFormat="1" ht="9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6" s="12" customFormat="1" ht="21" customHeight="1">
      <c r="A48" s="11"/>
      <c r="B48" s="25" t="s">
        <v>59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1"/>
      <c r="O48" s="11"/>
      <c r="P48" s="11"/>
    </row>
    <row r="49" spans="1:16" s="12" customFormat="1" ht="9.75" customHeight="1">
      <c r="A49" s="4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5" s="12" customFormat="1" ht="9.75" customHeight="1">
      <c r="A50" s="13"/>
      <c r="B50" s="27"/>
      <c r="C50" s="13" t="s">
        <v>111</v>
      </c>
      <c r="D50" s="17" t="s">
        <v>76</v>
      </c>
      <c r="E50" s="17" t="s">
        <v>77</v>
      </c>
      <c r="F50" s="17" t="s">
        <v>3</v>
      </c>
      <c r="G50" s="13" t="s">
        <v>9</v>
      </c>
      <c r="H50" s="14"/>
      <c r="I50" s="17" t="s">
        <v>51</v>
      </c>
      <c r="J50" s="17" t="s">
        <v>17</v>
      </c>
      <c r="K50" s="14" t="s">
        <v>56</v>
      </c>
      <c r="L50" s="14" t="s">
        <v>21</v>
      </c>
      <c r="M50" s="14" t="s">
        <v>1</v>
      </c>
      <c r="N50" s="62" t="s">
        <v>71</v>
      </c>
      <c r="O50" s="11"/>
    </row>
    <row r="51" spans="1:15" s="12" customFormat="1" ht="9.75" customHeight="1">
      <c r="A51" s="15"/>
      <c r="B51" s="28" t="s">
        <v>113</v>
      </c>
      <c r="C51" s="65" t="s">
        <v>70</v>
      </c>
      <c r="D51" s="61" t="s">
        <v>70</v>
      </c>
      <c r="E51" s="57" t="s">
        <v>70</v>
      </c>
      <c r="F51" s="57" t="s">
        <v>70</v>
      </c>
      <c r="G51" s="38" t="s">
        <v>70</v>
      </c>
      <c r="H51" s="22"/>
      <c r="I51" s="57" t="s">
        <v>52</v>
      </c>
      <c r="J51" s="114" t="s">
        <v>18</v>
      </c>
      <c r="K51" s="22" t="s">
        <v>78</v>
      </c>
      <c r="L51" s="22" t="s">
        <v>78</v>
      </c>
      <c r="M51" s="22" t="s">
        <v>2</v>
      </c>
      <c r="N51" s="63" t="s">
        <v>79</v>
      </c>
      <c r="O51" s="11"/>
    </row>
    <row r="52" spans="1:16" ht="9.75" customHeight="1" thickBot="1">
      <c r="A52" s="16"/>
      <c r="B52" s="29" t="s">
        <v>114</v>
      </c>
      <c r="C52" s="66"/>
      <c r="D52" s="66"/>
      <c r="E52" s="52"/>
      <c r="F52" s="52"/>
      <c r="G52" s="23" t="s">
        <v>10</v>
      </c>
      <c r="H52" s="23" t="s">
        <v>11</v>
      </c>
      <c r="I52" s="52" t="s">
        <v>70</v>
      </c>
      <c r="J52" s="53" t="s">
        <v>80</v>
      </c>
      <c r="K52" s="23" t="s">
        <v>100</v>
      </c>
      <c r="L52" s="209" t="s">
        <v>100</v>
      </c>
      <c r="M52" s="23" t="s">
        <v>70</v>
      </c>
      <c r="N52" s="64"/>
      <c r="P52"/>
    </row>
    <row r="53" spans="1:16" ht="9.75" customHeight="1" thickTop="1">
      <c r="A53" s="2">
        <v>1</v>
      </c>
      <c r="B53" s="3" t="s">
        <v>12</v>
      </c>
      <c r="C53" s="4">
        <v>2</v>
      </c>
      <c r="D53" s="5">
        <v>3</v>
      </c>
      <c r="E53" s="5">
        <v>0</v>
      </c>
      <c r="F53" s="5">
        <v>2</v>
      </c>
      <c r="G53" s="5"/>
      <c r="H53" s="5"/>
      <c r="I53" s="5"/>
      <c r="J53" s="5"/>
      <c r="K53" s="24">
        <f aca="true" t="shared" si="7" ref="K53:K59">(C53+D53+E53+F53)*1.2^2</f>
        <v>10.08</v>
      </c>
      <c r="L53" s="24">
        <f>(C53+D53+E53+F53)*1.4^2</f>
        <v>13.719999999999999</v>
      </c>
      <c r="M53" s="4">
        <f aca="true" t="shared" si="8" ref="M53:M59">C53+D53+E53+F53</f>
        <v>7</v>
      </c>
      <c r="N53" s="270" t="s">
        <v>81</v>
      </c>
      <c r="P53"/>
    </row>
    <row r="54" spans="1:16" ht="9.75" customHeight="1">
      <c r="A54" s="6">
        <v>2</v>
      </c>
      <c r="B54" s="7" t="s">
        <v>13</v>
      </c>
      <c r="C54" s="8">
        <v>2</v>
      </c>
      <c r="D54" s="9">
        <v>1</v>
      </c>
      <c r="E54" s="9">
        <v>0</v>
      </c>
      <c r="F54" s="9">
        <v>4</v>
      </c>
      <c r="G54" s="5"/>
      <c r="H54" s="5"/>
      <c r="I54" s="5"/>
      <c r="J54" s="5"/>
      <c r="K54" s="24">
        <f t="shared" si="7"/>
        <v>10.08</v>
      </c>
      <c r="L54" s="24">
        <f aca="true" t="shared" si="9" ref="L54:L59">(C54+D54+E54+F54)*1.4^2</f>
        <v>13.719999999999999</v>
      </c>
      <c r="M54" s="4">
        <f t="shared" si="8"/>
        <v>7</v>
      </c>
      <c r="N54" s="271"/>
      <c r="P54"/>
    </row>
    <row r="55" spans="1:16" ht="9.75" customHeight="1">
      <c r="A55" s="6">
        <v>3</v>
      </c>
      <c r="B55" s="7" t="s">
        <v>14</v>
      </c>
      <c r="C55" s="8">
        <v>2</v>
      </c>
      <c r="D55" s="9">
        <v>1</v>
      </c>
      <c r="E55" s="9">
        <v>1</v>
      </c>
      <c r="F55" s="9">
        <v>3</v>
      </c>
      <c r="G55" s="5"/>
      <c r="H55" s="5"/>
      <c r="I55" s="5"/>
      <c r="J55" s="5"/>
      <c r="K55" s="24">
        <f t="shared" si="7"/>
        <v>10.08</v>
      </c>
      <c r="L55" s="24">
        <f t="shared" si="9"/>
        <v>13.719999999999999</v>
      </c>
      <c r="M55" s="4">
        <f t="shared" si="8"/>
        <v>7</v>
      </c>
      <c r="N55" s="271"/>
      <c r="P55"/>
    </row>
    <row r="56" spans="1:16" ht="9.75" customHeight="1">
      <c r="A56" s="6">
        <v>4</v>
      </c>
      <c r="B56" s="7" t="s">
        <v>15</v>
      </c>
      <c r="C56" s="8">
        <v>2</v>
      </c>
      <c r="D56" s="9">
        <v>3</v>
      </c>
      <c r="E56" s="9">
        <v>1</v>
      </c>
      <c r="F56" s="9">
        <v>1</v>
      </c>
      <c r="G56" s="5"/>
      <c r="H56" s="5"/>
      <c r="I56" s="5"/>
      <c r="J56" s="5"/>
      <c r="K56" s="24">
        <f t="shared" si="7"/>
        <v>10.08</v>
      </c>
      <c r="L56" s="24">
        <f t="shared" si="9"/>
        <v>13.719999999999999</v>
      </c>
      <c r="M56" s="4">
        <f t="shared" si="8"/>
        <v>7</v>
      </c>
      <c r="N56" s="228"/>
      <c r="P56"/>
    </row>
    <row r="57" spans="1:16" ht="9.75" customHeight="1">
      <c r="A57" s="6">
        <v>5</v>
      </c>
      <c r="B57" s="7" t="s">
        <v>16</v>
      </c>
      <c r="C57" s="8">
        <v>1</v>
      </c>
      <c r="D57" s="9">
        <v>3</v>
      </c>
      <c r="E57" s="9">
        <v>0</v>
      </c>
      <c r="F57" s="9">
        <v>2</v>
      </c>
      <c r="G57" s="5"/>
      <c r="H57" s="5"/>
      <c r="I57" s="5"/>
      <c r="J57" s="5"/>
      <c r="K57" s="24">
        <f t="shared" si="7"/>
        <v>8.64</v>
      </c>
      <c r="L57" s="24">
        <f t="shared" si="9"/>
        <v>11.759999999999998</v>
      </c>
      <c r="M57" s="4">
        <f t="shared" si="8"/>
        <v>6</v>
      </c>
      <c r="N57" s="272" t="s">
        <v>82</v>
      </c>
      <c r="P57"/>
    </row>
    <row r="58" spans="1:16" ht="9.75" customHeight="1">
      <c r="A58" s="6">
        <v>6</v>
      </c>
      <c r="B58" s="7" t="s">
        <v>22</v>
      </c>
      <c r="C58" s="8">
        <v>1</v>
      </c>
      <c r="D58" s="9">
        <v>3</v>
      </c>
      <c r="E58" s="9">
        <v>1</v>
      </c>
      <c r="F58" s="9">
        <v>2</v>
      </c>
      <c r="G58" s="5"/>
      <c r="H58" s="5"/>
      <c r="I58" s="5"/>
      <c r="J58" s="5"/>
      <c r="K58" s="24">
        <f t="shared" si="7"/>
        <v>10.08</v>
      </c>
      <c r="L58" s="24">
        <f t="shared" si="9"/>
        <v>13.719999999999999</v>
      </c>
      <c r="M58" s="4">
        <f t="shared" si="8"/>
        <v>7</v>
      </c>
      <c r="N58" s="271"/>
      <c r="P58"/>
    </row>
    <row r="59" spans="1:16" ht="9.75" customHeight="1">
      <c r="A59" s="6">
        <v>7</v>
      </c>
      <c r="B59" s="7" t="s">
        <v>23</v>
      </c>
      <c r="C59" s="8">
        <v>2</v>
      </c>
      <c r="D59" s="9">
        <v>0</v>
      </c>
      <c r="E59" s="9">
        <v>1</v>
      </c>
      <c r="F59" s="9">
        <v>2</v>
      </c>
      <c r="G59" s="5"/>
      <c r="H59" s="5"/>
      <c r="I59" s="5"/>
      <c r="J59" s="5"/>
      <c r="K59" s="24">
        <f t="shared" si="7"/>
        <v>7.199999999999999</v>
      </c>
      <c r="L59" s="24">
        <f t="shared" si="9"/>
        <v>9.799999999999999</v>
      </c>
      <c r="M59" s="4">
        <f t="shared" si="8"/>
        <v>5</v>
      </c>
      <c r="N59" s="271"/>
      <c r="P59"/>
    </row>
    <row r="60" spans="1:16" ht="9.75" customHeight="1">
      <c r="A60" s="6">
        <v>8</v>
      </c>
      <c r="B60" s="35" t="s">
        <v>24</v>
      </c>
      <c r="C60" s="48" t="s">
        <v>75</v>
      </c>
      <c r="D60" s="49"/>
      <c r="E60" s="49"/>
      <c r="F60" s="49"/>
      <c r="G60" s="58"/>
      <c r="H60" s="58"/>
      <c r="I60" s="58"/>
      <c r="J60" s="58"/>
      <c r="K60" s="36"/>
      <c r="L60" s="36"/>
      <c r="M60" s="69"/>
      <c r="N60" s="271"/>
      <c r="P60"/>
    </row>
    <row r="61" spans="1:16" ht="9.75" customHeight="1">
      <c r="A61" s="6">
        <v>9</v>
      </c>
      <c r="B61" s="35" t="s">
        <v>25</v>
      </c>
      <c r="C61" s="59"/>
      <c r="D61" s="35"/>
      <c r="E61" s="35"/>
      <c r="F61" s="35"/>
      <c r="G61" s="35">
        <v>5</v>
      </c>
      <c r="H61" s="35">
        <v>4</v>
      </c>
      <c r="I61" s="35">
        <v>8</v>
      </c>
      <c r="J61" s="35">
        <v>6</v>
      </c>
      <c r="K61" s="36">
        <f>(G61+H61+I61+J61)*1.2^2</f>
        <v>33.12</v>
      </c>
      <c r="L61" s="36">
        <f>(G61+H61+I61+J61)*1.4^2</f>
        <v>45.07999999999999</v>
      </c>
      <c r="M61" s="69">
        <f>SUM(G61:J61)</f>
        <v>23</v>
      </c>
      <c r="N61" s="271"/>
      <c r="P61"/>
    </row>
    <row r="62" spans="1:16" ht="9.75" customHeight="1">
      <c r="A62" s="6">
        <v>10</v>
      </c>
      <c r="B62" s="7" t="s">
        <v>26</v>
      </c>
      <c r="C62" s="8">
        <v>2</v>
      </c>
      <c r="D62" s="9">
        <v>3</v>
      </c>
      <c r="E62" s="9">
        <v>0</v>
      </c>
      <c r="F62" s="9">
        <v>2</v>
      </c>
      <c r="G62" s="5"/>
      <c r="H62" s="5"/>
      <c r="I62" s="5"/>
      <c r="J62" s="5"/>
      <c r="K62" s="24">
        <f aca="true" t="shared" si="10" ref="K62:K75">(C62+D62+E62+F62)*1.2^2</f>
        <v>10.08</v>
      </c>
      <c r="L62" s="24">
        <f>(C62+D62+E62+F62)*1.4^2</f>
        <v>13.719999999999999</v>
      </c>
      <c r="M62" s="4">
        <f aca="true" t="shared" si="11" ref="M62:M75">C62+D62+E62+F62</f>
        <v>7</v>
      </c>
      <c r="N62" s="271"/>
      <c r="P62"/>
    </row>
    <row r="63" spans="1:16" ht="9.75" customHeight="1">
      <c r="A63" s="6">
        <v>11</v>
      </c>
      <c r="B63" s="7" t="s">
        <v>27</v>
      </c>
      <c r="C63" s="8">
        <v>1</v>
      </c>
      <c r="D63" s="9">
        <v>3</v>
      </c>
      <c r="E63" s="9">
        <v>0</v>
      </c>
      <c r="F63" s="9">
        <v>2</v>
      </c>
      <c r="G63" s="5"/>
      <c r="H63" s="5"/>
      <c r="I63" s="5"/>
      <c r="J63" s="5"/>
      <c r="K63" s="24">
        <f t="shared" si="10"/>
        <v>8.64</v>
      </c>
      <c r="L63" s="24">
        <f aca="true" t="shared" si="12" ref="L63:L75">(C63+D63+E63+F63)*1.4^2</f>
        <v>11.759999999999998</v>
      </c>
      <c r="M63" s="4">
        <f t="shared" si="11"/>
        <v>6</v>
      </c>
      <c r="N63" s="271"/>
      <c r="P63"/>
    </row>
    <row r="64" spans="1:16" ht="9.75" customHeight="1">
      <c r="A64" s="6">
        <v>12</v>
      </c>
      <c r="B64" s="7" t="s">
        <v>28</v>
      </c>
      <c r="C64" s="8">
        <v>1</v>
      </c>
      <c r="D64" s="9">
        <v>0</v>
      </c>
      <c r="E64" s="9">
        <v>0</v>
      </c>
      <c r="F64" s="9">
        <v>2</v>
      </c>
      <c r="G64" s="5"/>
      <c r="H64" s="5"/>
      <c r="I64" s="5"/>
      <c r="J64" s="5"/>
      <c r="K64" s="24">
        <f t="shared" si="10"/>
        <v>4.32</v>
      </c>
      <c r="L64" s="24">
        <f t="shared" si="12"/>
        <v>5.879999999999999</v>
      </c>
      <c r="M64" s="4">
        <f t="shared" si="11"/>
        <v>3</v>
      </c>
      <c r="N64" s="271"/>
      <c r="P64"/>
    </row>
    <row r="65" spans="1:16" ht="9.75" customHeight="1">
      <c r="A65" s="6">
        <v>13</v>
      </c>
      <c r="B65" s="7" t="s">
        <v>29</v>
      </c>
      <c r="C65" s="8">
        <v>2</v>
      </c>
      <c r="D65" s="9">
        <v>4</v>
      </c>
      <c r="E65" s="9">
        <v>1</v>
      </c>
      <c r="F65" s="9">
        <v>0</v>
      </c>
      <c r="G65" s="5"/>
      <c r="H65" s="5"/>
      <c r="I65" s="5"/>
      <c r="J65" s="5"/>
      <c r="K65" s="24">
        <f t="shared" si="10"/>
        <v>10.08</v>
      </c>
      <c r="L65" s="24">
        <f t="shared" si="12"/>
        <v>13.719999999999999</v>
      </c>
      <c r="M65" s="4">
        <f t="shared" si="11"/>
        <v>7</v>
      </c>
      <c r="N65" s="271"/>
      <c r="P65"/>
    </row>
    <row r="66" spans="1:16" ht="9.75" customHeight="1">
      <c r="A66" s="6">
        <v>14</v>
      </c>
      <c r="B66" s="7" t="s">
        <v>30</v>
      </c>
      <c r="C66" s="8">
        <v>2</v>
      </c>
      <c r="D66" s="9">
        <v>2</v>
      </c>
      <c r="E66" s="9">
        <v>1</v>
      </c>
      <c r="F66" s="9">
        <v>2</v>
      </c>
      <c r="G66" s="5"/>
      <c r="H66" s="5"/>
      <c r="I66" s="5"/>
      <c r="J66" s="5"/>
      <c r="K66" s="24">
        <f t="shared" si="10"/>
        <v>10.08</v>
      </c>
      <c r="L66" s="24">
        <f t="shared" si="12"/>
        <v>13.719999999999999</v>
      </c>
      <c r="M66" s="4">
        <f t="shared" si="11"/>
        <v>7</v>
      </c>
      <c r="N66" s="271"/>
      <c r="P66"/>
    </row>
    <row r="67" spans="1:16" ht="9.75" customHeight="1">
      <c r="A67" s="6">
        <v>15</v>
      </c>
      <c r="B67" s="7" t="s">
        <v>31</v>
      </c>
      <c r="C67" s="8">
        <v>1</v>
      </c>
      <c r="D67" s="9">
        <v>0</v>
      </c>
      <c r="E67" s="9">
        <v>1</v>
      </c>
      <c r="F67" s="9">
        <v>5</v>
      </c>
      <c r="G67" s="5"/>
      <c r="H67" s="5"/>
      <c r="I67" s="5"/>
      <c r="J67" s="5"/>
      <c r="K67" s="24">
        <f t="shared" si="10"/>
        <v>10.08</v>
      </c>
      <c r="L67" s="24">
        <f t="shared" si="12"/>
        <v>13.719999999999999</v>
      </c>
      <c r="M67" s="4">
        <f t="shared" si="11"/>
        <v>7</v>
      </c>
      <c r="N67" s="271"/>
      <c r="P67"/>
    </row>
    <row r="68" spans="1:16" ht="9.75" customHeight="1">
      <c r="A68" s="6">
        <v>16</v>
      </c>
      <c r="B68" s="7" t="s">
        <v>32</v>
      </c>
      <c r="C68" s="8">
        <v>1</v>
      </c>
      <c r="D68" s="9">
        <v>2</v>
      </c>
      <c r="E68" s="9">
        <v>1</v>
      </c>
      <c r="F68" s="9">
        <v>2</v>
      </c>
      <c r="G68" s="5"/>
      <c r="H68" s="5"/>
      <c r="I68" s="5"/>
      <c r="J68" s="5"/>
      <c r="K68" s="24">
        <f t="shared" si="10"/>
        <v>8.64</v>
      </c>
      <c r="L68" s="24">
        <f t="shared" si="12"/>
        <v>11.759999999999998</v>
      </c>
      <c r="M68" s="4">
        <f t="shared" si="11"/>
        <v>6</v>
      </c>
      <c r="N68" s="271"/>
      <c r="P68"/>
    </row>
    <row r="69" spans="1:16" ht="9.75" customHeight="1">
      <c r="A69" s="6">
        <v>17</v>
      </c>
      <c r="B69" s="7" t="s">
        <v>33</v>
      </c>
      <c r="C69" s="8">
        <v>2</v>
      </c>
      <c r="D69" s="9">
        <v>3</v>
      </c>
      <c r="E69" s="9">
        <v>0</v>
      </c>
      <c r="F69" s="9">
        <v>2</v>
      </c>
      <c r="G69" s="5"/>
      <c r="H69" s="5"/>
      <c r="I69" s="5"/>
      <c r="J69" s="5"/>
      <c r="K69" s="24">
        <f t="shared" si="10"/>
        <v>10.08</v>
      </c>
      <c r="L69" s="24">
        <f t="shared" si="12"/>
        <v>13.719999999999999</v>
      </c>
      <c r="M69" s="4">
        <f t="shared" si="11"/>
        <v>7</v>
      </c>
      <c r="N69" s="271"/>
      <c r="P69"/>
    </row>
    <row r="70" spans="1:16" ht="9.75" customHeight="1">
      <c r="A70" s="6">
        <v>18</v>
      </c>
      <c r="B70" s="7" t="s">
        <v>34</v>
      </c>
      <c r="C70" s="8">
        <v>2</v>
      </c>
      <c r="D70" s="9">
        <v>1</v>
      </c>
      <c r="E70" s="9">
        <v>0</v>
      </c>
      <c r="F70" s="9">
        <v>4</v>
      </c>
      <c r="G70" s="5"/>
      <c r="H70" s="5"/>
      <c r="I70" s="5"/>
      <c r="J70" s="5"/>
      <c r="K70" s="24">
        <f t="shared" si="10"/>
        <v>10.08</v>
      </c>
      <c r="L70" s="24">
        <f t="shared" si="12"/>
        <v>13.719999999999999</v>
      </c>
      <c r="M70" s="4">
        <f t="shared" si="11"/>
        <v>7</v>
      </c>
      <c r="N70" s="271"/>
      <c r="P70"/>
    </row>
    <row r="71" spans="1:16" ht="9.75" customHeight="1">
      <c r="A71" s="6">
        <v>19</v>
      </c>
      <c r="B71" s="7" t="s">
        <v>35</v>
      </c>
      <c r="C71" s="8">
        <v>2</v>
      </c>
      <c r="D71" s="9">
        <v>1</v>
      </c>
      <c r="E71" s="9">
        <v>1</v>
      </c>
      <c r="F71" s="9">
        <v>3</v>
      </c>
      <c r="G71" s="5"/>
      <c r="H71" s="5"/>
      <c r="I71" s="5"/>
      <c r="J71" s="5"/>
      <c r="K71" s="24">
        <f t="shared" si="10"/>
        <v>10.08</v>
      </c>
      <c r="L71" s="24">
        <f t="shared" si="12"/>
        <v>13.719999999999999</v>
      </c>
      <c r="M71" s="4">
        <f t="shared" si="11"/>
        <v>7</v>
      </c>
      <c r="N71" s="271"/>
      <c r="P71"/>
    </row>
    <row r="72" spans="1:16" ht="9.75" customHeight="1">
      <c r="A72" s="6">
        <v>20</v>
      </c>
      <c r="B72" s="7" t="s">
        <v>36</v>
      </c>
      <c r="C72" s="8">
        <v>2</v>
      </c>
      <c r="D72" s="9">
        <v>3</v>
      </c>
      <c r="E72" s="9">
        <v>1</v>
      </c>
      <c r="F72" s="9">
        <v>2</v>
      </c>
      <c r="G72" s="5"/>
      <c r="H72" s="5"/>
      <c r="I72" s="5"/>
      <c r="J72" s="5"/>
      <c r="K72" s="24">
        <f t="shared" si="10"/>
        <v>11.52</v>
      </c>
      <c r="L72" s="24">
        <f t="shared" si="12"/>
        <v>15.679999999999998</v>
      </c>
      <c r="M72" s="4">
        <f t="shared" si="11"/>
        <v>8</v>
      </c>
      <c r="N72" s="228"/>
      <c r="P72"/>
    </row>
    <row r="73" spans="1:16" ht="9.75" customHeight="1">
      <c r="A73" s="6">
        <v>21</v>
      </c>
      <c r="B73" s="7" t="s">
        <v>39</v>
      </c>
      <c r="C73" s="8">
        <v>1</v>
      </c>
      <c r="D73" s="9">
        <v>3</v>
      </c>
      <c r="E73" s="9">
        <v>0</v>
      </c>
      <c r="F73" s="9">
        <v>2</v>
      </c>
      <c r="G73" s="5"/>
      <c r="H73" s="5"/>
      <c r="I73" s="5"/>
      <c r="J73" s="5"/>
      <c r="K73" s="24">
        <f t="shared" si="10"/>
        <v>8.64</v>
      </c>
      <c r="L73" s="24">
        <f t="shared" si="12"/>
        <v>11.759999999999998</v>
      </c>
      <c r="M73" s="4">
        <f t="shared" si="11"/>
        <v>6</v>
      </c>
      <c r="N73" s="265" t="s">
        <v>81</v>
      </c>
      <c r="P73"/>
    </row>
    <row r="74" spans="1:16" ht="9.75" customHeight="1">
      <c r="A74" s="6">
        <v>22</v>
      </c>
      <c r="B74" s="7" t="s">
        <v>40</v>
      </c>
      <c r="C74" s="8">
        <v>1</v>
      </c>
      <c r="D74" s="9">
        <v>3</v>
      </c>
      <c r="E74" s="9">
        <v>1</v>
      </c>
      <c r="F74" s="9">
        <v>2</v>
      </c>
      <c r="G74" s="5"/>
      <c r="H74" s="5"/>
      <c r="I74" s="5"/>
      <c r="J74" s="5"/>
      <c r="K74" s="24">
        <f t="shared" si="10"/>
        <v>10.08</v>
      </c>
      <c r="L74" s="24">
        <f t="shared" si="12"/>
        <v>13.719999999999999</v>
      </c>
      <c r="M74" s="4">
        <f t="shared" si="11"/>
        <v>7</v>
      </c>
      <c r="N74" s="266"/>
      <c r="P74"/>
    </row>
    <row r="75" spans="1:16" ht="9.75" customHeight="1">
      <c r="A75" s="6">
        <v>23</v>
      </c>
      <c r="B75" s="7" t="s">
        <v>41</v>
      </c>
      <c r="C75" s="8">
        <v>2</v>
      </c>
      <c r="D75" s="9">
        <v>0</v>
      </c>
      <c r="E75" s="9">
        <v>1</v>
      </c>
      <c r="F75" s="9">
        <v>2</v>
      </c>
      <c r="G75" s="5"/>
      <c r="H75" s="5"/>
      <c r="I75" s="5"/>
      <c r="J75" s="5"/>
      <c r="K75" s="24">
        <f t="shared" si="10"/>
        <v>7.199999999999999</v>
      </c>
      <c r="L75" s="24">
        <f t="shared" si="12"/>
        <v>9.799999999999999</v>
      </c>
      <c r="M75" s="4">
        <f t="shared" si="11"/>
        <v>5</v>
      </c>
      <c r="N75" s="266"/>
      <c r="P75"/>
    </row>
    <row r="76" spans="1:16" ht="9.75" customHeight="1">
      <c r="A76" s="6">
        <v>24</v>
      </c>
      <c r="B76" s="35" t="s">
        <v>42</v>
      </c>
      <c r="C76" s="48" t="s">
        <v>75</v>
      </c>
      <c r="D76" s="49"/>
      <c r="E76" s="49"/>
      <c r="F76" s="49"/>
      <c r="G76" s="58"/>
      <c r="H76" s="58"/>
      <c r="I76" s="58"/>
      <c r="J76" s="58"/>
      <c r="K76" s="36"/>
      <c r="L76" s="36"/>
      <c r="M76" s="69"/>
      <c r="N76" s="217"/>
      <c r="P76"/>
    </row>
    <row r="77" spans="1:16" ht="9.75" customHeight="1">
      <c r="A77" s="6">
        <v>25</v>
      </c>
      <c r="B77" s="35" t="s">
        <v>43</v>
      </c>
      <c r="C77" s="59"/>
      <c r="D77" s="35"/>
      <c r="E77" s="35"/>
      <c r="F77" s="35"/>
      <c r="G77" s="35">
        <v>5</v>
      </c>
      <c r="H77" s="35">
        <v>4</v>
      </c>
      <c r="I77" s="35">
        <v>8</v>
      </c>
      <c r="J77" s="35">
        <v>6</v>
      </c>
      <c r="K77" s="36">
        <f>(G77+H77+I77+J77)*1.2^2</f>
        <v>33.12</v>
      </c>
      <c r="L77" s="36">
        <f>(G77+H77+I77+J77)*1.4^2</f>
        <v>45.07999999999999</v>
      </c>
      <c r="M77" s="69">
        <f>SUM(G77:J77)</f>
        <v>23</v>
      </c>
      <c r="N77" s="35" t="s">
        <v>82</v>
      </c>
      <c r="P77"/>
    </row>
    <row r="78" spans="1:16" ht="9.75" customHeight="1">
      <c r="A78" s="6">
        <v>26</v>
      </c>
      <c r="B78" s="7" t="s">
        <v>44</v>
      </c>
      <c r="C78" s="8">
        <v>2</v>
      </c>
      <c r="D78" s="9">
        <v>3</v>
      </c>
      <c r="E78" s="9">
        <v>0</v>
      </c>
      <c r="F78" s="9">
        <v>2</v>
      </c>
      <c r="G78" s="5"/>
      <c r="H78" s="5"/>
      <c r="I78" s="5"/>
      <c r="J78" s="5"/>
      <c r="K78" s="24">
        <f>(C78+D78+E78+F78)*1.2^2</f>
        <v>10.08</v>
      </c>
      <c r="L78" s="24">
        <f>(C78+D78+E78+F78)*1.4^2</f>
        <v>13.719999999999999</v>
      </c>
      <c r="M78" s="4">
        <f aca="true" t="shared" si="13" ref="M78:M84">C78+D78+E78+F78</f>
        <v>7</v>
      </c>
      <c r="N78" s="267" t="s">
        <v>81</v>
      </c>
      <c r="P78"/>
    </row>
    <row r="79" spans="1:16" ht="9.75" customHeight="1">
      <c r="A79" s="6">
        <v>27</v>
      </c>
      <c r="B79" s="7" t="s">
        <v>45</v>
      </c>
      <c r="C79" s="8">
        <v>1</v>
      </c>
      <c r="D79" s="9">
        <v>3</v>
      </c>
      <c r="E79" s="9">
        <v>0</v>
      </c>
      <c r="F79" s="9">
        <v>2</v>
      </c>
      <c r="G79" s="5"/>
      <c r="H79" s="5"/>
      <c r="I79" s="5"/>
      <c r="J79" s="5"/>
      <c r="K79" s="24">
        <f aca="true" t="shared" si="14" ref="K79:K84">(C79+D79+E79+F79)*1.2^2</f>
        <v>8.64</v>
      </c>
      <c r="L79" s="24">
        <f aca="true" t="shared" si="15" ref="L79:L84">(C79+D79+E79+F79)*1.4^2</f>
        <v>11.759999999999998</v>
      </c>
      <c r="M79" s="4">
        <f t="shared" si="13"/>
        <v>6</v>
      </c>
      <c r="N79" s="266"/>
      <c r="P79"/>
    </row>
    <row r="80" spans="1:16" ht="9.75" customHeight="1">
      <c r="A80" s="6">
        <v>28</v>
      </c>
      <c r="B80" s="7" t="s">
        <v>46</v>
      </c>
      <c r="C80" s="8">
        <v>1</v>
      </c>
      <c r="D80" s="9">
        <v>0</v>
      </c>
      <c r="E80" s="9">
        <v>0</v>
      </c>
      <c r="F80" s="9">
        <v>2</v>
      </c>
      <c r="G80" s="5"/>
      <c r="H80" s="5"/>
      <c r="I80" s="5"/>
      <c r="J80" s="5"/>
      <c r="K80" s="24">
        <f t="shared" si="14"/>
        <v>4.32</v>
      </c>
      <c r="L80" s="24">
        <f t="shared" si="15"/>
        <v>5.879999999999999</v>
      </c>
      <c r="M80" s="4">
        <f t="shared" si="13"/>
        <v>3</v>
      </c>
      <c r="N80" s="266"/>
      <c r="P80"/>
    </row>
    <row r="81" spans="1:16" ht="9.75" customHeight="1">
      <c r="A81" s="6">
        <v>29</v>
      </c>
      <c r="B81" s="7" t="s">
        <v>47</v>
      </c>
      <c r="C81" s="8">
        <v>2</v>
      </c>
      <c r="D81" s="9">
        <v>4</v>
      </c>
      <c r="E81" s="9">
        <v>1</v>
      </c>
      <c r="F81" s="9">
        <v>0</v>
      </c>
      <c r="G81" s="5"/>
      <c r="H81" s="5"/>
      <c r="I81" s="5"/>
      <c r="J81" s="5"/>
      <c r="K81" s="24">
        <f t="shared" si="14"/>
        <v>10.08</v>
      </c>
      <c r="L81" s="24">
        <f t="shared" si="15"/>
        <v>13.719999999999999</v>
      </c>
      <c r="M81" s="4">
        <f t="shared" si="13"/>
        <v>7</v>
      </c>
      <c r="N81" s="266"/>
      <c r="P81"/>
    </row>
    <row r="82" spans="1:16" ht="9.75" customHeight="1">
      <c r="A82" s="6">
        <v>30</v>
      </c>
      <c r="B82" s="7" t="s">
        <v>48</v>
      </c>
      <c r="C82" s="8">
        <v>2</v>
      </c>
      <c r="D82" s="9">
        <v>2</v>
      </c>
      <c r="E82" s="9">
        <v>1</v>
      </c>
      <c r="F82" s="9">
        <v>2</v>
      </c>
      <c r="G82" s="5"/>
      <c r="H82" s="5"/>
      <c r="I82" s="5"/>
      <c r="J82" s="5"/>
      <c r="K82" s="24">
        <f t="shared" si="14"/>
        <v>10.08</v>
      </c>
      <c r="L82" s="24">
        <f t="shared" si="15"/>
        <v>13.719999999999999</v>
      </c>
      <c r="M82" s="4">
        <f t="shared" si="13"/>
        <v>7</v>
      </c>
      <c r="N82" s="266"/>
      <c r="P82"/>
    </row>
    <row r="83" spans="1:16" ht="9.75" customHeight="1">
      <c r="A83" s="6">
        <v>31</v>
      </c>
      <c r="B83" s="7" t="s">
        <v>49</v>
      </c>
      <c r="C83" s="8">
        <v>1</v>
      </c>
      <c r="D83" s="9">
        <v>0</v>
      </c>
      <c r="E83" s="9">
        <v>1</v>
      </c>
      <c r="F83" s="9">
        <v>5</v>
      </c>
      <c r="G83" s="5"/>
      <c r="H83" s="5"/>
      <c r="I83" s="5"/>
      <c r="J83" s="5"/>
      <c r="K83" s="24">
        <f t="shared" si="14"/>
        <v>10.08</v>
      </c>
      <c r="L83" s="24">
        <f t="shared" si="15"/>
        <v>13.719999999999999</v>
      </c>
      <c r="M83" s="4">
        <f t="shared" si="13"/>
        <v>7</v>
      </c>
      <c r="N83" s="266"/>
      <c r="P83"/>
    </row>
    <row r="84" spans="1:16" ht="9.75" customHeight="1" thickBot="1">
      <c r="A84" s="6">
        <v>32</v>
      </c>
      <c r="B84" s="30" t="s">
        <v>50</v>
      </c>
      <c r="C84" s="31">
        <v>1</v>
      </c>
      <c r="D84" s="32">
        <v>2</v>
      </c>
      <c r="E84" s="32">
        <v>1</v>
      </c>
      <c r="F84" s="32">
        <v>3</v>
      </c>
      <c r="G84" s="37"/>
      <c r="H84" s="37"/>
      <c r="I84" s="37"/>
      <c r="J84" s="37"/>
      <c r="K84" s="24">
        <f t="shared" si="14"/>
        <v>10.08</v>
      </c>
      <c r="L84" s="24">
        <f t="shared" si="15"/>
        <v>13.719999999999999</v>
      </c>
      <c r="M84" s="4">
        <f t="shared" si="13"/>
        <v>7</v>
      </c>
      <c r="N84" s="217"/>
      <c r="P84"/>
    </row>
    <row r="85" spans="1:16" ht="9.75" customHeight="1">
      <c r="A85" s="10"/>
      <c r="B85" s="44" t="s">
        <v>74</v>
      </c>
      <c r="C85" s="33">
        <f>SUM(C53:C84)</f>
        <v>44</v>
      </c>
      <c r="D85" s="33">
        <f>SUM(D53:D84)</f>
        <v>56</v>
      </c>
      <c r="E85" s="33">
        <f>SUM(E53:E84)</f>
        <v>16</v>
      </c>
      <c r="F85" s="33">
        <f>SUM(F53:F84)</f>
        <v>64</v>
      </c>
      <c r="G85" s="33"/>
      <c r="H85" s="33"/>
      <c r="I85" s="33"/>
      <c r="J85" s="33"/>
      <c r="K85" s="34">
        <f>SUM(K53:K59)+SUM(K61:K75)+SUM(K77:K84)</f>
        <v>325.43999999999994</v>
      </c>
      <c r="L85" s="34">
        <f>SUM(L53:L59)+SUM(L61:L75)+SUM(L77:L84)</f>
        <v>442.96</v>
      </c>
      <c r="M85" s="33">
        <f>SUM(M53:M59)+SUM(M62:M75)+SUM(M78:M84)</f>
        <v>180</v>
      </c>
      <c r="N85" s="11"/>
      <c r="P85"/>
    </row>
    <row r="86" spans="1:16" ht="9.75" customHeight="1">
      <c r="A86" s="11"/>
      <c r="B86" s="45" t="s">
        <v>9</v>
      </c>
      <c r="C86" s="39"/>
      <c r="D86" s="39"/>
      <c r="E86" s="39"/>
      <c r="F86" s="39"/>
      <c r="G86" s="42">
        <f>G61+H61+G77+H77</f>
        <v>18</v>
      </c>
      <c r="H86" s="43"/>
      <c r="I86" s="39"/>
      <c r="J86" s="39"/>
      <c r="K86" s="210">
        <f>SUM(AVERAGE(K53:K59)+AVERAGE(K61:K75)+AVERAGE(K77:K84))/3</f>
        <v>10.790285714285716</v>
      </c>
      <c r="L86" s="210">
        <f>SUM(AVERAGE(L53:L59)+AVERAGE(L61:L75)+AVERAGE(L77:L84))/3</f>
        <v>14.686777777777777</v>
      </c>
      <c r="M86" s="67">
        <f>SUM(C86:J86)</f>
        <v>18</v>
      </c>
      <c r="N86" s="11"/>
      <c r="P86"/>
    </row>
    <row r="87" spans="1:16" ht="9.75" customHeight="1">
      <c r="A87" s="11"/>
      <c r="B87" s="268" t="s">
        <v>53</v>
      </c>
      <c r="C87" s="269"/>
      <c r="D87" s="39"/>
      <c r="E87" s="39"/>
      <c r="F87" s="39"/>
      <c r="G87" s="39"/>
      <c r="H87" s="39"/>
      <c r="I87" s="39">
        <f>SUM(I53:I84)</f>
        <v>16</v>
      </c>
      <c r="J87" s="39"/>
      <c r="K87" s="210"/>
      <c r="L87" s="39"/>
      <c r="M87" s="67">
        <f>SUM(C87:J87)</f>
        <v>16</v>
      </c>
      <c r="N87" s="11"/>
      <c r="O87"/>
      <c r="P87"/>
    </row>
    <row r="88" spans="1:16" ht="12.75">
      <c r="A88" s="11"/>
      <c r="B88" s="45" t="s">
        <v>108</v>
      </c>
      <c r="C88" s="39"/>
      <c r="D88" s="39"/>
      <c r="E88" s="39"/>
      <c r="F88" s="39"/>
      <c r="G88" s="39"/>
      <c r="H88" s="39"/>
      <c r="I88" s="39"/>
      <c r="J88" s="42">
        <f>J61+J77</f>
        <v>12</v>
      </c>
      <c r="K88" s="39"/>
      <c r="L88" s="39"/>
      <c r="M88" s="67">
        <f>SUM(C88:J88)</f>
        <v>12</v>
      </c>
      <c r="N88" s="11"/>
      <c r="O88"/>
      <c r="P88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68"/>
      <c r="L89" s="68"/>
      <c r="M89" s="208">
        <f>SUM(M85:M88)</f>
        <v>226</v>
      </c>
      <c r="N89" s="207"/>
      <c r="O89" s="11"/>
    </row>
    <row r="92" ht="12.75">
      <c r="B92" s="11"/>
    </row>
  </sheetData>
  <mergeCells count="10">
    <mergeCell ref="N10:N13"/>
    <mergeCell ref="N14:N29"/>
    <mergeCell ref="N53:N56"/>
    <mergeCell ref="N57:N72"/>
    <mergeCell ref="N30:N32"/>
    <mergeCell ref="N34:N41"/>
    <mergeCell ref="N73:N76"/>
    <mergeCell ref="N78:N84"/>
    <mergeCell ref="B44:C44"/>
    <mergeCell ref="B87:C87"/>
  </mergeCells>
  <printOptions/>
  <pageMargins left="0.75" right="0.75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INFN-Padova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Bacchetta</dc:creator>
  <cp:keywords/>
  <dc:description/>
  <cp:lastModifiedBy>Linda Bagby</cp:lastModifiedBy>
  <cp:lastPrinted>2007-03-08T14:24:39Z</cp:lastPrinted>
  <dcterms:created xsi:type="dcterms:W3CDTF">2006-10-16T09:18:29Z</dcterms:created>
  <dcterms:modified xsi:type="dcterms:W3CDTF">2007-06-20T14:47:06Z</dcterms:modified>
  <cp:category/>
  <cp:version/>
  <cp:contentType/>
  <cp:contentStatus/>
</cp:coreProperties>
</file>