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240" activeTab="2"/>
  </bookViews>
  <sheets>
    <sheet name="Sheet1" sheetId="1" r:id="rId1"/>
    <sheet name="Sheet3" sheetId="2" r:id="rId2"/>
    <sheet name="Sheet2" sheetId="3" r:id="rId3"/>
  </sheets>
  <definedNames>
    <definedName name="_xlnm._FilterDatabase" localSheetId="0" hidden="1">'Sheet1'!$A$8:$I$56</definedName>
    <definedName name="_xlnm._FilterDatabase" localSheetId="2" hidden="1">'Sheet2'!$B$68:$J$101</definedName>
    <definedName name="solver_adj" localSheetId="2" hidden="1">'Sheet2'!$I$84:$I$85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'Sheet2'!$I$85</definedName>
    <definedName name="solver_lin" localSheetId="2" hidden="1">2</definedName>
    <definedName name="solver_neg" localSheetId="2" hidden="1">2</definedName>
    <definedName name="solver_num" localSheetId="2" hidden="1">1</definedName>
    <definedName name="solver_nwt" localSheetId="2" hidden="1">1</definedName>
    <definedName name="solver_opt" localSheetId="2" hidden="1">'Sheet2'!$M$85</definedName>
    <definedName name="solver_pre" localSheetId="2" hidden="1">0.000001</definedName>
    <definedName name="solver_rel1" localSheetId="2" hidden="1">3</definedName>
    <definedName name="solver_rhs1" localSheetId="2" hidden="1">0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4.65</definedName>
  </definedNames>
  <calcPr fullCalcOnLoad="1"/>
</workbook>
</file>

<file path=xl/sharedStrings.xml><?xml version="1.0" encoding="utf-8"?>
<sst xmlns="http://schemas.openxmlformats.org/spreadsheetml/2006/main" count="310" uniqueCount="73">
  <si>
    <t>Absorption Measuring of Gama - rays Cs137(660 keV) Chamber panels</t>
  </si>
  <si>
    <t>Readout with 33-40 strips Cs 137 standed in point #35 in horizontal plane.</t>
  </si>
  <si>
    <t>Layers</t>
  </si>
  <si>
    <t>Position Cs137</t>
  </si>
  <si>
    <t>on top chamber</t>
  </si>
  <si>
    <t>1 empty layers</t>
  </si>
  <si>
    <t>2 .....</t>
  </si>
  <si>
    <t>3 ......</t>
  </si>
  <si>
    <t>4 ......</t>
  </si>
  <si>
    <t>5 .....</t>
  </si>
  <si>
    <t>Measurement scheme</t>
  </si>
  <si>
    <t>Distance between wires</t>
  </si>
  <si>
    <t>mm</t>
  </si>
  <si>
    <t>Width wire group (16x3.16)</t>
  </si>
  <si>
    <t>Strips pitch in measuring point</t>
  </si>
  <si>
    <t>(Point #35)</t>
  </si>
  <si>
    <t>Distance R/A source panel</t>
  </si>
  <si>
    <t>1 ……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</si>
  <si>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</si>
  <si>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</si>
  <si>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</si>
  <si>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</si>
  <si>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</si>
  <si>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</si>
  <si>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</si>
  <si>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</si>
  <si>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</si>
  <si>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</si>
  <si>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</si>
  <si>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</si>
  <si>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</si>
  <si>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</si>
  <si>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s</t>
  </si>
  <si>
    <t>Layer 1</t>
  </si>
  <si>
    <t>Layer 2</t>
  </si>
  <si>
    <t>Layer 3</t>
  </si>
  <si>
    <t>Layer 4</t>
  </si>
  <si>
    <t>Layer 5</t>
  </si>
  <si>
    <t>Layer 6</t>
  </si>
  <si>
    <t>relative solid angle</t>
  </si>
  <si>
    <t>Effective value</t>
  </si>
  <si>
    <t>Absorption</t>
  </si>
  <si>
    <t>Errors</t>
  </si>
  <si>
    <t>Absorption 1 layer</t>
  </si>
  <si>
    <t>Working only solid angle</t>
  </si>
  <si>
    <t>solid angle</t>
  </si>
  <si>
    <t>Attenuation in 1 layer</t>
  </si>
  <si>
    <t>Factor in EXP</t>
  </si>
  <si>
    <t>Calculation for 660 keV</t>
  </si>
  <si>
    <t>EXP(-factor)</t>
  </si>
  <si>
    <t>real factor &lt; calculated.</t>
  </si>
  <si>
    <t>No r/a Cs137</t>
  </si>
  <si>
    <t>All 6 layers</t>
  </si>
  <si>
    <t xml:space="preserve">Background for 8 strips one layer is </t>
  </si>
  <si>
    <t>Background is divided</t>
  </si>
  <si>
    <t>2*arctg(Gws/2/H)</t>
  </si>
  <si>
    <t>Gws</t>
  </si>
  <si>
    <t>h0</t>
  </si>
  <si>
    <t>H = h0+ (15.88+9.52/2)+n*(15.88+9.52))</t>
  </si>
  <si>
    <t>n - number of layers</t>
  </si>
  <si>
    <t>Xi2</t>
  </si>
  <si>
    <t>common Xi over all layers</t>
  </si>
  <si>
    <t>Experiment</t>
  </si>
  <si>
    <t>Error</t>
  </si>
  <si>
    <t>A</t>
  </si>
  <si>
    <t xml:space="preserve">Because </t>
  </si>
  <si>
    <t>secondary gamma will  give hits in CSC</t>
  </si>
  <si>
    <t>It is fitted all 6 layers</t>
  </si>
  <si>
    <t>Distance R/A source - panel</t>
  </si>
  <si>
    <t>Solid angle proportional:</t>
  </si>
  <si>
    <t>Width strips group (8X16.7)</t>
  </si>
  <si>
    <t>(Attenuation for 600 keV gamma rulled out compton scatering)</t>
  </si>
  <si>
    <t>Width strips group (8X10.7)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</si>
</sst>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00"/>
    <numFmt numFmtId="169" formatCode="0.0000000"/>
    <numFmt numFmtId="170" formatCode="0.000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i/>
      <sz val="12"/>
      <name val="Arial"/>
      <family val="2"/>
    </font>
    <font>
      <sz val="8"/>
      <name val="Tahoma"/>
      <family val="2"/>
    </font>
    <font>
      <sz val="8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Symbol"/>
      <family val="1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2" fillId="0" borderId="5" xfId="0" applyFont="1" applyFill="1" applyBorder="1" applyAlignment="1">
      <alignment horizontal="centerContinuous"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9" xfId="0" applyBorder="1" applyAlignment="1">
      <alignment/>
    </xf>
    <xf numFmtId="167" fontId="0" fillId="0" borderId="1" xfId="0" applyNumberFormat="1" applyBorder="1" applyAlignment="1">
      <alignment/>
    </xf>
    <xf numFmtId="165" fontId="0" fillId="0" borderId="3" xfId="0" applyNumberFormat="1" applyBorder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Layer 1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25"/>
          <c:y val="0.11575"/>
          <c:w val="0.85275"/>
          <c:h val="0.773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Sheet2!$F$87:$F$92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Sheet2!$J$87:$J$92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Sheet2!$I$87:$I$92</c:f>
              <c:numCache/>
            </c:numRef>
          </c:yVal>
          <c:smooth val="1"/>
        </c:ser>
        <c:axId val="16748268"/>
        <c:axId val="16516685"/>
      </c:scatterChart>
      <c:valAx>
        <c:axId val="16748268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16516685"/>
        <c:crosses val="autoZero"/>
        <c:crossBetween val="midCat"/>
        <c:dispUnits/>
      </c:valAx>
      <c:valAx>
        <c:axId val="16516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Istrips, rel. units
 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16748268"/>
        <c:crosses val="autoZero"/>
        <c:crossBetween val="midCat"/>
        <c:dispUnits/>
        <c:majorUnit val="0.2"/>
        <c:minorUnit val="0.1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layer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0935"/>
          <c:w val="0.79775"/>
          <c:h val="0.773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Sheet2!$F$95:$F$100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Sheet2!$J$95:$J$100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Sheet2!$I$95:$I$100</c:f>
              <c:numCache/>
            </c:numRef>
          </c:yVal>
          <c:smooth val="1"/>
        </c:ser>
        <c:axId val="14432438"/>
        <c:axId val="62783079"/>
      </c:scatterChart>
      <c:valAx>
        <c:axId val="14432438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absorbing plates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62783079"/>
        <c:crosses val="autoZero"/>
        <c:crossBetween val="midCat"/>
        <c:dispUnits/>
      </c:valAx>
      <c:valAx>
        <c:axId val="62783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Istrips, rel.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14432438"/>
        <c:crosses val="autoZero"/>
        <c:crossBetween val="midCat"/>
        <c:dispUnits/>
        <c:majorUnit val="0.2"/>
        <c:minorUnit val="0.1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Layer 3 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75"/>
          <c:y val="0.1355"/>
          <c:w val="0.8495"/>
          <c:h val="0.71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Sheet2!$F$104:$F$109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Sheet2!$J$104:$J$109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Sheet2!$I$104:$I$109</c:f>
              <c:numCache/>
            </c:numRef>
          </c:yVal>
          <c:smooth val="1"/>
        </c:ser>
        <c:axId val="28176800"/>
        <c:axId val="52264609"/>
      </c:scatterChart>
      <c:valAx>
        <c:axId val="28176800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absorbing plates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52264609"/>
        <c:crosses val="autoZero"/>
        <c:crossBetween val="midCat"/>
        <c:dispUnits/>
      </c:valAx>
      <c:valAx>
        <c:axId val="52264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Istrips, rel.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76800"/>
        <c:crosses val="autoZero"/>
        <c:crossBetween val="midCat"/>
        <c:dispUnits/>
        <c:majorUnit val="0.2"/>
        <c:minorUnit val="0.1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Layer 4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3"/>
          <c:y val="0.199"/>
          <c:w val="0.8515"/>
          <c:h val="0.645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Sheet2!$F$113:$F$118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Sheet2!$J$113:$J$118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Sheet2!$I$113:$I$118</c:f>
              <c:numCache/>
            </c:numRef>
          </c:yVal>
          <c:smooth val="1"/>
        </c:ser>
        <c:axId val="619434"/>
        <c:axId val="5574907"/>
      </c:scatterChart>
      <c:valAx>
        <c:axId val="619434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absorbing plates</a:t>
                </a:r>
              </a:p>
            </c:rich>
          </c:tx>
          <c:layout>
            <c:manualLayout>
              <c:xMode val="factor"/>
              <c:yMode val="factor"/>
              <c:x val="0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5574907"/>
        <c:crosses val="autoZero"/>
        <c:crossBetween val="midCat"/>
        <c:dispUnits/>
      </c:valAx>
      <c:valAx>
        <c:axId val="5574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Istrips, rel.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619434"/>
        <c:crosses val="autoZero"/>
        <c:crossBetween val="midCat"/>
        <c:dispUnits/>
        <c:majorUnit val="0.2"/>
        <c:minorUnit val="0.1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Layer 5</a:t>
            </a:r>
          </a:p>
        </c:rich>
      </c:tx>
      <c:layout>
        <c:manualLayout>
          <c:xMode val="factor"/>
          <c:yMode val="factor"/>
          <c:x val="-0.003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75"/>
          <c:y val="0.11125"/>
          <c:w val="0.852"/>
          <c:h val="0.790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Sheet2!$F$122:$F$127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Sheet2!$J$122:$J$127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Sheet2!$I$122:$I$127</c:f>
              <c:numCache/>
            </c:numRef>
          </c:yVal>
          <c:smooth val="1"/>
        </c:ser>
        <c:axId val="50174164"/>
        <c:axId val="48914293"/>
      </c:scatterChart>
      <c:valAx>
        <c:axId val="50174164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absorbing plates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48914293"/>
        <c:crosses val="autoZero"/>
        <c:crossBetween val="midCat"/>
        <c:dispUnits/>
      </c:valAx>
      <c:valAx>
        <c:axId val="48914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Istrips, rel.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50174164"/>
        <c:crosses val="autoZero"/>
        <c:crossBetween val="midCat"/>
        <c:dispUnits/>
        <c:majorUnit val="0.2"/>
        <c:minorUnit val="0.1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Layer 6</a:t>
            </a:r>
          </a:p>
        </c:rich>
      </c:tx>
      <c:layout>
        <c:manualLayout>
          <c:xMode val="factor"/>
          <c:yMode val="factor"/>
          <c:x val="-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25"/>
          <c:y val="0.1255"/>
          <c:w val="0.795"/>
          <c:h val="0.753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Sheet2!$F$131:$F$136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Sheet2!$J$131:$J$136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Sheet2!$I$131:$I$136</c:f>
              <c:numCache/>
            </c:numRef>
          </c:yVal>
          <c:smooth val="1"/>
        </c:ser>
        <c:axId val="37575454"/>
        <c:axId val="2634767"/>
      </c:scatterChart>
      <c:valAx>
        <c:axId val="37575454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absorbing plates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2634767"/>
        <c:crosses val="autoZero"/>
        <c:crossBetween val="midCat"/>
        <c:dispUnits/>
      </c:valAx>
      <c:valAx>
        <c:axId val="263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Istrips, rel.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37575454"/>
        <c:crosses val="autoZero"/>
        <c:crossBetween val="midCat"/>
        <c:dispUnits/>
        <c:majorUnit val="0.2"/>
        <c:minorUnit val="0.1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13</xdr:col>
      <xdr:colOff>371475</xdr:colOff>
      <xdr:row>36</xdr:row>
      <xdr:rowOff>133350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8458200" cy="580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21</xdr:row>
      <xdr:rowOff>133350</xdr:rowOff>
    </xdr:from>
    <xdr:to>
      <xdr:col>25</xdr:col>
      <xdr:colOff>85725</xdr:colOff>
      <xdr:row>24</xdr:row>
      <xdr:rowOff>38100</xdr:rowOff>
    </xdr:to>
    <xdr:grpSp>
      <xdr:nvGrpSpPr>
        <xdr:cNvPr id="1" name="Group 9"/>
        <xdr:cNvGrpSpPr>
          <a:grpSpLocks/>
        </xdr:cNvGrpSpPr>
      </xdr:nvGrpSpPr>
      <xdr:grpSpPr>
        <a:xfrm>
          <a:off x="9848850" y="3600450"/>
          <a:ext cx="5543550" cy="390525"/>
          <a:chOff x="127" y="378"/>
          <a:chExt cx="582" cy="41"/>
        </a:xfrm>
        <a:solidFill>
          <a:srgbClr val="FFFFFF"/>
        </a:solidFill>
      </xdr:grpSpPr>
      <xdr:sp>
        <xdr:nvSpPr>
          <xdr:cNvPr id="2" name="Rectangle 10"/>
          <xdr:cNvSpPr>
            <a:spLocks/>
          </xdr:cNvSpPr>
        </xdr:nvSpPr>
        <xdr:spPr>
          <a:xfrm>
            <a:off x="127" y="383"/>
            <a:ext cx="580" cy="31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11"/>
          <xdr:cNvSpPr>
            <a:spLocks/>
          </xdr:cNvSpPr>
        </xdr:nvSpPr>
        <xdr:spPr>
          <a:xfrm>
            <a:off x="127" y="378"/>
            <a:ext cx="582" cy="4"/>
          </a:xfrm>
          <a:prstGeom prst="rect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12"/>
          <xdr:cNvSpPr>
            <a:spLocks/>
          </xdr:cNvSpPr>
        </xdr:nvSpPr>
        <xdr:spPr>
          <a:xfrm>
            <a:off x="127" y="415"/>
            <a:ext cx="582" cy="4"/>
          </a:xfrm>
          <a:prstGeom prst="rect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66675</xdr:colOff>
      <xdr:row>24</xdr:row>
      <xdr:rowOff>95250</xdr:rowOff>
    </xdr:from>
    <xdr:to>
      <xdr:col>25</xdr:col>
      <xdr:colOff>104775</xdr:colOff>
      <xdr:row>26</xdr:row>
      <xdr:rowOff>19050</xdr:rowOff>
    </xdr:to>
    <xdr:sp>
      <xdr:nvSpPr>
        <xdr:cNvPr id="5" name="Rectangle 18"/>
        <xdr:cNvSpPr>
          <a:spLocks/>
        </xdr:cNvSpPr>
      </xdr:nvSpPr>
      <xdr:spPr>
        <a:xfrm>
          <a:off x="9886950" y="4048125"/>
          <a:ext cx="55245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85</xdr:row>
      <xdr:rowOff>200025</xdr:rowOff>
    </xdr:from>
    <xdr:to>
      <xdr:col>16</xdr:col>
      <xdr:colOff>85725</xdr:colOff>
      <xdr:row>93</xdr:row>
      <xdr:rowOff>76200</xdr:rowOff>
    </xdr:to>
    <xdr:graphicFrame>
      <xdr:nvGraphicFramePr>
        <xdr:cNvPr id="6" name="Chart 108"/>
        <xdr:cNvGraphicFramePr/>
      </xdr:nvGraphicFramePr>
      <xdr:xfrm>
        <a:off x="7105650" y="14678025"/>
        <a:ext cx="28003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352425</xdr:colOff>
      <xdr:row>91</xdr:row>
      <xdr:rowOff>142875</xdr:rowOff>
    </xdr:from>
    <xdr:to>
      <xdr:col>16</xdr:col>
      <xdr:colOff>38100</xdr:colOff>
      <xdr:row>100</xdr:row>
      <xdr:rowOff>57150</xdr:rowOff>
    </xdr:to>
    <xdr:graphicFrame>
      <xdr:nvGraphicFramePr>
        <xdr:cNvPr id="7" name="Chart 109"/>
        <xdr:cNvGraphicFramePr/>
      </xdr:nvGraphicFramePr>
      <xdr:xfrm>
        <a:off x="7096125" y="16402050"/>
        <a:ext cx="276225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11</xdr:col>
      <xdr:colOff>314325</xdr:colOff>
      <xdr:row>99</xdr:row>
      <xdr:rowOff>314325</xdr:rowOff>
    </xdr:from>
    <xdr:ext cx="2743200" cy="2057400"/>
    <xdr:graphicFrame>
      <xdr:nvGraphicFramePr>
        <xdr:cNvPr id="8" name="Chart 110"/>
        <xdr:cNvGraphicFramePr/>
      </xdr:nvGraphicFramePr>
      <xdr:xfrm>
        <a:off x="7058025" y="18354675"/>
        <a:ext cx="2743200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11</xdr:col>
      <xdr:colOff>19050</xdr:colOff>
      <xdr:row>108</xdr:row>
      <xdr:rowOff>123825</xdr:rowOff>
    </xdr:from>
    <xdr:to>
      <xdr:col>15</xdr:col>
      <xdr:colOff>333375</xdr:colOff>
      <xdr:row>119</xdr:row>
      <xdr:rowOff>66675</xdr:rowOff>
    </xdr:to>
    <xdr:graphicFrame>
      <xdr:nvGraphicFramePr>
        <xdr:cNvPr id="9" name="Chart 111"/>
        <xdr:cNvGraphicFramePr/>
      </xdr:nvGraphicFramePr>
      <xdr:xfrm>
        <a:off x="6762750" y="20269200"/>
        <a:ext cx="2781300" cy="2047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152400</xdr:colOff>
      <xdr:row>118</xdr:row>
      <xdr:rowOff>142875</xdr:rowOff>
    </xdr:from>
    <xdr:to>
      <xdr:col>15</xdr:col>
      <xdr:colOff>476250</xdr:colOff>
      <xdr:row>128</xdr:row>
      <xdr:rowOff>123825</xdr:rowOff>
    </xdr:to>
    <xdr:graphicFrame>
      <xdr:nvGraphicFramePr>
        <xdr:cNvPr id="10" name="Chart 112"/>
        <xdr:cNvGraphicFramePr/>
      </xdr:nvGraphicFramePr>
      <xdr:xfrm>
        <a:off x="6896100" y="22231350"/>
        <a:ext cx="2790825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129</xdr:row>
      <xdr:rowOff>0</xdr:rowOff>
    </xdr:from>
    <xdr:to>
      <xdr:col>15</xdr:col>
      <xdr:colOff>542925</xdr:colOff>
      <xdr:row>139</xdr:row>
      <xdr:rowOff>114300</xdr:rowOff>
    </xdr:to>
    <xdr:graphicFrame>
      <xdr:nvGraphicFramePr>
        <xdr:cNvPr id="11" name="Chart 113"/>
        <xdr:cNvGraphicFramePr/>
      </xdr:nvGraphicFramePr>
      <xdr:xfrm>
        <a:off x="6743700" y="24193500"/>
        <a:ext cx="3009900" cy="2057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152400</xdr:colOff>
      <xdr:row>13</xdr:row>
      <xdr:rowOff>76200</xdr:rowOff>
    </xdr:from>
    <xdr:to>
      <xdr:col>13</xdr:col>
      <xdr:colOff>314325</xdr:colOff>
      <xdr:row>50</xdr:row>
      <xdr:rowOff>0</xdr:rowOff>
    </xdr:to>
    <xdr:grpSp>
      <xdr:nvGrpSpPr>
        <xdr:cNvPr id="12" name="Group 123"/>
        <xdr:cNvGrpSpPr>
          <a:grpSpLocks/>
        </xdr:cNvGrpSpPr>
      </xdr:nvGrpSpPr>
      <xdr:grpSpPr>
        <a:xfrm>
          <a:off x="152400" y="2247900"/>
          <a:ext cx="8153400" cy="5915025"/>
          <a:chOff x="16" y="236"/>
          <a:chExt cx="856" cy="621"/>
        </a:xfrm>
        <a:solidFill>
          <a:srgbClr val="FFFFFF"/>
        </a:solidFill>
      </xdr:grpSpPr>
      <xdr:grpSp>
        <xdr:nvGrpSpPr>
          <xdr:cNvPr id="13" name="Group 59"/>
          <xdr:cNvGrpSpPr>
            <a:grpSpLocks/>
          </xdr:cNvGrpSpPr>
        </xdr:nvGrpSpPr>
        <xdr:grpSpPr>
          <a:xfrm>
            <a:off x="124" y="406"/>
            <a:ext cx="586" cy="451"/>
            <a:chOff x="126" y="412"/>
            <a:chExt cx="583" cy="451"/>
          </a:xfrm>
          <a:solidFill>
            <a:srgbClr val="FFFFFF"/>
          </a:solidFill>
        </xdr:grpSpPr>
        <xdr:grpSp>
          <xdr:nvGrpSpPr>
            <xdr:cNvPr id="14" name="Group 19"/>
            <xdr:cNvGrpSpPr>
              <a:grpSpLocks/>
            </xdr:cNvGrpSpPr>
          </xdr:nvGrpSpPr>
          <xdr:grpSpPr>
            <a:xfrm>
              <a:off x="126" y="412"/>
              <a:ext cx="582" cy="68"/>
              <a:chOff x="129" y="291"/>
              <a:chExt cx="582" cy="68"/>
            </a:xfrm>
            <a:solidFill>
              <a:srgbClr val="FFFFFF"/>
            </a:solidFill>
          </xdr:grpSpPr>
          <xdr:grpSp>
            <xdr:nvGrpSpPr>
              <xdr:cNvPr id="15" name="Group 5"/>
              <xdr:cNvGrpSpPr>
                <a:grpSpLocks/>
              </xdr:cNvGrpSpPr>
            </xdr:nvGrpSpPr>
            <xdr:grpSpPr>
              <a:xfrm>
                <a:off x="129" y="291"/>
                <a:ext cx="582" cy="41"/>
                <a:chOff x="127" y="378"/>
                <a:chExt cx="582" cy="41"/>
              </a:xfrm>
              <a:solidFill>
                <a:srgbClr val="FFFFFF"/>
              </a:solidFill>
            </xdr:grpSpPr>
            <xdr:sp>
              <xdr:nvSpPr>
                <xdr:cNvPr id="16" name="Rectangle 1"/>
                <xdr:cNvSpPr>
                  <a:spLocks/>
                </xdr:cNvSpPr>
              </xdr:nvSpPr>
              <xdr:spPr>
                <a:xfrm>
                  <a:off x="127" y="383"/>
                  <a:ext cx="580" cy="31"/>
                </a:xfrm>
                <a:prstGeom prst="rect">
                  <a:avLst/>
                </a:prstGeom>
                <a:pattFill prst="ltVert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" name="Rectangle 2"/>
                <xdr:cNvSpPr>
                  <a:spLocks/>
                </xdr:cNvSpPr>
              </xdr:nvSpPr>
              <xdr:spPr>
                <a:xfrm>
                  <a:off x="127" y="378"/>
                  <a:ext cx="582" cy="4"/>
                </a:xfrm>
                <a:prstGeom prst="rect">
                  <a:avLst/>
                </a:prstGeom>
                <a:solidFill>
                  <a:srgbClr val="80808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8" name="Rectangle 3"/>
                <xdr:cNvSpPr>
                  <a:spLocks/>
                </xdr:cNvSpPr>
              </xdr:nvSpPr>
              <xdr:spPr>
                <a:xfrm>
                  <a:off x="127" y="415"/>
                  <a:ext cx="582" cy="4"/>
                </a:xfrm>
                <a:prstGeom prst="rect">
                  <a:avLst/>
                </a:prstGeom>
                <a:solidFill>
                  <a:srgbClr val="80808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9" name="Rectangle 6"/>
              <xdr:cNvSpPr>
                <a:spLocks/>
              </xdr:cNvSpPr>
            </xdr:nvSpPr>
            <xdr:spPr>
              <a:xfrm>
                <a:off x="129" y="333"/>
                <a:ext cx="580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" name="Line 7"/>
              <xdr:cNvSpPr>
                <a:spLocks/>
              </xdr:cNvSpPr>
            </xdr:nvSpPr>
            <xdr:spPr>
              <a:xfrm>
                <a:off x="129" y="347"/>
                <a:ext cx="57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1" name="Group 20"/>
            <xdr:cNvGrpSpPr>
              <a:grpSpLocks/>
            </xdr:cNvGrpSpPr>
          </xdr:nvGrpSpPr>
          <xdr:grpSpPr>
            <a:xfrm>
              <a:off x="126" y="480"/>
              <a:ext cx="582" cy="68"/>
              <a:chOff x="129" y="291"/>
              <a:chExt cx="582" cy="68"/>
            </a:xfrm>
            <a:solidFill>
              <a:srgbClr val="FFFFFF"/>
            </a:solidFill>
          </xdr:grpSpPr>
          <xdr:grpSp>
            <xdr:nvGrpSpPr>
              <xdr:cNvPr id="22" name="Group 21"/>
              <xdr:cNvGrpSpPr>
                <a:grpSpLocks/>
              </xdr:cNvGrpSpPr>
            </xdr:nvGrpSpPr>
            <xdr:grpSpPr>
              <a:xfrm>
                <a:off x="129" y="291"/>
                <a:ext cx="582" cy="41"/>
                <a:chOff x="127" y="378"/>
                <a:chExt cx="582" cy="41"/>
              </a:xfrm>
              <a:solidFill>
                <a:srgbClr val="FFFFFF"/>
              </a:solidFill>
            </xdr:grpSpPr>
            <xdr:sp>
              <xdr:nvSpPr>
                <xdr:cNvPr id="23" name="Rectangle 22"/>
                <xdr:cNvSpPr>
                  <a:spLocks/>
                </xdr:cNvSpPr>
              </xdr:nvSpPr>
              <xdr:spPr>
                <a:xfrm>
                  <a:off x="127" y="383"/>
                  <a:ext cx="580" cy="31"/>
                </a:xfrm>
                <a:prstGeom prst="rect">
                  <a:avLst/>
                </a:prstGeom>
                <a:pattFill prst="ltVert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4" name="Rectangle 23"/>
                <xdr:cNvSpPr>
                  <a:spLocks/>
                </xdr:cNvSpPr>
              </xdr:nvSpPr>
              <xdr:spPr>
                <a:xfrm>
                  <a:off x="127" y="378"/>
                  <a:ext cx="582" cy="4"/>
                </a:xfrm>
                <a:prstGeom prst="rect">
                  <a:avLst/>
                </a:prstGeom>
                <a:solidFill>
                  <a:srgbClr val="80808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5" name="Rectangle 24"/>
                <xdr:cNvSpPr>
                  <a:spLocks/>
                </xdr:cNvSpPr>
              </xdr:nvSpPr>
              <xdr:spPr>
                <a:xfrm>
                  <a:off x="127" y="415"/>
                  <a:ext cx="582" cy="4"/>
                </a:xfrm>
                <a:prstGeom prst="rect">
                  <a:avLst/>
                </a:prstGeom>
                <a:solidFill>
                  <a:srgbClr val="80808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26" name="Rectangle 25"/>
              <xdr:cNvSpPr>
                <a:spLocks/>
              </xdr:cNvSpPr>
            </xdr:nvSpPr>
            <xdr:spPr>
              <a:xfrm>
                <a:off x="129" y="333"/>
                <a:ext cx="580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" name="Line 26"/>
              <xdr:cNvSpPr>
                <a:spLocks/>
              </xdr:cNvSpPr>
            </xdr:nvSpPr>
            <xdr:spPr>
              <a:xfrm>
                <a:off x="129" y="347"/>
                <a:ext cx="57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8" name="Group 27"/>
            <xdr:cNvGrpSpPr>
              <a:grpSpLocks/>
            </xdr:cNvGrpSpPr>
          </xdr:nvGrpSpPr>
          <xdr:grpSpPr>
            <a:xfrm>
              <a:off x="126" y="549"/>
              <a:ext cx="582" cy="68"/>
              <a:chOff x="129" y="291"/>
              <a:chExt cx="582" cy="68"/>
            </a:xfrm>
            <a:solidFill>
              <a:srgbClr val="FFFFFF"/>
            </a:solidFill>
          </xdr:grpSpPr>
          <xdr:grpSp>
            <xdr:nvGrpSpPr>
              <xdr:cNvPr id="29" name="Group 28"/>
              <xdr:cNvGrpSpPr>
                <a:grpSpLocks/>
              </xdr:cNvGrpSpPr>
            </xdr:nvGrpSpPr>
            <xdr:grpSpPr>
              <a:xfrm>
                <a:off x="129" y="291"/>
                <a:ext cx="582" cy="41"/>
                <a:chOff x="127" y="378"/>
                <a:chExt cx="582" cy="41"/>
              </a:xfrm>
              <a:solidFill>
                <a:srgbClr val="FFFFFF"/>
              </a:solidFill>
            </xdr:grpSpPr>
            <xdr:sp>
              <xdr:nvSpPr>
                <xdr:cNvPr id="30" name="Rectangle 29"/>
                <xdr:cNvSpPr>
                  <a:spLocks/>
                </xdr:cNvSpPr>
              </xdr:nvSpPr>
              <xdr:spPr>
                <a:xfrm>
                  <a:off x="127" y="383"/>
                  <a:ext cx="580" cy="31"/>
                </a:xfrm>
                <a:prstGeom prst="rect">
                  <a:avLst/>
                </a:prstGeom>
                <a:pattFill prst="ltVert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" name="Rectangle 30"/>
                <xdr:cNvSpPr>
                  <a:spLocks/>
                </xdr:cNvSpPr>
              </xdr:nvSpPr>
              <xdr:spPr>
                <a:xfrm>
                  <a:off x="127" y="378"/>
                  <a:ext cx="582" cy="4"/>
                </a:xfrm>
                <a:prstGeom prst="rect">
                  <a:avLst/>
                </a:prstGeom>
                <a:solidFill>
                  <a:srgbClr val="80808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" name="Rectangle 31"/>
                <xdr:cNvSpPr>
                  <a:spLocks/>
                </xdr:cNvSpPr>
              </xdr:nvSpPr>
              <xdr:spPr>
                <a:xfrm>
                  <a:off x="127" y="415"/>
                  <a:ext cx="582" cy="4"/>
                </a:xfrm>
                <a:prstGeom prst="rect">
                  <a:avLst/>
                </a:prstGeom>
                <a:solidFill>
                  <a:srgbClr val="80808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33" name="Rectangle 32"/>
              <xdr:cNvSpPr>
                <a:spLocks/>
              </xdr:cNvSpPr>
            </xdr:nvSpPr>
            <xdr:spPr>
              <a:xfrm>
                <a:off x="129" y="333"/>
                <a:ext cx="580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" name="Line 33"/>
              <xdr:cNvSpPr>
                <a:spLocks/>
              </xdr:cNvSpPr>
            </xdr:nvSpPr>
            <xdr:spPr>
              <a:xfrm>
                <a:off x="129" y="347"/>
                <a:ext cx="57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35" name="Group 34"/>
            <xdr:cNvGrpSpPr>
              <a:grpSpLocks/>
            </xdr:cNvGrpSpPr>
          </xdr:nvGrpSpPr>
          <xdr:grpSpPr>
            <a:xfrm>
              <a:off x="126" y="617"/>
              <a:ext cx="582" cy="68"/>
              <a:chOff x="129" y="291"/>
              <a:chExt cx="582" cy="68"/>
            </a:xfrm>
            <a:solidFill>
              <a:srgbClr val="FFFFFF"/>
            </a:solidFill>
          </xdr:grpSpPr>
          <xdr:grpSp>
            <xdr:nvGrpSpPr>
              <xdr:cNvPr id="36" name="Group 35"/>
              <xdr:cNvGrpSpPr>
                <a:grpSpLocks/>
              </xdr:cNvGrpSpPr>
            </xdr:nvGrpSpPr>
            <xdr:grpSpPr>
              <a:xfrm>
                <a:off x="129" y="291"/>
                <a:ext cx="582" cy="41"/>
                <a:chOff x="127" y="378"/>
                <a:chExt cx="582" cy="41"/>
              </a:xfrm>
              <a:solidFill>
                <a:srgbClr val="FFFFFF"/>
              </a:solidFill>
            </xdr:grpSpPr>
            <xdr:sp>
              <xdr:nvSpPr>
                <xdr:cNvPr id="37" name="Rectangle 36"/>
                <xdr:cNvSpPr>
                  <a:spLocks/>
                </xdr:cNvSpPr>
              </xdr:nvSpPr>
              <xdr:spPr>
                <a:xfrm>
                  <a:off x="127" y="383"/>
                  <a:ext cx="580" cy="31"/>
                </a:xfrm>
                <a:prstGeom prst="rect">
                  <a:avLst/>
                </a:prstGeom>
                <a:pattFill prst="ltVert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8" name="Rectangle 37"/>
                <xdr:cNvSpPr>
                  <a:spLocks/>
                </xdr:cNvSpPr>
              </xdr:nvSpPr>
              <xdr:spPr>
                <a:xfrm>
                  <a:off x="127" y="378"/>
                  <a:ext cx="582" cy="4"/>
                </a:xfrm>
                <a:prstGeom prst="rect">
                  <a:avLst/>
                </a:prstGeom>
                <a:solidFill>
                  <a:srgbClr val="80808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9" name="Rectangle 38"/>
                <xdr:cNvSpPr>
                  <a:spLocks/>
                </xdr:cNvSpPr>
              </xdr:nvSpPr>
              <xdr:spPr>
                <a:xfrm>
                  <a:off x="127" y="415"/>
                  <a:ext cx="582" cy="4"/>
                </a:xfrm>
                <a:prstGeom prst="rect">
                  <a:avLst/>
                </a:prstGeom>
                <a:solidFill>
                  <a:srgbClr val="80808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40" name="Rectangle 39"/>
              <xdr:cNvSpPr>
                <a:spLocks/>
              </xdr:cNvSpPr>
            </xdr:nvSpPr>
            <xdr:spPr>
              <a:xfrm>
                <a:off x="129" y="333"/>
                <a:ext cx="580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" name="Line 40"/>
              <xdr:cNvSpPr>
                <a:spLocks/>
              </xdr:cNvSpPr>
            </xdr:nvSpPr>
            <xdr:spPr>
              <a:xfrm>
                <a:off x="129" y="347"/>
                <a:ext cx="57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42" name="Group 41"/>
            <xdr:cNvGrpSpPr>
              <a:grpSpLocks/>
            </xdr:cNvGrpSpPr>
          </xdr:nvGrpSpPr>
          <xdr:grpSpPr>
            <a:xfrm>
              <a:off x="126" y="686"/>
              <a:ext cx="582" cy="68"/>
              <a:chOff x="129" y="291"/>
              <a:chExt cx="582" cy="68"/>
            </a:xfrm>
            <a:solidFill>
              <a:srgbClr val="FFFFFF"/>
            </a:solidFill>
          </xdr:grpSpPr>
          <xdr:grpSp>
            <xdr:nvGrpSpPr>
              <xdr:cNvPr id="43" name="Group 42"/>
              <xdr:cNvGrpSpPr>
                <a:grpSpLocks/>
              </xdr:cNvGrpSpPr>
            </xdr:nvGrpSpPr>
            <xdr:grpSpPr>
              <a:xfrm>
                <a:off x="129" y="291"/>
                <a:ext cx="582" cy="41"/>
                <a:chOff x="127" y="378"/>
                <a:chExt cx="582" cy="41"/>
              </a:xfrm>
              <a:solidFill>
                <a:srgbClr val="FFFFFF"/>
              </a:solidFill>
            </xdr:grpSpPr>
            <xdr:sp>
              <xdr:nvSpPr>
                <xdr:cNvPr id="44" name="Rectangle 43"/>
                <xdr:cNvSpPr>
                  <a:spLocks/>
                </xdr:cNvSpPr>
              </xdr:nvSpPr>
              <xdr:spPr>
                <a:xfrm>
                  <a:off x="127" y="383"/>
                  <a:ext cx="580" cy="31"/>
                </a:xfrm>
                <a:prstGeom prst="rect">
                  <a:avLst/>
                </a:prstGeom>
                <a:pattFill prst="ltVert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5" name="Rectangle 44"/>
                <xdr:cNvSpPr>
                  <a:spLocks/>
                </xdr:cNvSpPr>
              </xdr:nvSpPr>
              <xdr:spPr>
                <a:xfrm>
                  <a:off x="127" y="378"/>
                  <a:ext cx="582" cy="4"/>
                </a:xfrm>
                <a:prstGeom prst="rect">
                  <a:avLst/>
                </a:prstGeom>
                <a:solidFill>
                  <a:srgbClr val="80808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6" name="Rectangle 45"/>
                <xdr:cNvSpPr>
                  <a:spLocks/>
                </xdr:cNvSpPr>
              </xdr:nvSpPr>
              <xdr:spPr>
                <a:xfrm>
                  <a:off x="127" y="415"/>
                  <a:ext cx="582" cy="4"/>
                </a:xfrm>
                <a:prstGeom prst="rect">
                  <a:avLst/>
                </a:prstGeom>
                <a:solidFill>
                  <a:srgbClr val="80808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47" name="Rectangle 46"/>
              <xdr:cNvSpPr>
                <a:spLocks/>
              </xdr:cNvSpPr>
            </xdr:nvSpPr>
            <xdr:spPr>
              <a:xfrm>
                <a:off x="129" y="333"/>
                <a:ext cx="580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8" name="Line 47"/>
              <xdr:cNvSpPr>
                <a:spLocks/>
              </xdr:cNvSpPr>
            </xdr:nvSpPr>
            <xdr:spPr>
              <a:xfrm>
                <a:off x="129" y="347"/>
                <a:ext cx="57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49" name="Group 48"/>
            <xdr:cNvGrpSpPr>
              <a:grpSpLocks/>
            </xdr:cNvGrpSpPr>
          </xdr:nvGrpSpPr>
          <xdr:grpSpPr>
            <a:xfrm>
              <a:off x="126" y="754"/>
              <a:ext cx="582" cy="68"/>
              <a:chOff x="129" y="291"/>
              <a:chExt cx="582" cy="68"/>
            </a:xfrm>
            <a:solidFill>
              <a:srgbClr val="FFFFFF"/>
            </a:solidFill>
          </xdr:grpSpPr>
          <xdr:grpSp>
            <xdr:nvGrpSpPr>
              <xdr:cNvPr id="50" name="Group 49"/>
              <xdr:cNvGrpSpPr>
                <a:grpSpLocks/>
              </xdr:cNvGrpSpPr>
            </xdr:nvGrpSpPr>
            <xdr:grpSpPr>
              <a:xfrm>
                <a:off x="129" y="291"/>
                <a:ext cx="582" cy="41"/>
                <a:chOff x="127" y="378"/>
                <a:chExt cx="582" cy="41"/>
              </a:xfrm>
              <a:solidFill>
                <a:srgbClr val="FFFFFF"/>
              </a:solidFill>
            </xdr:grpSpPr>
            <xdr:sp>
              <xdr:nvSpPr>
                <xdr:cNvPr id="51" name="Rectangle 50"/>
                <xdr:cNvSpPr>
                  <a:spLocks/>
                </xdr:cNvSpPr>
              </xdr:nvSpPr>
              <xdr:spPr>
                <a:xfrm>
                  <a:off x="127" y="383"/>
                  <a:ext cx="580" cy="31"/>
                </a:xfrm>
                <a:prstGeom prst="rect">
                  <a:avLst/>
                </a:prstGeom>
                <a:pattFill prst="ltVert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2" name="Rectangle 51"/>
                <xdr:cNvSpPr>
                  <a:spLocks/>
                </xdr:cNvSpPr>
              </xdr:nvSpPr>
              <xdr:spPr>
                <a:xfrm>
                  <a:off x="127" y="378"/>
                  <a:ext cx="582" cy="4"/>
                </a:xfrm>
                <a:prstGeom prst="rect">
                  <a:avLst/>
                </a:prstGeom>
                <a:solidFill>
                  <a:srgbClr val="80808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3" name="Rectangle 52"/>
                <xdr:cNvSpPr>
                  <a:spLocks/>
                </xdr:cNvSpPr>
              </xdr:nvSpPr>
              <xdr:spPr>
                <a:xfrm>
                  <a:off x="127" y="415"/>
                  <a:ext cx="582" cy="4"/>
                </a:xfrm>
                <a:prstGeom prst="rect">
                  <a:avLst/>
                </a:prstGeom>
                <a:solidFill>
                  <a:srgbClr val="80808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54" name="Rectangle 53"/>
              <xdr:cNvSpPr>
                <a:spLocks/>
              </xdr:cNvSpPr>
            </xdr:nvSpPr>
            <xdr:spPr>
              <a:xfrm>
                <a:off x="129" y="333"/>
                <a:ext cx="580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5" name="Line 54"/>
              <xdr:cNvSpPr>
                <a:spLocks/>
              </xdr:cNvSpPr>
            </xdr:nvSpPr>
            <xdr:spPr>
              <a:xfrm>
                <a:off x="129" y="347"/>
                <a:ext cx="57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56" name="Group 55"/>
            <xdr:cNvGrpSpPr>
              <a:grpSpLocks/>
            </xdr:cNvGrpSpPr>
          </xdr:nvGrpSpPr>
          <xdr:grpSpPr>
            <a:xfrm>
              <a:off x="127" y="822"/>
              <a:ext cx="582" cy="41"/>
              <a:chOff x="127" y="378"/>
              <a:chExt cx="582" cy="41"/>
            </a:xfrm>
            <a:solidFill>
              <a:srgbClr val="FFFFFF"/>
            </a:solidFill>
          </xdr:grpSpPr>
          <xdr:sp>
            <xdr:nvSpPr>
              <xdr:cNvPr id="57" name="Rectangle 56"/>
              <xdr:cNvSpPr>
                <a:spLocks/>
              </xdr:cNvSpPr>
            </xdr:nvSpPr>
            <xdr:spPr>
              <a:xfrm>
                <a:off x="127" y="383"/>
                <a:ext cx="580" cy="31"/>
              </a:xfrm>
              <a:prstGeom prst="rect">
                <a:avLst/>
              </a:prstGeom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8" name="Rectangle 57"/>
              <xdr:cNvSpPr>
                <a:spLocks/>
              </xdr:cNvSpPr>
            </xdr:nvSpPr>
            <xdr:spPr>
              <a:xfrm>
                <a:off x="127" y="378"/>
                <a:ext cx="582" cy="4"/>
              </a:xfrm>
              <a:prstGeom prst="rect">
                <a:avLst/>
              </a:prstGeom>
              <a:solidFill>
                <a:srgbClr val="80808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9" name="Rectangle 58"/>
              <xdr:cNvSpPr>
                <a:spLocks/>
              </xdr:cNvSpPr>
            </xdr:nvSpPr>
            <xdr:spPr>
              <a:xfrm>
                <a:off x="127" y="415"/>
                <a:ext cx="582" cy="4"/>
              </a:xfrm>
              <a:prstGeom prst="rect">
                <a:avLst/>
              </a:prstGeom>
              <a:solidFill>
                <a:srgbClr val="80808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60" name="Group 65"/>
          <xdr:cNvGrpSpPr>
            <a:grpSpLocks/>
          </xdr:cNvGrpSpPr>
        </xdr:nvGrpSpPr>
        <xdr:grpSpPr>
          <a:xfrm>
            <a:off x="57" y="338"/>
            <a:ext cx="730" cy="67"/>
            <a:chOff x="747" y="533"/>
            <a:chExt cx="582" cy="67"/>
          </a:xfrm>
          <a:solidFill>
            <a:srgbClr val="FFFFFF"/>
          </a:solidFill>
        </xdr:grpSpPr>
        <xdr:grpSp>
          <xdr:nvGrpSpPr>
            <xdr:cNvPr id="61" name="Group 60"/>
            <xdr:cNvGrpSpPr>
              <a:grpSpLocks/>
            </xdr:cNvGrpSpPr>
          </xdr:nvGrpSpPr>
          <xdr:grpSpPr>
            <a:xfrm>
              <a:off x="747" y="533"/>
              <a:ext cx="582" cy="41"/>
              <a:chOff x="127" y="378"/>
              <a:chExt cx="582" cy="41"/>
            </a:xfrm>
            <a:solidFill>
              <a:srgbClr val="FFFFFF"/>
            </a:solidFill>
          </xdr:grpSpPr>
          <xdr:sp>
            <xdr:nvSpPr>
              <xdr:cNvPr id="62" name="Rectangle 61"/>
              <xdr:cNvSpPr>
                <a:spLocks/>
              </xdr:cNvSpPr>
            </xdr:nvSpPr>
            <xdr:spPr>
              <a:xfrm>
                <a:off x="127" y="383"/>
                <a:ext cx="580" cy="31"/>
              </a:xfrm>
              <a:prstGeom prst="rect">
                <a:avLst/>
              </a:prstGeom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3" name="Rectangle 62"/>
              <xdr:cNvSpPr>
                <a:spLocks/>
              </xdr:cNvSpPr>
            </xdr:nvSpPr>
            <xdr:spPr>
              <a:xfrm>
                <a:off x="127" y="378"/>
                <a:ext cx="582" cy="4"/>
              </a:xfrm>
              <a:prstGeom prst="rect">
                <a:avLst/>
              </a:prstGeom>
              <a:solidFill>
                <a:srgbClr val="80808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4" name="Rectangle 63"/>
              <xdr:cNvSpPr>
                <a:spLocks/>
              </xdr:cNvSpPr>
            </xdr:nvSpPr>
            <xdr:spPr>
              <a:xfrm>
                <a:off x="127" y="415"/>
                <a:ext cx="582" cy="4"/>
              </a:xfrm>
              <a:prstGeom prst="rect">
                <a:avLst/>
              </a:prstGeom>
              <a:solidFill>
                <a:srgbClr val="80808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65" name="Rectangle 64"/>
            <xdr:cNvSpPr>
              <a:spLocks/>
            </xdr:cNvSpPr>
          </xdr:nvSpPr>
          <xdr:spPr>
            <a:xfrm>
              <a:off x="747" y="574"/>
              <a:ext cx="580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6" name="Rectangle 67"/>
          <xdr:cNvSpPr>
            <a:spLocks/>
          </xdr:cNvSpPr>
        </xdr:nvSpPr>
        <xdr:spPr>
          <a:xfrm>
            <a:off x="403" y="299"/>
            <a:ext cx="39" cy="3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71"/>
          <xdr:cNvSpPr>
            <a:spLocks/>
          </xdr:cNvSpPr>
        </xdr:nvSpPr>
        <xdr:spPr>
          <a:xfrm flipV="1">
            <a:off x="637" y="301"/>
            <a:ext cx="80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Box 72"/>
          <xdr:cNvSpPr txBox="1">
            <a:spLocks noChangeArrowheads="1"/>
          </xdr:cNvSpPr>
        </xdr:nvSpPr>
        <xdr:spPr>
          <a:xfrm>
            <a:off x="800" y="525"/>
            <a:ext cx="51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CSC</a:t>
            </a:r>
          </a:p>
        </xdr:txBody>
      </xdr:sp>
      <xdr:sp>
        <xdr:nvSpPr>
          <xdr:cNvPr id="69" name="Line 73"/>
          <xdr:cNvSpPr>
            <a:spLocks/>
          </xdr:cNvSpPr>
        </xdr:nvSpPr>
        <xdr:spPr>
          <a:xfrm flipV="1">
            <a:off x="716" y="534"/>
            <a:ext cx="81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Box 74"/>
          <xdr:cNvSpPr txBox="1">
            <a:spLocks noChangeArrowheads="1"/>
          </xdr:cNvSpPr>
        </xdr:nvSpPr>
        <xdr:spPr>
          <a:xfrm>
            <a:off x="724" y="283"/>
            <a:ext cx="148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Absorbing panel</a:t>
            </a:r>
          </a:p>
        </xdr:txBody>
      </xdr:sp>
      <xdr:sp>
        <xdr:nvSpPr>
          <xdr:cNvPr id="71" name="Line 75"/>
          <xdr:cNvSpPr>
            <a:spLocks/>
          </xdr:cNvSpPr>
        </xdr:nvSpPr>
        <xdr:spPr>
          <a:xfrm flipV="1">
            <a:off x="429" y="255"/>
            <a:ext cx="8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TextBox 76"/>
          <xdr:cNvSpPr txBox="1">
            <a:spLocks noChangeArrowheads="1"/>
          </xdr:cNvSpPr>
        </xdr:nvSpPr>
        <xdr:spPr>
          <a:xfrm>
            <a:off x="514" y="236"/>
            <a:ext cx="167" cy="5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R/A source Cs137 
in steel collimator </a:t>
            </a:r>
          </a:p>
        </xdr:txBody>
      </xdr:sp>
      <xdr:sp>
        <xdr:nvSpPr>
          <xdr:cNvPr id="73" name="TextBox 77"/>
          <xdr:cNvSpPr txBox="1">
            <a:spLocks noChangeArrowheads="1"/>
          </xdr:cNvSpPr>
        </xdr:nvSpPr>
        <xdr:spPr>
          <a:xfrm>
            <a:off x="56" y="448"/>
            <a:ext cx="66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>
                <a:latin typeface="Arial"/>
                <a:ea typeface="Arial"/>
                <a:cs typeface="Arial"/>
              </a:rPr>
              <a:t>Layer 1</a:t>
            </a:r>
          </a:p>
        </xdr:txBody>
      </xdr:sp>
      <xdr:sp>
        <xdr:nvSpPr>
          <xdr:cNvPr id="74" name="TextBox 78"/>
          <xdr:cNvSpPr txBox="1">
            <a:spLocks noChangeArrowheads="1"/>
          </xdr:cNvSpPr>
        </xdr:nvSpPr>
        <xdr:spPr>
          <a:xfrm>
            <a:off x="56" y="512"/>
            <a:ext cx="66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>
                <a:latin typeface="Arial"/>
                <a:ea typeface="Arial"/>
                <a:cs typeface="Arial"/>
              </a:rPr>
              <a:t>Layer 2</a:t>
            </a:r>
          </a:p>
        </xdr:txBody>
      </xdr:sp>
      <xdr:sp>
        <xdr:nvSpPr>
          <xdr:cNvPr id="75" name="TextBox 79"/>
          <xdr:cNvSpPr txBox="1">
            <a:spLocks noChangeArrowheads="1"/>
          </xdr:cNvSpPr>
        </xdr:nvSpPr>
        <xdr:spPr>
          <a:xfrm>
            <a:off x="52" y="584"/>
            <a:ext cx="66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>
                <a:latin typeface="Arial"/>
                <a:ea typeface="Arial"/>
                <a:cs typeface="Arial"/>
              </a:rPr>
              <a:t>Layer 3</a:t>
            </a:r>
          </a:p>
        </xdr:txBody>
      </xdr:sp>
      <xdr:sp>
        <xdr:nvSpPr>
          <xdr:cNvPr id="76" name="TextBox 80"/>
          <xdr:cNvSpPr txBox="1">
            <a:spLocks noChangeArrowheads="1"/>
          </xdr:cNvSpPr>
        </xdr:nvSpPr>
        <xdr:spPr>
          <a:xfrm>
            <a:off x="52" y="648"/>
            <a:ext cx="66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>
                <a:latin typeface="Arial"/>
                <a:ea typeface="Arial"/>
                <a:cs typeface="Arial"/>
              </a:rPr>
              <a:t>Layer 4</a:t>
            </a:r>
          </a:p>
        </xdr:txBody>
      </xdr:sp>
      <xdr:sp>
        <xdr:nvSpPr>
          <xdr:cNvPr id="77" name="TextBox 81"/>
          <xdr:cNvSpPr txBox="1">
            <a:spLocks noChangeArrowheads="1"/>
          </xdr:cNvSpPr>
        </xdr:nvSpPr>
        <xdr:spPr>
          <a:xfrm>
            <a:off x="52" y="720"/>
            <a:ext cx="66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>
                <a:latin typeface="Arial"/>
                <a:ea typeface="Arial"/>
                <a:cs typeface="Arial"/>
              </a:rPr>
              <a:t>Layer 5</a:t>
            </a:r>
          </a:p>
        </xdr:txBody>
      </xdr:sp>
      <xdr:sp>
        <xdr:nvSpPr>
          <xdr:cNvPr id="78" name="TextBox 82"/>
          <xdr:cNvSpPr txBox="1">
            <a:spLocks noChangeArrowheads="1"/>
          </xdr:cNvSpPr>
        </xdr:nvSpPr>
        <xdr:spPr>
          <a:xfrm>
            <a:off x="52" y="788"/>
            <a:ext cx="66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>
                <a:latin typeface="Arial"/>
                <a:ea typeface="Arial"/>
                <a:cs typeface="Arial"/>
              </a:rPr>
              <a:t>Layer 6</a:t>
            </a:r>
          </a:p>
        </xdr:txBody>
      </xdr:sp>
      <xdr:sp>
        <xdr:nvSpPr>
          <xdr:cNvPr id="79" name="Line 84"/>
          <xdr:cNvSpPr>
            <a:spLocks/>
          </xdr:cNvSpPr>
        </xdr:nvSpPr>
        <xdr:spPr>
          <a:xfrm>
            <a:off x="718" y="445"/>
            <a:ext cx="6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5"/>
          <xdr:cNvSpPr>
            <a:spLocks/>
          </xdr:cNvSpPr>
        </xdr:nvSpPr>
        <xdr:spPr>
          <a:xfrm>
            <a:off x="716" y="475"/>
            <a:ext cx="6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7"/>
          <xdr:cNvSpPr>
            <a:spLocks/>
          </xdr:cNvSpPr>
        </xdr:nvSpPr>
        <xdr:spPr>
          <a:xfrm>
            <a:off x="728" y="445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8"/>
          <xdr:cNvSpPr>
            <a:spLocks/>
          </xdr:cNvSpPr>
        </xdr:nvSpPr>
        <xdr:spPr>
          <a:xfrm>
            <a:off x="762" y="406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9"/>
          <xdr:cNvSpPr>
            <a:spLocks/>
          </xdr:cNvSpPr>
        </xdr:nvSpPr>
        <xdr:spPr>
          <a:xfrm flipH="1" flipV="1">
            <a:off x="20" y="314"/>
            <a:ext cx="40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90"/>
          <xdr:cNvSpPr>
            <a:spLocks/>
          </xdr:cNvSpPr>
        </xdr:nvSpPr>
        <xdr:spPr>
          <a:xfrm flipH="1">
            <a:off x="19" y="33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91"/>
          <xdr:cNvSpPr>
            <a:spLocks/>
          </xdr:cNvSpPr>
        </xdr:nvSpPr>
        <xdr:spPr>
          <a:xfrm flipH="1">
            <a:off x="42" y="291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TextBox 93"/>
          <xdr:cNvSpPr txBox="1">
            <a:spLocks noChangeArrowheads="1"/>
          </xdr:cNvSpPr>
        </xdr:nvSpPr>
        <xdr:spPr>
          <a:xfrm>
            <a:off x="16" y="261"/>
            <a:ext cx="53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>
                <a:latin typeface="Arial"/>
                <a:ea typeface="Arial"/>
                <a:cs typeface="Arial"/>
              </a:rPr>
              <a:t>16.70</a:t>
            </a:r>
          </a:p>
        </xdr:txBody>
      </xdr:sp>
      <xdr:sp>
        <xdr:nvSpPr>
          <xdr:cNvPr id="87" name="TextBox 94"/>
          <xdr:cNvSpPr txBox="1">
            <a:spLocks noChangeArrowheads="1"/>
          </xdr:cNvSpPr>
        </xdr:nvSpPr>
        <xdr:spPr>
          <a:xfrm>
            <a:off x="772" y="414"/>
            <a:ext cx="53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>
                <a:latin typeface="Arial"/>
                <a:ea typeface="Arial"/>
                <a:cs typeface="Arial"/>
              </a:rPr>
              <a:t>15.88</a:t>
            </a:r>
          </a:p>
        </xdr:txBody>
      </xdr:sp>
      <xdr:sp>
        <xdr:nvSpPr>
          <xdr:cNvPr id="88" name="TextBox 96"/>
          <xdr:cNvSpPr txBox="1">
            <a:spLocks noChangeArrowheads="1"/>
          </xdr:cNvSpPr>
        </xdr:nvSpPr>
        <xdr:spPr>
          <a:xfrm>
            <a:off x="752" y="448"/>
            <a:ext cx="44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>
                <a:latin typeface="Arial"/>
                <a:ea typeface="Arial"/>
                <a:cs typeface="Arial"/>
              </a:rPr>
              <a:t>9.52</a:t>
            </a:r>
          </a:p>
        </xdr:txBody>
      </xdr:sp>
      <xdr:sp>
        <xdr:nvSpPr>
          <xdr:cNvPr id="89" name="Line 97"/>
          <xdr:cNvSpPr>
            <a:spLocks/>
          </xdr:cNvSpPr>
        </xdr:nvSpPr>
        <xdr:spPr>
          <a:xfrm flipV="1">
            <a:off x="42" y="337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0" name="Group 122"/>
          <xdr:cNvGrpSpPr>
            <a:grpSpLocks/>
          </xdr:cNvGrpSpPr>
        </xdr:nvGrpSpPr>
        <xdr:grpSpPr>
          <a:xfrm>
            <a:off x="419" y="265"/>
            <a:ext cx="8" cy="73"/>
            <a:chOff x="421" y="76"/>
            <a:chExt cx="8" cy="73"/>
          </a:xfrm>
          <a:solidFill>
            <a:srgbClr val="FFFFFF"/>
          </a:solidFill>
        </xdr:grpSpPr>
        <xdr:sp>
          <xdr:nvSpPr>
            <xdr:cNvPr id="91" name="Rectangle 68"/>
            <xdr:cNvSpPr>
              <a:spLocks/>
            </xdr:cNvSpPr>
          </xdr:nvSpPr>
          <xdr:spPr>
            <a:xfrm>
              <a:off x="421" y="76"/>
              <a:ext cx="8" cy="47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Rectangle 115"/>
            <xdr:cNvSpPr>
              <a:spLocks/>
            </xdr:cNvSpPr>
          </xdr:nvSpPr>
          <xdr:spPr>
            <a:xfrm>
              <a:off x="421" y="124"/>
              <a:ext cx="8" cy="3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Rectangle 120"/>
            <xdr:cNvSpPr>
              <a:spLocks/>
            </xdr:cNvSpPr>
          </xdr:nvSpPr>
          <xdr:spPr>
            <a:xfrm>
              <a:off x="421" y="128"/>
              <a:ext cx="8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581025</xdr:colOff>
      <xdr:row>0</xdr:row>
      <xdr:rowOff>104775</xdr:rowOff>
    </xdr:from>
    <xdr:to>
      <xdr:col>18</xdr:col>
      <xdr:colOff>390525</xdr:colOff>
      <xdr:row>11</xdr:row>
      <xdr:rowOff>76200</xdr:rowOff>
    </xdr:to>
    <xdr:grpSp>
      <xdr:nvGrpSpPr>
        <xdr:cNvPr id="94" name="Group 124"/>
        <xdr:cNvGrpSpPr>
          <a:grpSpLocks/>
        </xdr:cNvGrpSpPr>
      </xdr:nvGrpSpPr>
      <xdr:grpSpPr>
        <a:xfrm>
          <a:off x="7934325" y="104775"/>
          <a:ext cx="3495675" cy="1819275"/>
          <a:chOff x="138" y="100"/>
          <a:chExt cx="367" cy="191"/>
        </a:xfrm>
        <a:solidFill>
          <a:srgbClr val="FFFFFF"/>
        </a:solidFill>
      </xdr:grpSpPr>
      <xdr:sp>
        <xdr:nvSpPr>
          <xdr:cNvPr id="95" name="Rectangle 125"/>
          <xdr:cNvSpPr>
            <a:spLocks/>
          </xdr:cNvSpPr>
        </xdr:nvSpPr>
        <xdr:spPr>
          <a:xfrm>
            <a:off x="225" y="178"/>
            <a:ext cx="114" cy="51"/>
          </a:xfrm>
          <a:prstGeom prst="rect">
            <a:avLst/>
          </a:prstGeom>
          <a:pattFill prst="pct7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126"/>
          <xdr:cNvSpPr>
            <a:spLocks/>
          </xdr:cNvSpPr>
        </xdr:nvSpPr>
        <xdr:spPr>
          <a:xfrm>
            <a:off x="273" y="178"/>
            <a:ext cx="21" cy="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TextBox 127"/>
          <xdr:cNvSpPr txBox="1">
            <a:spLocks noChangeArrowheads="1"/>
          </xdr:cNvSpPr>
        </xdr:nvSpPr>
        <xdr:spPr>
          <a:xfrm>
            <a:off x="374" y="263"/>
            <a:ext cx="68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Symbol"/>
                <a:ea typeface="Symbol"/>
                <a:cs typeface="Symbol"/>
              </a:rPr>
              <a:t>f</a:t>
            </a:r>
            <a:r>
              <a:rPr lang="en-US" cap="none" sz="1000" b="0" i="0" u="none" baseline="0">
                <a:latin typeface="Symbol"/>
                <a:ea typeface="Symbol"/>
                <a:cs typeface="Symbol"/>
              </a:rPr>
              <a:t>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6.5 mm</a:t>
            </a:r>
          </a:p>
        </xdr:txBody>
      </xdr:sp>
      <xdr:sp>
        <xdr:nvSpPr>
          <xdr:cNvPr id="98" name="Line 128"/>
          <xdr:cNvSpPr>
            <a:spLocks/>
          </xdr:cNvSpPr>
        </xdr:nvSpPr>
        <xdr:spPr>
          <a:xfrm flipH="1" flipV="1">
            <a:off x="289" y="228"/>
            <a:ext cx="8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129"/>
          <xdr:cNvSpPr>
            <a:spLocks/>
          </xdr:cNvSpPr>
        </xdr:nvSpPr>
        <xdr:spPr>
          <a:xfrm>
            <a:off x="347" y="179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30"/>
          <xdr:cNvSpPr>
            <a:spLocks/>
          </xdr:cNvSpPr>
        </xdr:nvSpPr>
        <xdr:spPr>
          <a:xfrm>
            <a:off x="348" y="230"/>
            <a:ext cx="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131"/>
          <xdr:cNvSpPr>
            <a:spLocks/>
          </xdr:cNvSpPr>
        </xdr:nvSpPr>
        <xdr:spPr>
          <a:xfrm>
            <a:off x="387" y="179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TextBox 132"/>
          <xdr:cNvSpPr txBox="1">
            <a:spLocks noChangeArrowheads="1"/>
          </xdr:cNvSpPr>
        </xdr:nvSpPr>
        <xdr:spPr>
          <a:xfrm>
            <a:off x="453" y="199"/>
            <a:ext cx="52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9.5 mm</a:t>
            </a:r>
          </a:p>
        </xdr:txBody>
      </xdr:sp>
      <xdr:sp>
        <xdr:nvSpPr>
          <xdr:cNvPr id="103" name="TextBox 133"/>
          <xdr:cNvSpPr txBox="1">
            <a:spLocks noChangeArrowheads="1"/>
          </xdr:cNvSpPr>
        </xdr:nvSpPr>
        <xdr:spPr>
          <a:xfrm>
            <a:off x="192" y="196"/>
            <a:ext cx="24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Pb</a:t>
            </a:r>
          </a:p>
        </xdr:txBody>
      </xdr:sp>
      <xdr:sp>
        <xdr:nvSpPr>
          <xdr:cNvPr id="104" name="Line 134"/>
          <xdr:cNvSpPr>
            <a:spLocks/>
          </xdr:cNvSpPr>
        </xdr:nvSpPr>
        <xdr:spPr>
          <a:xfrm>
            <a:off x="426" y="18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5" name="Group 135"/>
          <xdr:cNvGrpSpPr>
            <a:grpSpLocks/>
          </xdr:cNvGrpSpPr>
        </xdr:nvGrpSpPr>
        <xdr:grpSpPr>
          <a:xfrm>
            <a:off x="138" y="142"/>
            <a:ext cx="235" cy="36"/>
            <a:chOff x="140" y="142"/>
            <a:chExt cx="235" cy="36"/>
          </a:xfrm>
          <a:solidFill>
            <a:srgbClr val="FFFFFF"/>
          </a:solidFill>
        </xdr:grpSpPr>
        <xdr:sp>
          <xdr:nvSpPr>
            <xdr:cNvPr id="106" name="Rectangle 136"/>
            <xdr:cNvSpPr>
              <a:spLocks/>
            </xdr:cNvSpPr>
          </xdr:nvSpPr>
          <xdr:spPr>
            <a:xfrm>
              <a:off x="193" y="143"/>
              <a:ext cx="182" cy="26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Rectangle 137"/>
            <xdr:cNvSpPr>
              <a:spLocks/>
            </xdr:cNvSpPr>
          </xdr:nvSpPr>
          <xdr:spPr>
            <a:xfrm>
              <a:off x="220" y="169"/>
              <a:ext cx="126" cy="9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" name="Rectangle 138"/>
            <xdr:cNvSpPr>
              <a:spLocks/>
            </xdr:cNvSpPr>
          </xdr:nvSpPr>
          <xdr:spPr>
            <a:xfrm>
              <a:off x="277" y="168"/>
              <a:ext cx="17" cy="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" name="Rectangle 139"/>
            <xdr:cNvSpPr>
              <a:spLocks/>
            </xdr:cNvSpPr>
          </xdr:nvSpPr>
          <xdr:spPr>
            <a:xfrm flipV="1">
              <a:off x="279" y="163"/>
              <a:ext cx="13" cy="5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TextBox 140"/>
            <xdr:cNvSpPr txBox="1">
              <a:spLocks noChangeArrowheads="1"/>
            </xdr:cNvSpPr>
          </xdr:nvSpPr>
          <xdr:spPr>
            <a:xfrm>
              <a:off x="140" y="142"/>
              <a:ext cx="20" cy="2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Al</a:t>
              </a:r>
            </a:p>
          </xdr:txBody>
        </xdr:sp>
      </xdr:grpSp>
      <xdr:sp>
        <xdr:nvSpPr>
          <xdr:cNvPr id="111" name="Line 141"/>
          <xdr:cNvSpPr>
            <a:spLocks/>
          </xdr:cNvSpPr>
        </xdr:nvSpPr>
        <xdr:spPr>
          <a:xfrm>
            <a:off x="376" y="169"/>
            <a:ext cx="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142"/>
          <xdr:cNvSpPr>
            <a:spLocks/>
          </xdr:cNvSpPr>
        </xdr:nvSpPr>
        <xdr:spPr>
          <a:xfrm flipH="1" flipV="1">
            <a:off x="426" y="134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TextBox 143"/>
          <xdr:cNvSpPr txBox="1">
            <a:spLocks noChangeArrowheads="1"/>
          </xdr:cNvSpPr>
        </xdr:nvSpPr>
        <xdr:spPr>
          <a:xfrm>
            <a:off x="453" y="136"/>
            <a:ext cx="52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2.0 mm</a:t>
            </a:r>
          </a:p>
        </xdr:txBody>
      </xdr:sp>
      <xdr:sp>
        <xdr:nvSpPr>
          <xdr:cNvPr id="114" name="TextBox 144"/>
          <xdr:cNvSpPr txBox="1">
            <a:spLocks noChangeArrowheads="1"/>
          </xdr:cNvSpPr>
        </xdr:nvSpPr>
        <xdr:spPr>
          <a:xfrm>
            <a:off x="359" y="100"/>
            <a:ext cx="49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Am241</a:t>
            </a:r>
          </a:p>
        </xdr:txBody>
      </xdr:sp>
      <xdr:sp>
        <xdr:nvSpPr>
          <xdr:cNvPr id="115" name="Line 145"/>
          <xdr:cNvSpPr>
            <a:spLocks/>
          </xdr:cNvSpPr>
        </xdr:nvSpPr>
        <xdr:spPr>
          <a:xfrm flipH="1">
            <a:off x="289" y="115"/>
            <a:ext cx="64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86"/>
  <sheetViews>
    <sheetView workbookViewId="0" topLeftCell="A59">
      <selection activeCell="M65" sqref="M65"/>
    </sheetView>
  </sheetViews>
  <sheetFormatPr defaultColWidth="9.140625" defaultRowHeight="12.75"/>
  <cols>
    <col min="2" max="2" width="10.28125" style="0" customWidth="1"/>
    <col min="10" max="10" width="10.140625" style="0" customWidth="1"/>
    <col min="11" max="11" width="13.28125" style="0" customWidth="1"/>
  </cols>
  <sheetData>
    <row r="3" spans="2:3" ht="12.75">
      <c r="B3" s="1">
        <v>36815</v>
      </c>
      <c r="C3" s="2">
        <v>0.5</v>
      </c>
    </row>
    <row r="4" ht="12.75">
      <c r="B4" t="s">
        <v>0</v>
      </c>
    </row>
    <row r="6" spans="2:11" ht="12.75">
      <c r="B6" t="s">
        <v>1</v>
      </c>
      <c r="K6">
        <f>L16/(6)^0.5</f>
        <v>1.542004467495998</v>
      </c>
    </row>
    <row r="8" ht="12.75">
      <c r="E8" t="s">
        <v>2</v>
      </c>
    </row>
    <row r="9" spans="1:8" ht="26.25" thickBot="1">
      <c r="A9" s="3"/>
      <c r="B9" s="5" t="s">
        <v>3</v>
      </c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</row>
    <row r="10" spans="1:12" ht="25.5">
      <c r="A10" s="3" t="s">
        <v>4</v>
      </c>
      <c r="B10" s="6">
        <v>1</v>
      </c>
      <c r="C10">
        <v>456</v>
      </c>
      <c r="D10">
        <v>342</v>
      </c>
      <c r="E10">
        <v>299</v>
      </c>
      <c r="F10">
        <v>191</v>
      </c>
      <c r="G10">
        <v>224</v>
      </c>
      <c r="H10">
        <v>144</v>
      </c>
      <c r="K10" s="15" t="s">
        <v>18</v>
      </c>
      <c r="L10" s="15"/>
    </row>
    <row r="11" spans="2:12" ht="12.75">
      <c r="B11" s="7">
        <v>1</v>
      </c>
      <c r="C11" s="8">
        <v>454</v>
      </c>
      <c r="D11" s="8">
        <v>336</v>
      </c>
      <c r="E11" s="8">
        <v>304</v>
      </c>
      <c r="F11" s="8">
        <v>183</v>
      </c>
      <c r="G11" s="8">
        <v>231</v>
      </c>
      <c r="H11" s="8">
        <v>136</v>
      </c>
      <c r="K11" s="13"/>
      <c r="L11" s="13"/>
    </row>
    <row r="12" spans="2:12" ht="12.75">
      <c r="B12" s="6">
        <v>1</v>
      </c>
      <c r="C12" s="8">
        <v>456</v>
      </c>
      <c r="D12" s="8">
        <v>336</v>
      </c>
      <c r="E12" s="8">
        <v>292</v>
      </c>
      <c r="F12" s="8">
        <v>183</v>
      </c>
      <c r="G12" s="8">
        <v>232</v>
      </c>
      <c r="H12" s="8">
        <v>140</v>
      </c>
      <c r="K12" s="13" t="s">
        <v>19</v>
      </c>
      <c r="L12" s="13">
        <v>138.66666666666666</v>
      </c>
    </row>
    <row r="13" spans="2:12" ht="12.75">
      <c r="B13" s="7">
        <v>1</v>
      </c>
      <c r="C13" s="8">
        <v>455</v>
      </c>
      <c r="D13" s="8">
        <v>344</v>
      </c>
      <c r="E13" s="8">
        <v>300</v>
      </c>
      <c r="F13" s="8">
        <v>186</v>
      </c>
      <c r="G13" s="8">
        <v>226</v>
      </c>
      <c r="H13" s="8">
        <v>140</v>
      </c>
      <c r="K13" s="13" t="s">
        <v>20</v>
      </c>
      <c r="L13" s="13">
        <v>1.542004467495998</v>
      </c>
    </row>
    <row r="14" spans="2:12" ht="12.75">
      <c r="B14" s="6">
        <v>1</v>
      </c>
      <c r="C14" s="8">
        <v>456</v>
      </c>
      <c r="D14" s="8">
        <v>335</v>
      </c>
      <c r="E14" s="8">
        <v>304</v>
      </c>
      <c r="F14" s="8">
        <v>181</v>
      </c>
      <c r="G14" s="8">
        <v>230</v>
      </c>
      <c r="H14" s="8">
        <v>139</v>
      </c>
      <c r="K14" s="13" t="s">
        <v>21</v>
      </c>
      <c r="L14" s="13">
        <v>139.5</v>
      </c>
    </row>
    <row r="15" spans="2:12" ht="12.75">
      <c r="B15" s="7">
        <v>1</v>
      </c>
      <c r="C15" s="8">
        <v>452</v>
      </c>
      <c r="D15" s="8">
        <v>339</v>
      </c>
      <c r="E15" s="8">
        <v>295</v>
      </c>
      <c r="F15" s="8">
        <v>181</v>
      </c>
      <c r="G15" s="8">
        <v>227</v>
      </c>
      <c r="H15" s="8">
        <v>133</v>
      </c>
      <c r="K15" s="13" t="s">
        <v>22</v>
      </c>
      <c r="L15" s="13">
        <v>140</v>
      </c>
    </row>
    <row r="16" spans="1:12" ht="25.5">
      <c r="A16" s="3" t="s">
        <v>4</v>
      </c>
      <c r="B16" s="13" t="s">
        <v>19</v>
      </c>
      <c r="C16" s="16">
        <f aca="true" t="shared" si="0" ref="C16:H16">AVERAGE(C10:C15)</f>
        <v>454.8333333333333</v>
      </c>
      <c r="D16" s="17">
        <f t="shared" si="0"/>
        <v>338.6666666666667</v>
      </c>
      <c r="E16" s="17">
        <f t="shared" si="0"/>
        <v>299</v>
      </c>
      <c r="F16" s="17">
        <f t="shared" si="0"/>
        <v>184.16666666666666</v>
      </c>
      <c r="G16" s="17">
        <f t="shared" si="0"/>
        <v>228.33333333333334</v>
      </c>
      <c r="H16" s="18">
        <f t="shared" si="0"/>
        <v>138.66666666666666</v>
      </c>
      <c r="I16" t="s">
        <v>32</v>
      </c>
      <c r="K16" s="13" t="s">
        <v>23</v>
      </c>
      <c r="L16" s="13">
        <v>3.7771241264572835</v>
      </c>
    </row>
    <row r="17" spans="2:12" ht="12.75">
      <c r="B17" s="13" t="s">
        <v>20</v>
      </c>
      <c r="C17" s="19">
        <f aca="true" t="shared" si="1" ref="C17:H17">STDEV(C10:C15)/(6)^0.5</f>
        <v>0.6540472290096417</v>
      </c>
      <c r="D17" s="20">
        <f t="shared" si="1"/>
        <v>1.498147003616714</v>
      </c>
      <c r="E17" s="20">
        <f t="shared" si="1"/>
        <v>1.9663841605003505</v>
      </c>
      <c r="F17" s="20">
        <f t="shared" si="1"/>
        <v>1.5581327856694696</v>
      </c>
      <c r="G17" s="20">
        <f t="shared" si="1"/>
        <v>1.2823589374445044</v>
      </c>
      <c r="H17" s="21">
        <f t="shared" si="1"/>
        <v>1.542004467495998</v>
      </c>
      <c r="I17" t="s">
        <v>32</v>
      </c>
      <c r="K17" s="13" t="s">
        <v>24</v>
      </c>
      <c r="L17" s="13">
        <v>14.266666666665696</v>
      </c>
    </row>
    <row r="18" spans="1:12" ht="25.5">
      <c r="A18" s="3" t="s">
        <v>5</v>
      </c>
      <c r="B18" s="6">
        <v>2</v>
      </c>
      <c r="C18" s="12">
        <v>334</v>
      </c>
      <c r="D18" s="12">
        <v>263</v>
      </c>
      <c r="E18" s="12">
        <v>241</v>
      </c>
      <c r="F18" s="12">
        <v>162</v>
      </c>
      <c r="G18" s="12">
        <v>191</v>
      </c>
      <c r="H18" s="12">
        <v>123</v>
      </c>
      <c r="K18" s="13" t="s">
        <v>25</v>
      </c>
      <c r="L18" s="13">
        <v>0.27447812035985386</v>
      </c>
    </row>
    <row r="19" spans="1:12" ht="12.75">
      <c r="A19" s="3" t="s">
        <v>17</v>
      </c>
      <c r="B19" s="6">
        <v>2</v>
      </c>
      <c r="C19">
        <v>330.4</v>
      </c>
      <c r="D19">
        <v>264</v>
      </c>
      <c r="E19">
        <v>241.2</v>
      </c>
      <c r="F19">
        <v>155.2</v>
      </c>
      <c r="G19">
        <v>195.6</v>
      </c>
      <c r="H19">
        <v>124.8</v>
      </c>
      <c r="K19" s="13" t="s">
        <v>26</v>
      </c>
      <c r="L19" s="13">
        <v>-0.24743148701571588</v>
      </c>
    </row>
    <row r="20" spans="1:12" ht="12.75">
      <c r="A20" s="3" t="s">
        <v>17</v>
      </c>
      <c r="B20" s="6">
        <v>2</v>
      </c>
      <c r="C20">
        <v>338</v>
      </c>
      <c r="D20">
        <v>262.4</v>
      </c>
      <c r="E20">
        <v>243.2</v>
      </c>
      <c r="F20">
        <v>163.2</v>
      </c>
      <c r="G20">
        <v>190.4</v>
      </c>
      <c r="H20">
        <v>124</v>
      </c>
      <c r="K20" s="13" t="s">
        <v>27</v>
      </c>
      <c r="L20" s="13">
        <v>11</v>
      </c>
    </row>
    <row r="21" spans="1:12" ht="12.75">
      <c r="A21" s="3" t="s">
        <v>17</v>
      </c>
      <c r="B21" s="6">
        <v>2</v>
      </c>
      <c r="C21">
        <v>342.4</v>
      </c>
      <c r="D21">
        <v>270.4</v>
      </c>
      <c r="E21">
        <v>242.4</v>
      </c>
      <c r="F21">
        <v>159.6</v>
      </c>
      <c r="G21">
        <v>196.4</v>
      </c>
      <c r="H21">
        <v>122</v>
      </c>
      <c r="K21" s="13" t="s">
        <v>28</v>
      </c>
      <c r="L21" s="13">
        <v>133</v>
      </c>
    </row>
    <row r="22" spans="1:12" ht="12.75">
      <c r="A22" s="3" t="s">
        <v>17</v>
      </c>
      <c r="B22" s="6">
        <v>2</v>
      </c>
      <c r="C22">
        <v>330.4</v>
      </c>
      <c r="D22">
        <v>264.4</v>
      </c>
      <c r="E22">
        <v>248.4</v>
      </c>
      <c r="F22">
        <v>159.2</v>
      </c>
      <c r="G22">
        <v>186</v>
      </c>
      <c r="H22">
        <v>122</v>
      </c>
      <c r="K22" s="13" t="s">
        <v>29</v>
      </c>
      <c r="L22" s="13">
        <v>144</v>
      </c>
    </row>
    <row r="23" spans="1:12" ht="12.75">
      <c r="A23" s="3" t="s">
        <v>17</v>
      </c>
      <c r="B23" s="6">
        <v>2</v>
      </c>
      <c r="C23">
        <v>326</v>
      </c>
      <c r="D23">
        <v>264.8</v>
      </c>
      <c r="E23">
        <v>249.6</v>
      </c>
      <c r="F23">
        <v>162.4</v>
      </c>
      <c r="G23">
        <v>198</v>
      </c>
      <c r="H23">
        <v>117.2</v>
      </c>
      <c r="K23" s="13" t="s">
        <v>30</v>
      </c>
      <c r="L23" s="13">
        <v>832</v>
      </c>
    </row>
    <row r="24" spans="1:12" ht="26.25" thickBot="1">
      <c r="A24" s="3" t="s">
        <v>5</v>
      </c>
      <c r="B24" s="13" t="s">
        <v>19</v>
      </c>
      <c r="C24" s="16">
        <f aca="true" t="shared" si="2" ref="C24:H24">AVERAGE(C18:C23)</f>
        <v>333.5333333333333</v>
      </c>
      <c r="D24" s="17">
        <f t="shared" si="2"/>
        <v>264.8333333333333</v>
      </c>
      <c r="E24" s="17">
        <f t="shared" si="2"/>
        <v>244.29999999999998</v>
      </c>
      <c r="F24" s="17">
        <f t="shared" si="2"/>
        <v>160.26666666666668</v>
      </c>
      <c r="G24" s="17">
        <f t="shared" si="2"/>
        <v>192.9</v>
      </c>
      <c r="H24" s="18">
        <f t="shared" si="2"/>
        <v>122.16666666666667</v>
      </c>
      <c r="I24" t="s">
        <v>32</v>
      </c>
      <c r="K24" s="14" t="s">
        <v>31</v>
      </c>
      <c r="L24" s="14">
        <v>6</v>
      </c>
    </row>
    <row r="25" spans="1:9" ht="12.75">
      <c r="A25" s="3"/>
      <c r="B25" s="13" t="s">
        <v>20</v>
      </c>
      <c r="C25" s="19">
        <f aca="true" t="shared" si="3" ref="C25:H25">STDEV(C18:C23)/(6)^0.5</f>
        <v>2.416425275300546</v>
      </c>
      <c r="D25" s="20">
        <f t="shared" si="3"/>
        <v>1.1712291738943512</v>
      </c>
      <c r="E25" s="20">
        <f t="shared" si="3"/>
        <v>1.5299237453767673</v>
      </c>
      <c r="F25" s="20">
        <f t="shared" si="3"/>
        <v>1.2029593139882195</v>
      </c>
      <c r="G25" s="20">
        <f t="shared" si="3"/>
        <v>1.8531055015834046</v>
      </c>
      <c r="H25" s="21">
        <f t="shared" si="3"/>
        <v>1.0910749032236229</v>
      </c>
      <c r="I25" t="s">
        <v>32</v>
      </c>
    </row>
    <row r="26" spans="1:8" ht="12.75">
      <c r="A26" t="s">
        <v>6</v>
      </c>
      <c r="B26" s="6">
        <v>3</v>
      </c>
      <c r="C26">
        <v>267</v>
      </c>
      <c r="D26">
        <v>214</v>
      </c>
      <c r="E26">
        <v>205</v>
      </c>
      <c r="F26">
        <v>142</v>
      </c>
      <c r="G26">
        <v>169</v>
      </c>
      <c r="H26">
        <v>109</v>
      </c>
    </row>
    <row r="27" spans="1:8" ht="12.75">
      <c r="A27" t="s">
        <v>6</v>
      </c>
      <c r="B27" s="6">
        <v>3</v>
      </c>
      <c r="C27">
        <v>272</v>
      </c>
      <c r="D27">
        <v>217</v>
      </c>
      <c r="E27">
        <v>210</v>
      </c>
      <c r="F27">
        <v>136</v>
      </c>
      <c r="G27">
        <v>167</v>
      </c>
      <c r="H27">
        <v>110</v>
      </c>
    </row>
    <row r="28" spans="1:8" ht="12.75">
      <c r="A28" t="s">
        <v>6</v>
      </c>
      <c r="B28" s="6">
        <v>3</v>
      </c>
      <c r="C28">
        <v>266</v>
      </c>
      <c r="D28">
        <v>212</v>
      </c>
      <c r="E28">
        <v>206</v>
      </c>
      <c r="F28">
        <v>134</v>
      </c>
      <c r="G28">
        <v>162</v>
      </c>
      <c r="H28">
        <v>112</v>
      </c>
    </row>
    <row r="29" spans="1:8" ht="12.75">
      <c r="A29" t="s">
        <v>6</v>
      </c>
      <c r="B29" s="6">
        <v>3</v>
      </c>
      <c r="C29">
        <v>271</v>
      </c>
      <c r="D29">
        <v>213</v>
      </c>
      <c r="E29">
        <v>206</v>
      </c>
      <c r="F29">
        <v>139</v>
      </c>
      <c r="G29">
        <v>168</v>
      </c>
      <c r="H29">
        <v>110</v>
      </c>
    </row>
    <row r="30" spans="1:8" ht="12.75">
      <c r="A30" t="s">
        <v>6</v>
      </c>
      <c r="B30" s="6">
        <v>3</v>
      </c>
      <c r="C30">
        <v>262</v>
      </c>
      <c r="D30">
        <v>215</v>
      </c>
      <c r="E30">
        <v>205</v>
      </c>
      <c r="F30">
        <v>139</v>
      </c>
      <c r="G30">
        <v>173</v>
      </c>
      <c r="H30">
        <v>112</v>
      </c>
    </row>
    <row r="31" spans="1:9" ht="12.75">
      <c r="A31" t="s">
        <v>6</v>
      </c>
      <c r="B31" s="13" t="s">
        <v>19</v>
      </c>
      <c r="C31" s="16">
        <f aca="true" t="shared" si="4" ref="C31:H31">AVERAGE(C26:C30)</f>
        <v>267.6</v>
      </c>
      <c r="D31" s="17">
        <f t="shared" si="4"/>
        <v>214.2</v>
      </c>
      <c r="E31" s="17">
        <f t="shared" si="4"/>
        <v>206.4</v>
      </c>
      <c r="F31" s="17">
        <f t="shared" si="4"/>
        <v>138</v>
      </c>
      <c r="G31" s="17">
        <f t="shared" si="4"/>
        <v>167.8</v>
      </c>
      <c r="H31" s="18">
        <f t="shared" si="4"/>
        <v>110.6</v>
      </c>
      <c r="I31" t="s">
        <v>32</v>
      </c>
    </row>
    <row r="32" spans="2:9" ht="12.75">
      <c r="B32" s="13" t="s">
        <v>20</v>
      </c>
      <c r="C32" s="19">
        <f aca="true" t="shared" si="5" ref="C32:H32">STDEV(C26:C30)/(5)^0.5</f>
        <v>1.80554700852694</v>
      </c>
      <c r="D32" s="20">
        <f t="shared" si="5"/>
        <v>0.8602325267039244</v>
      </c>
      <c r="E32" s="20">
        <f t="shared" si="5"/>
        <v>0.9273618495498842</v>
      </c>
      <c r="F32" s="20">
        <f t="shared" si="5"/>
        <v>1.378404875209022</v>
      </c>
      <c r="G32" s="20">
        <f t="shared" si="5"/>
        <v>1.7720045146667707</v>
      </c>
      <c r="H32" s="21">
        <f t="shared" si="5"/>
        <v>0.5999999999998787</v>
      </c>
      <c r="I32" t="s">
        <v>32</v>
      </c>
    </row>
    <row r="33" spans="1:8" ht="12.75">
      <c r="A33" t="s">
        <v>7</v>
      </c>
      <c r="B33" s="6">
        <v>4</v>
      </c>
      <c r="C33">
        <v>217</v>
      </c>
      <c r="D33">
        <v>180</v>
      </c>
      <c r="E33">
        <v>178</v>
      </c>
      <c r="F33">
        <v>122</v>
      </c>
      <c r="G33">
        <v>149</v>
      </c>
      <c r="H33">
        <v>99</v>
      </c>
    </row>
    <row r="34" spans="1:8" ht="12.75">
      <c r="A34" t="s">
        <v>7</v>
      </c>
      <c r="B34" s="6">
        <v>4</v>
      </c>
      <c r="C34">
        <v>220</v>
      </c>
      <c r="D34">
        <v>181</v>
      </c>
      <c r="E34">
        <v>170</v>
      </c>
      <c r="F34">
        <v>122</v>
      </c>
      <c r="G34">
        <v>148</v>
      </c>
      <c r="H34">
        <v>95</v>
      </c>
    </row>
    <row r="35" spans="1:11" ht="12.75">
      <c r="A35" t="s">
        <v>7</v>
      </c>
      <c r="B35" s="6">
        <v>4</v>
      </c>
      <c r="C35">
        <v>224</v>
      </c>
      <c r="D35">
        <v>180</v>
      </c>
      <c r="E35">
        <v>173</v>
      </c>
      <c r="F35">
        <v>117</v>
      </c>
      <c r="G35">
        <v>148</v>
      </c>
      <c r="H35">
        <v>98.4</v>
      </c>
      <c r="J35" s="27"/>
      <c r="K35" s="29">
        <v>57.2</v>
      </c>
    </row>
    <row r="36" spans="1:11" ht="12.75">
      <c r="A36" t="s">
        <v>7</v>
      </c>
      <c r="B36" s="6">
        <v>4</v>
      </c>
      <c r="C36">
        <v>218</v>
      </c>
      <c r="D36">
        <v>172</v>
      </c>
      <c r="E36">
        <v>174</v>
      </c>
      <c r="F36">
        <v>118</v>
      </c>
      <c r="G36">
        <v>150</v>
      </c>
      <c r="H36">
        <v>97.2</v>
      </c>
      <c r="J36" s="30"/>
      <c r="K36" s="6">
        <v>56</v>
      </c>
    </row>
    <row r="37" spans="1:11" ht="12.75">
      <c r="A37" t="s">
        <v>7</v>
      </c>
      <c r="B37" s="6">
        <v>4</v>
      </c>
      <c r="C37">
        <v>220</v>
      </c>
      <c r="D37">
        <v>180</v>
      </c>
      <c r="E37">
        <v>170</v>
      </c>
      <c r="F37">
        <v>121</v>
      </c>
      <c r="G37">
        <v>147</v>
      </c>
      <c r="H37">
        <v>97</v>
      </c>
      <c r="J37" s="30"/>
      <c r="K37" s="6">
        <v>54</v>
      </c>
    </row>
    <row r="38" spans="1:11" ht="12.75">
      <c r="A38" t="s">
        <v>7</v>
      </c>
      <c r="B38" s="13" t="s">
        <v>19</v>
      </c>
      <c r="C38" s="16">
        <f aca="true" t="shared" si="6" ref="C38:H38">AVERAGE(C33:C37)</f>
        <v>219.8</v>
      </c>
      <c r="D38" s="17">
        <f t="shared" si="6"/>
        <v>178.6</v>
      </c>
      <c r="E38" s="17">
        <f t="shared" si="6"/>
        <v>173</v>
      </c>
      <c r="F38" s="17">
        <f t="shared" si="6"/>
        <v>120</v>
      </c>
      <c r="G38" s="17">
        <f t="shared" si="6"/>
        <v>148.4</v>
      </c>
      <c r="H38" s="18">
        <f t="shared" si="6"/>
        <v>97.32</v>
      </c>
      <c r="I38" t="s">
        <v>32</v>
      </c>
      <c r="J38" s="30"/>
      <c r="K38" s="6">
        <v>54.8</v>
      </c>
    </row>
    <row r="39" spans="2:11" ht="12.75">
      <c r="B39" s="13" t="s">
        <v>20</v>
      </c>
      <c r="C39" s="19">
        <f aca="true" t="shared" si="7" ref="C39:H39">STDEV(C33:C37)/(5)^0.5</f>
        <v>1.1999999999997575</v>
      </c>
      <c r="D39" s="20">
        <f t="shared" si="7"/>
        <v>1.66132477258379</v>
      </c>
      <c r="E39" s="20">
        <f t="shared" si="7"/>
        <v>1.4832396974191324</v>
      </c>
      <c r="F39" s="20">
        <f t="shared" si="7"/>
        <v>1.0488088481701516</v>
      </c>
      <c r="G39" s="20">
        <f t="shared" si="7"/>
        <v>0.5099019513591357</v>
      </c>
      <c r="H39" s="21">
        <f t="shared" si="7"/>
        <v>0.6887670143090779</v>
      </c>
      <c r="I39" t="s">
        <v>32</v>
      </c>
      <c r="J39" s="30"/>
      <c r="K39" s="6">
        <v>54.8</v>
      </c>
    </row>
    <row r="40" spans="10:11" ht="12.75">
      <c r="J40" s="30"/>
      <c r="K40" s="6">
        <v>52</v>
      </c>
    </row>
    <row r="41" spans="1:11" ht="12.75">
      <c r="A41" t="s">
        <v>8</v>
      </c>
      <c r="B41">
        <v>5</v>
      </c>
      <c r="C41">
        <v>181.6</v>
      </c>
      <c r="D41">
        <v>150.4</v>
      </c>
      <c r="E41">
        <v>147.6</v>
      </c>
      <c r="F41">
        <v>106.8</v>
      </c>
      <c r="G41">
        <v>125.6</v>
      </c>
      <c r="H41">
        <v>85.2</v>
      </c>
      <c r="J41" s="30"/>
      <c r="K41" s="6">
        <v>56.8</v>
      </c>
    </row>
    <row r="42" spans="1:11" ht="12.75">
      <c r="A42" t="s">
        <v>8</v>
      </c>
      <c r="B42">
        <v>5</v>
      </c>
      <c r="C42">
        <v>191.2</v>
      </c>
      <c r="D42">
        <v>147.2</v>
      </c>
      <c r="E42">
        <v>153.6</v>
      </c>
      <c r="F42">
        <v>102.4</v>
      </c>
      <c r="G42">
        <v>126.4</v>
      </c>
      <c r="H42">
        <v>86.8</v>
      </c>
      <c r="J42" s="30"/>
      <c r="K42" s="6">
        <v>56</v>
      </c>
    </row>
    <row r="43" spans="1:11" ht="12.75">
      <c r="A43" t="s">
        <v>8</v>
      </c>
      <c r="B43">
        <v>5</v>
      </c>
      <c r="C43">
        <v>187.6</v>
      </c>
      <c r="D43">
        <v>150</v>
      </c>
      <c r="E43">
        <v>153.2</v>
      </c>
      <c r="F43">
        <v>104.8</v>
      </c>
      <c r="G43">
        <v>130</v>
      </c>
      <c r="H43">
        <v>86.4</v>
      </c>
      <c r="J43" s="30"/>
      <c r="K43" s="6">
        <v>54.8</v>
      </c>
    </row>
    <row r="44" spans="1:11" ht="25.5">
      <c r="A44" t="s">
        <v>8</v>
      </c>
      <c r="B44">
        <v>5</v>
      </c>
      <c r="C44">
        <v>180</v>
      </c>
      <c r="D44">
        <v>156.4</v>
      </c>
      <c r="E44">
        <v>156</v>
      </c>
      <c r="F44">
        <v>108.8</v>
      </c>
      <c r="G44">
        <v>125.6</v>
      </c>
      <c r="H44">
        <v>83.2</v>
      </c>
      <c r="J44" s="31" t="s">
        <v>51</v>
      </c>
      <c r="K44" s="23">
        <v>54.4</v>
      </c>
    </row>
    <row r="45" spans="1:11" ht="12.75">
      <c r="A45" t="s">
        <v>8</v>
      </c>
      <c r="B45">
        <v>5</v>
      </c>
      <c r="C45">
        <v>192.8</v>
      </c>
      <c r="D45">
        <v>152.4</v>
      </c>
      <c r="E45">
        <v>148</v>
      </c>
      <c r="F45">
        <v>104</v>
      </c>
      <c r="G45">
        <v>121.2</v>
      </c>
      <c r="H45">
        <v>83.6</v>
      </c>
      <c r="J45" s="30" t="s">
        <v>52</v>
      </c>
      <c r="K45" s="6">
        <v>56.4</v>
      </c>
    </row>
    <row r="46" spans="1:11" ht="12.75">
      <c r="A46" t="s">
        <v>8</v>
      </c>
      <c r="B46">
        <v>5</v>
      </c>
      <c r="C46">
        <v>185.6</v>
      </c>
      <c r="D46">
        <v>154</v>
      </c>
      <c r="E46">
        <v>154.8</v>
      </c>
      <c r="F46">
        <v>102.4</v>
      </c>
      <c r="G46">
        <v>132</v>
      </c>
      <c r="H46">
        <v>88.8</v>
      </c>
      <c r="J46" s="30"/>
      <c r="K46" s="6">
        <v>58</v>
      </c>
    </row>
    <row r="47" spans="1:11" ht="12.75">
      <c r="A47" t="s">
        <v>8</v>
      </c>
      <c r="B47" s="13" t="s">
        <v>19</v>
      </c>
      <c r="C47" s="16">
        <f aca="true" t="shared" si="8" ref="C47:H47">AVERAGE(C41:C46)</f>
        <v>186.46666666666667</v>
      </c>
      <c r="D47" s="17">
        <f t="shared" si="8"/>
        <v>151.73333333333332</v>
      </c>
      <c r="E47" s="17">
        <f t="shared" si="8"/>
        <v>152.20000000000002</v>
      </c>
      <c r="F47" s="17">
        <f t="shared" si="8"/>
        <v>104.86666666666666</v>
      </c>
      <c r="G47" s="17">
        <f t="shared" si="8"/>
        <v>126.80000000000001</v>
      </c>
      <c r="H47" s="18">
        <f t="shared" si="8"/>
        <v>85.66666666666664</v>
      </c>
      <c r="I47" t="s">
        <v>32</v>
      </c>
      <c r="J47" s="30"/>
      <c r="K47" s="6">
        <v>54.8</v>
      </c>
    </row>
    <row r="48" spans="2:11" ht="12.75">
      <c r="B48" s="13" t="s">
        <v>20</v>
      </c>
      <c r="C48" s="19">
        <f aca="true" t="shared" si="9" ref="C48:H48">STDEV(C41:C46)/(6)^0.5</f>
        <v>2.082092964089847</v>
      </c>
      <c r="D48" s="20">
        <f t="shared" si="9"/>
        <v>1.3253091882444914</v>
      </c>
      <c r="E48" s="20">
        <f t="shared" si="9"/>
        <v>1.4486775578666204</v>
      </c>
      <c r="F48" s="20">
        <f t="shared" si="9"/>
        <v>1.0349449797508714</v>
      </c>
      <c r="G48" s="20">
        <f t="shared" si="9"/>
        <v>1.5457468529266414</v>
      </c>
      <c r="H48" s="21">
        <f t="shared" si="9"/>
        <v>0.8604908160144219</v>
      </c>
      <c r="I48" t="s">
        <v>32</v>
      </c>
      <c r="J48" s="30"/>
      <c r="K48" s="6">
        <v>59.2</v>
      </c>
    </row>
    <row r="49" spans="1:11" ht="12.75">
      <c r="A49" t="s">
        <v>9</v>
      </c>
      <c r="B49">
        <v>6</v>
      </c>
      <c r="C49">
        <v>158.8</v>
      </c>
      <c r="D49">
        <v>133.2</v>
      </c>
      <c r="E49">
        <v>132</v>
      </c>
      <c r="F49">
        <v>96.8</v>
      </c>
      <c r="G49">
        <v>114</v>
      </c>
      <c r="H49">
        <v>79.6</v>
      </c>
      <c r="J49" s="30"/>
      <c r="K49" s="6">
        <v>59.2</v>
      </c>
    </row>
    <row r="50" spans="1:11" ht="12.75">
      <c r="A50" t="s">
        <v>9</v>
      </c>
      <c r="B50">
        <v>6</v>
      </c>
      <c r="C50">
        <v>161.2</v>
      </c>
      <c r="D50">
        <v>132</v>
      </c>
      <c r="E50">
        <v>129.8</v>
      </c>
      <c r="F50">
        <v>92.8</v>
      </c>
      <c r="G50">
        <v>108.8</v>
      </c>
      <c r="H50">
        <v>80</v>
      </c>
      <c r="J50" s="30"/>
      <c r="K50" s="6">
        <v>54</v>
      </c>
    </row>
    <row r="51" spans="1:11" ht="12.75">
      <c r="A51" t="s">
        <v>9</v>
      </c>
      <c r="B51">
        <v>6</v>
      </c>
      <c r="C51">
        <v>165.2</v>
      </c>
      <c r="D51">
        <v>130.8</v>
      </c>
      <c r="E51">
        <v>136</v>
      </c>
      <c r="F51">
        <v>92.4</v>
      </c>
      <c r="G51">
        <v>109.2</v>
      </c>
      <c r="H51">
        <v>75.6</v>
      </c>
      <c r="J51" s="30"/>
      <c r="K51" s="6">
        <v>56</v>
      </c>
    </row>
    <row r="52" spans="1:11" ht="12.75">
      <c r="A52" t="s">
        <v>9</v>
      </c>
      <c r="B52">
        <v>6</v>
      </c>
      <c r="C52">
        <v>171.2</v>
      </c>
      <c r="D52">
        <v>133.6</v>
      </c>
      <c r="E52">
        <v>132</v>
      </c>
      <c r="F52">
        <v>92</v>
      </c>
      <c r="G52">
        <v>115.6</v>
      </c>
      <c r="H52">
        <v>80.8</v>
      </c>
      <c r="J52" s="30"/>
      <c r="K52" s="6">
        <v>54.8</v>
      </c>
    </row>
    <row r="53" spans="1:11" ht="12.75">
      <c r="A53" t="s">
        <v>9</v>
      </c>
      <c r="B53">
        <v>6</v>
      </c>
      <c r="C53">
        <v>160</v>
      </c>
      <c r="D53">
        <v>134</v>
      </c>
      <c r="E53">
        <v>128.8</v>
      </c>
      <c r="F53">
        <v>93.6</v>
      </c>
      <c r="G53">
        <v>112</v>
      </c>
      <c r="H53">
        <v>78.4</v>
      </c>
      <c r="J53" s="30"/>
      <c r="K53" s="6">
        <v>56</v>
      </c>
    </row>
    <row r="54" spans="1:11" ht="12.75">
      <c r="A54" t="s">
        <v>9</v>
      </c>
      <c r="B54">
        <v>6</v>
      </c>
      <c r="C54">
        <v>163.2</v>
      </c>
      <c r="D54">
        <v>136.4</v>
      </c>
      <c r="E54">
        <v>133.6</v>
      </c>
      <c r="F54">
        <v>95.6</v>
      </c>
      <c r="G54">
        <v>116</v>
      </c>
      <c r="H54">
        <v>76.4</v>
      </c>
      <c r="J54" s="30"/>
      <c r="K54" s="23">
        <v>57.2</v>
      </c>
    </row>
    <row r="55" spans="1:12" ht="12.75">
      <c r="A55" t="s">
        <v>9</v>
      </c>
      <c r="B55" s="13" t="s">
        <v>19</v>
      </c>
      <c r="C55" s="16">
        <f aca="true" t="shared" si="10" ref="C55:H55">AVERAGE(C49:C54)</f>
        <v>163.26666666666665</v>
      </c>
      <c r="D55" s="17">
        <f t="shared" si="10"/>
        <v>133.33333333333334</v>
      </c>
      <c r="E55" s="17">
        <f t="shared" si="10"/>
        <v>132.03333333333333</v>
      </c>
      <c r="F55" s="17">
        <f t="shared" si="10"/>
        <v>93.86666666666667</v>
      </c>
      <c r="G55" s="17">
        <f t="shared" si="10"/>
        <v>112.60000000000001</v>
      </c>
      <c r="H55" s="18">
        <f t="shared" si="10"/>
        <v>78.46666666666665</v>
      </c>
      <c r="I55" t="s">
        <v>32</v>
      </c>
      <c r="J55" s="30"/>
      <c r="K55" s="34">
        <f>AVERAGE(K35:K49)</f>
        <v>55.89333333333334</v>
      </c>
      <c r="L55" s="12"/>
    </row>
    <row r="56" spans="2:12" ht="12.75">
      <c r="B56" s="13" t="s">
        <v>20</v>
      </c>
      <c r="C56" s="19">
        <f aca="true" t="shared" si="11" ref="C56:H56">STDEV(C49:C54)/(6)^0.5</f>
        <v>1.8400483085445858</v>
      </c>
      <c r="D56" s="20">
        <f t="shared" si="11"/>
        <v>0.7774602526459986</v>
      </c>
      <c r="E56" s="20">
        <f t="shared" si="11"/>
        <v>1.0588253449516671</v>
      </c>
      <c r="F56" s="20">
        <f t="shared" si="11"/>
        <v>0.7842901957254322</v>
      </c>
      <c r="G56" s="20">
        <f t="shared" si="11"/>
        <v>1.2764534199621245</v>
      </c>
      <c r="H56" s="21">
        <f t="shared" si="11"/>
        <v>0.8480041928619024</v>
      </c>
      <c r="I56" t="s">
        <v>32</v>
      </c>
      <c r="J56" s="32"/>
      <c r="K56" s="21">
        <f>STDEV(K35:K49)/(20)^0.5</f>
        <v>0.4426758461468862</v>
      </c>
      <c r="L56" s="12"/>
    </row>
    <row r="59" spans="5:13" ht="12.75">
      <c r="E59" t="s">
        <v>2</v>
      </c>
      <c r="J59" t="s">
        <v>53</v>
      </c>
      <c r="M59" s="36">
        <f>K55/6</f>
        <v>9.315555555555557</v>
      </c>
    </row>
    <row r="60" spans="1:13" ht="25.5">
      <c r="A60" s="3" t="s">
        <v>4</v>
      </c>
      <c r="B60" s="13" t="s">
        <v>19</v>
      </c>
      <c r="C60" s="16">
        <v>454.8333333333333</v>
      </c>
      <c r="D60" s="17">
        <v>338.6666666666667</v>
      </c>
      <c r="E60" s="17">
        <v>299</v>
      </c>
      <c r="F60" s="17">
        <v>184.16666666666666</v>
      </c>
      <c r="G60" s="17">
        <v>228.33333333333334</v>
      </c>
      <c r="H60" s="18">
        <v>138.66666666666666</v>
      </c>
      <c r="I60" t="s">
        <v>32</v>
      </c>
      <c r="M60" s="36">
        <f>K56/K55*M59</f>
        <v>0.07377930769114771</v>
      </c>
    </row>
    <row r="61" spans="2:9" ht="12.75">
      <c r="B61" s="13" t="s">
        <v>20</v>
      </c>
      <c r="C61" s="19">
        <v>0.6540472290096417</v>
      </c>
      <c r="D61" s="20">
        <v>1.498147003616714</v>
      </c>
      <c r="E61" s="20">
        <v>1.9663841605003505</v>
      </c>
      <c r="F61" s="20">
        <v>1.5581327856694696</v>
      </c>
      <c r="G61" s="20">
        <v>1.2823589374445044</v>
      </c>
      <c r="H61" s="21">
        <v>1.542004467495998</v>
      </c>
      <c r="I61" t="s">
        <v>32</v>
      </c>
    </row>
    <row r="62" spans="1:13" ht="25.5">
      <c r="A62" s="3" t="s">
        <v>5</v>
      </c>
      <c r="B62" s="13" t="s">
        <v>19</v>
      </c>
      <c r="C62" s="16">
        <v>333.5333333333333</v>
      </c>
      <c r="D62" s="17">
        <v>264.8333333333333</v>
      </c>
      <c r="E62" s="17">
        <v>244.3</v>
      </c>
      <c r="F62" s="17">
        <v>160.26666666666668</v>
      </c>
      <c r="G62" s="17">
        <v>192.9</v>
      </c>
      <c r="H62" s="18">
        <v>122.16666666666667</v>
      </c>
      <c r="I62" t="s">
        <v>32</v>
      </c>
      <c r="M62">
        <f>M59/8</f>
        <v>1.1644444444444446</v>
      </c>
    </row>
    <row r="63" spans="1:9" ht="12.75">
      <c r="A63" s="3"/>
      <c r="B63" s="13" t="s">
        <v>20</v>
      </c>
      <c r="C63" s="19">
        <v>2.416425275300546</v>
      </c>
      <c r="D63" s="20">
        <v>1.1712291738943512</v>
      </c>
      <c r="E63" s="20">
        <v>1.5299237453767673</v>
      </c>
      <c r="F63" s="20">
        <v>1.2029593139882195</v>
      </c>
      <c r="G63" s="20">
        <v>1.8531055015834046</v>
      </c>
      <c r="H63" s="21">
        <v>1.0910749032236229</v>
      </c>
      <c r="I63" t="s">
        <v>32</v>
      </c>
    </row>
    <row r="64" spans="1:13" ht="12.75">
      <c r="A64" t="s">
        <v>6</v>
      </c>
      <c r="B64" s="13" t="s">
        <v>19</v>
      </c>
      <c r="C64" s="16">
        <v>267.6</v>
      </c>
      <c r="D64" s="17">
        <v>214.2</v>
      </c>
      <c r="E64" s="17">
        <v>206.4</v>
      </c>
      <c r="F64" s="17">
        <v>138</v>
      </c>
      <c r="G64" s="17">
        <v>167.8</v>
      </c>
      <c r="H64" s="18">
        <v>110.6</v>
      </c>
      <c r="I64" t="s">
        <v>32</v>
      </c>
      <c r="M64">
        <f>M62*480</f>
        <v>558.9333333333334</v>
      </c>
    </row>
    <row r="65" spans="2:9" ht="12.75">
      <c r="B65" s="13" t="s">
        <v>20</v>
      </c>
      <c r="C65" s="19">
        <v>1.80554700852694</v>
      </c>
      <c r="D65" s="20">
        <v>0.8602325267039244</v>
      </c>
      <c r="E65" s="20">
        <v>0.9273618495498842</v>
      </c>
      <c r="F65" s="20">
        <v>1.378404875209022</v>
      </c>
      <c r="G65" s="20">
        <v>1.7720045146667707</v>
      </c>
      <c r="H65" s="21">
        <v>0.5999999999998787</v>
      </c>
      <c r="I65" t="s">
        <v>32</v>
      </c>
    </row>
    <row r="66" spans="1:9" ht="12.75">
      <c r="A66" t="s">
        <v>7</v>
      </c>
      <c r="B66" s="13" t="s">
        <v>19</v>
      </c>
      <c r="C66" s="16">
        <v>219.8</v>
      </c>
      <c r="D66" s="17">
        <v>178.6</v>
      </c>
      <c r="E66" s="17">
        <v>173</v>
      </c>
      <c r="F66" s="17">
        <v>120</v>
      </c>
      <c r="G66" s="17">
        <v>148.4</v>
      </c>
      <c r="H66" s="18">
        <v>97.32</v>
      </c>
      <c r="I66" t="s">
        <v>32</v>
      </c>
    </row>
    <row r="67" spans="2:9" ht="12.75">
      <c r="B67" s="13" t="s">
        <v>20</v>
      </c>
      <c r="C67" s="19">
        <v>1.1999999999997575</v>
      </c>
      <c r="D67" s="20">
        <v>1.66132477258379</v>
      </c>
      <c r="E67" s="20">
        <v>1.4832396974191324</v>
      </c>
      <c r="F67" s="20">
        <v>1.0488088481701516</v>
      </c>
      <c r="G67" s="20">
        <v>0.5099019513591357</v>
      </c>
      <c r="H67" s="21">
        <v>0.6887670143090779</v>
      </c>
      <c r="I67" t="s">
        <v>32</v>
      </c>
    </row>
    <row r="68" spans="1:9" ht="12.75">
      <c r="A68" t="s">
        <v>8</v>
      </c>
      <c r="B68" s="13" t="s">
        <v>19</v>
      </c>
      <c r="C68" s="16">
        <v>186.46666666666667</v>
      </c>
      <c r="D68" s="17">
        <v>151.73333333333332</v>
      </c>
      <c r="E68" s="17">
        <v>152.2</v>
      </c>
      <c r="F68" s="17">
        <v>104.86666666666666</v>
      </c>
      <c r="G68" s="17">
        <v>126.8</v>
      </c>
      <c r="H68" s="18">
        <v>85.66666666666664</v>
      </c>
      <c r="I68" t="s">
        <v>32</v>
      </c>
    </row>
    <row r="69" spans="2:9" ht="12.75">
      <c r="B69" s="13" t="s">
        <v>20</v>
      </c>
      <c r="C69" s="19">
        <v>2.082092964089847</v>
      </c>
      <c r="D69" s="20">
        <v>1.3253091882444914</v>
      </c>
      <c r="E69" s="20">
        <v>1.4486775578666204</v>
      </c>
      <c r="F69" s="20">
        <v>1.0349449797508714</v>
      </c>
      <c r="G69" s="20">
        <v>1.5457468529266414</v>
      </c>
      <c r="H69" s="21">
        <v>0.8604908160144219</v>
      </c>
      <c r="I69" t="s">
        <v>32</v>
      </c>
    </row>
    <row r="70" spans="1:9" ht="12.75">
      <c r="A70" t="s">
        <v>9</v>
      </c>
      <c r="B70" s="13" t="s">
        <v>19</v>
      </c>
      <c r="C70" s="16">
        <v>163.26666666666665</v>
      </c>
      <c r="D70" s="17">
        <v>133.33333333333334</v>
      </c>
      <c r="E70" s="17">
        <v>132.03333333333333</v>
      </c>
      <c r="F70" s="17">
        <v>93.86666666666667</v>
      </c>
      <c r="G70" s="17">
        <v>112.6</v>
      </c>
      <c r="H70" s="18">
        <v>78.46666666666665</v>
      </c>
      <c r="I70" t="s">
        <v>32</v>
      </c>
    </row>
    <row r="71" spans="2:9" ht="12.75">
      <c r="B71" s="13" t="s">
        <v>20</v>
      </c>
      <c r="C71" s="19">
        <v>1.8400483085445858</v>
      </c>
      <c r="D71" s="20">
        <v>0.7774602526459986</v>
      </c>
      <c r="E71" s="20">
        <v>1.0588253449516671</v>
      </c>
      <c r="F71" s="20">
        <v>0.7842901957254322</v>
      </c>
      <c r="G71" s="20">
        <v>1.2764534199621245</v>
      </c>
      <c r="H71" s="21">
        <v>0.8480041928619024</v>
      </c>
      <c r="I71" t="s">
        <v>32</v>
      </c>
    </row>
    <row r="73" ht="12.75">
      <c r="D73" t="s">
        <v>54</v>
      </c>
    </row>
    <row r="74" ht="12.75">
      <c r="E74" t="s">
        <v>2</v>
      </c>
    </row>
    <row r="75" spans="1:9" ht="25.5">
      <c r="A75" s="3" t="s">
        <v>4</v>
      </c>
      <c r="B75" s="13" t="s">
        <v>19</v>
      </c>
      <c r="C75" s="16">
        <f aca="true" t="shared" si="12" ref="C75:H75">C60-$M$59</f>
        <v>445.5177777777778</v>
      </c>
      <c r="D75" s="16">
        <f t="shared" si="12"/>
        <v>329.35111111111115</v>
      </c>
      <c r="E75" s="16">
        <f t="shared" si="12"/>
        <v>289.68444444444447</v>
      </c>
      <c r="F75" s="16">
        <f t="shared" si="12"/>
        <v>174.8511111111111</v>
      </c>
      <c r="G75" s="16">
        <f t="shared" si="12"/>
        <v>219.01777777777778</v>
      </c>
      <c r="H75" s="16">
        <f t="shared" si="12"/>
        <v>129.3511111111111</v>
      </c>
      <c r="I75" t="s">
        <v>32</v>
      </c>
    </row>
    <row r="76" spans="2:9" ht="12.75">
      <c r="B76" s="13" t="s">
        <v>20</v>
      </c>
      <c r="C76" s="19">
        <v>0.6540472290096417</v>
      </c>
      <c r="D76" s="20">
        <v>1.498147003616714</v>
      </c>
      <c r="E76" s="20">
        <v>1.9663841605003505</v>
      </c>
      <c r="F76" s="20">
        <v>1.5581327856694696</v>
      </c>
      <c r="G76" s="20">
        <v>1.2823589374445044</v>
      </c>
      <c r="H76" s="21">
        <v>1.542004467495998</v>
      </c>
      <c r="I76" t="s">
        <v>32</v>
      </c>
    </row>
    <row r="77" spans="1:9" ht="25.5">
      <c r="A77" s="3" t="s">
        <v>5</v>
      </c>
      <c r="B77" s="13" t="s">
        <v>19</v>
      </c>
      <c r="C77" s="16">
        <f aca="true" t="shared" si="13" ref="C77:H77">C62-$M$59</f>
        <v>324.21777777777777</v>
      </c>
      <c r="D77" s="16">
        <f t="shared" si="13"/>
        <v>255.51777777777775</v>
      </c>
      <c r="E77" s="16">
        <f t="shared" si="13"/>
        <v>234.98444444444445</v>
      </c>
      <c r="F77" s="16">
        <f t="shared" si="13"/>
        <v>150.95111111111112</v>
      </c>
      <c r="G77" s="16">
        <f t="shared" si="13"/>
        <v>183.58444444444444</v>
      </c>
      <c r="H77" s="16">
        <f t="shared" si="13"/>
        <v>112.85111111111111</v>
      </c>
      <c r="I77" t="s">
        <v>32</v>
      </c>
    </row>
    <row r="78" spans="1:9" ht="12.75">
      <c r="A78" s="3"/>
      <c r="B78" s="13" t="s">
        <v>20</v>
      </c>
      <c r="C78" s="19">
        <v>2.416425275300546</v>
      </c>
      <c r="D78" s="20">
        <v>1.1712291738943512</v>
      </c>
      <c r="E78" s="20">
        <v>1.5299237453767673</v>
      </c>
      <c r="F78" s="20">
        <v>1.2029593139882195</v>
      </c>
      <c r="G78" s="20">
        <v>1.8531055015834046</v>
      </c>
      <c r="H78" s="21">
        <v>1.0910749032236229</v>
      </c>
      <c r="I78" t="s">
        <v>32</v>
      </c>
    </row>
    <row r="79" spans="1:9" ht="12.75">
      <c r="A79" t="s">
        <v>6</v>
      </c>
      <c r="B79" s="13" t="s">
        <v>19</v>
      </c>
      <c r="C79" s="16">
        <f aca="true" t="shared" si="14" ref="C79:H79">C64-$M$59</f>
        <v>258.2844444444445</v>
      </c>
      <c r="D79" s="16">
        <f t="shared" si="14"/>
        <v>204.88444444444443</v>
      </c>
      <c r="E79" s="16">
        <f t="shared" si="14"/>
        <v>197.08444444444444</v>
      </c>
      <c r="F79" s="16">
        <f t="shared" si="14"/>
        <v>128.68444444444444</v>
      </c>
      <c r="G79" s="16">
        <f t="shared" si="14"/>
        <v>158.48444444444445</v>
      </c>
      <c r="H79" s="16">
        <f t="shared" si="14"/>
        <v>101.28444444444443</v>
      </c>
      <c r="I79" t="s">
        <v>32</v>
      </c>
    </row>
    <row r="80" spans="2:9" ht="12.75">
      <c r="B80" s="13" t="s">
        <v>20</v>
      </c>
      <c r="C80" s="19">
        <v>1.80554700852694</v>
      </c>
      <c r="D80" s="20">
        <v>0.8602325267039244</v>
      </c>
      <c r="E80" s="20">
        <v>0.9273618495498842</v>
      </c>
      <c r="F80" s="20">
        <v>1.378404875209022</v>
      </c>
      <c r="G80" s="20">
        <v>1.7720045146667707</v>
      </c>
      <c r="H80" s="21">
        <v>0.5999999999998787</v>
      </c>
      <c r="I80" t="s">
        <v>32</v>
      </c>
    </row>
    <row r="81" spans="1:9" ht="12.75">
      <c r="A81" t="s">
        <v>7</v>
      </c>
      <c r="B81" s="13" t="s">
        <v>19</v>
      </c>
      <c r="C81" s="16">
        <f aca="true" t="shared" si="15" ref="C81:H81">C66-$M$59</f>
        <v>210.48444444444445</v>
      </c>
      <c r="D81" s="16">
        <f t="shared" si="15"/>
        <v>169.28444444444443</v>
      </c>
      <c r="E81" s="16">
        <f t="shared" si="15"/>
        <v>163.68444444444444</v>
      </c>
      <c r="F81" s="16">
        <f t="shared" si="15"/>
        <v>110.68444444444444</v>
      </c>
      <c r="G81" s="16">
        <f t="shared" si="15"/>
        <v>139.08444444444444</v>
      </c>
      <c r="H81" s="16">
        <f t="shared" si="15"/>
        <v>88.00444444444443</v>
      </c>
      <c r="I81" t="s">
        <v>32</v>
      </c>
    </row>
    <row r="82" spans="2:9" ht="12.75">
      <c r="B82" s="13" t="s">
        <v>20</v>
      </c>
      <c r="C82" s="19">
        <v>1.1999999999997575</v>
      </c>
      <c r="D82" s="20">
        <v>1.66132477258379</v>
      </c>
      <c r="E82" s="20">
        <v>1.4832396974191324</v>
      </c>
      <c r="F82" s="20">
        <v>1.0488088481701516</v>
      </c>
      <c r="G82" s="20">
        <v>0.5099019513591357</v>
      </c>
      <c r="H82" s="21">
        <v>0.6887670143090779</v>
      </c>
      <c r="I82" t="s">
        <v>32</v>
      </c>
    </row>
    <row r="83" spans="1:9" ht="12.75">
      <c r="A83" t="s">
        <v>8</v>
      </c>
      <c r="B83" s="13" t="s">
        <v>19</v>
      </c>
      <c r="C83" s="16">
        <f aca="true" t="shared" si="16" ref="C83:H83">C68-$M$59</f>
        <v>177.1511111111111</v>
      </c>
      <c r="D83" s="16">
        <f t="shared" si="16"/>
        <v>142.41777777777776</v>
      </c>
      <c r="E83" s="16">
        <f t="shared" si="16"/>
        <v>142.88444444444443</v>
      </c>
      <c r="F83" s="16">
        <f t="shared" si="16"/>
        <v>95.5511111111111</v>
      </c>
      <c r="G83" s="16">
        <f t="shared" si="16"/>
        <v>117.48444444444443</v>
      </c>
      <c r="H83" s="16">
        <f t="shared" si="16"/>
        <v>76.35111111111108</v>
      </c>
      <c r="I83" t="s">
        <v>32</v>
      </c>
    </row>
    <row r="84" spans="2:9" ht="12.75">
      <c r="B84" s="13" t="s">
        <v>20</v>
      </c>
      <c r="C84" s="19">
        <v>2.082092964089847</v>
      </c>
      <c r="D84" s="20">
        <v>1.3253091882444914</v>
      </c>
      <c r="E84" s="20">
        <v>1.4486775578666204</v>
      </c>
      <c r="F84" s="20">
        <v>1.0349449797508714</v>
      </c>
      <c r="G84" s="20">
        <v>1.5457468529266414</v>
      </c>
      <c r="H84" s="21">
        <v>0.8604908160144219</v>
      </c>
      <c r="I84" t="s">
        <v>32</v>
      </c>
    </row>
    <row r="85" spans="1:9" ht="12.75">
      <c r="A85" t="s">
        <v>9</v>
      </c>
      <c r="B85" s="13" t="s">
        <v>19</v>
      </c>
      <c r="C85" s="16">
        <f aca="true" t="shared" si="17" ref="C85:H85">C70-$M$59</f>
        <v>153.9511111111111</v>
      </c>
      <c r="D85" s="16">
        <f t="shared" si="17"/>
        <v>124.01777777777778</v>
      </c>
      <c r="E85" s="16">
        <f t="shared" si="17"/>
        <v>122.71777777777777</v>
      </c>
      <c r="F85" s="16">
        <f t="shared" si="17"/>
        <v>84.55111111111111</v>
      </c>
      <c r="G85" s="16">
        <f t="shared" si="17"/>
        <v>103.28444444444443</v>
      </c>
      <c r="H85" s="16">
        <f t="shared" si="17"/>
        <v>69.15111111111109</v>
      </c>
      <c r="I85" t="s">
        <v>32</v>
      </c>
    </row>
    <row r="86" spans="2:9" ht="12.75">
      <c r="B86" s="13" t="s">
        <v>20</v>
      </c>
      <c r="C86" s="19">
        <v>1.8400483085445858</v>
      </c>
      <c r="D86" s="20">
        <v>0.7774602526459986</v>
      </c>
      <c r="E86" s="20">
        <v>1.0588253449516671</v>
      </c>
      <c r="F86" s="20">
        <v>0.7842901957254322</v>
      </c>
      <c r="G86" s="20">
        <v>1.2764534199621245</v>
      </c>
      <c r="H86" s="21">
        <v>0.8480041928619024</v>
      </c>
      <c r="I86" t="s">
        <v>32</v>
      </c>
    </row>
  </sheetData>
  <autoFilter ref="A8:I56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5" sqref="O15"/>
    </sheetView>
  </sheetViews>
  <sheetFormatPr defaultColWidth="9.140625" defaultRowHeight="12.75"/>
  <cols>
    <col min="13" max="13" width="11.57421875" style="0" customWidth="1"/>
  </cols>
  <sheetData/>
  <printOptions/>
  <pageMargins left="0.75" right="0.75" top="1" bottom="1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AC137"/>
  <sheetViews>
    <sheetView tabSelected="1" workbookViewId="0" topLeftCell="B43">
      <selection activeCell="B52" sqref="B52:O67"/>
    </sheetView>
  </sheetViews>
  <sheetFormatPr defaultColWidth="9.140625" defaultRowHeight="12.75"/>
  <cols>
    <col min="4" max="4" width="9.7109375" style="0" customWidth="1"/>
    <col min="6" max="6" width="9.7109375" style="0" customWidth="1"/>
    <col min="11" max="11" width="8.57421875" style="0" customWidth="1"/>
    <col min="13" max="13" width="9.57421875" style="0" bestFit="1" customWidth="1"/>
  </cols>
  <sheetData>
    <row r="4" spans="3:4" ht="18">
      <c r="C4" s="10" t="s">
        <v>10</v>
      </c>
      <c r="D4" s="9"/>
    </row>
    <row r="7" ht="12.75">
      <c r="D7" s="9"/>
    </row>
    <row r="41" ht="12.75">
      <c r="O41" t="s">
        <v>64</v>
      </c>
    </row>
    <row r="42" spans="15:17" ht="12.75">
      <c r="O42" s="27"/>
      <c r="P42" s="28"/>
      <c r="Q42" s="29"/>
    </row>
    <row r="43" spans="15:17" ht="12.75">
      <c r="O43" s="30" t="s">
        <v>48</v>
      </c>
      <c r="P43" s="8"/>
      <c r="Q43" s="6" t="s">
        <v>71</v>
      </c>
    </row>
    <row r="44" spans="15:17" ht="12.75">
      <c r="O44" s="30">
        <v>0.9536455666437542</v>
      </c>
      <c r="P44" s="8" t="s">
        <v>49</v>
      </c>
      <c r="Q44" s="6"/>
    </row>
    <row r="45" spans="15:17" ht="12.75">
      <c r="O45" s="30">
        <v>0.04635443335624578</v>
      </c>
      <c r="P45" s="8" t="s">
        <v>46</v>
      </c>
      <c r="Q45" s="6"/>
    </row>
    <row r="46" spans="15:17" ht="12.75">
      <c r="O46" s="32">
        <v>0.0474632</v>
      </c>
      <c r="P46" s="4" t="s">
        <v>47</v>
      </c>
      <c r="Q46" s="23"/>
    </row>
    <row r="47" spans="14:15" ht="12.75">
      <c r="N47" t="s">
        <v>65</v>
      </c>
      <c r="O47" t="s">
        <v>66</v>
      </c>
    </row>
    <row r="48" ht="12.75">
      <c r="O48" t="s">
        <v>50</v>
      </c>
    </row>
    <row r="53" spans="5:8" ht="12.75">
      <c r="E53" t="s">
        <v>69</v>
      </c>
      <c r="H53" t="s">
        <v>55</v>
      </c>
    </row>
    <row r="54" ht="12.75">
      <c r="H54" t="s">
        <v>58</v>
      </c>
    </row>
    <row r="55" spans="8:14" ht="12.75">
      <c r="H55" t="s">
        <v>59</v>
      </c>
      <c r="L55" s="24" t="s">
        <v>33</v>
      </c>
      <c r="M55" t="s">
        <v>45</v>
      </c>
      <c r="N55" t="s">
        <v>39</v>
      </c>
    </row>
    <row r="56" spans="3:14" ht="12.75">
      <c r="C56" t="s">
        <v>11</v>
      </c>
      <c r="F56">
        <v>3.16</v>
      </c>
      <c r="G56" t="s">
        <v>12</v>
      </c>
      <c r="L56">
        <v>0</v>
      </c>
      <c r="M56">
        <f>$F$65/($F$63+(15.66+9.52/2)+L56*(15.66+9.52))</f>
        <v>2.30603448275862</v>
      </c>
      <c r="N56">
        <f>M56/$M$56</f>
        <v>1</v>
      </c>
    </row>
    <row r="57" spans="12:14" ht="12.75">
      <c r="L57">
        <v>1</v>
      </c>
      <c r="M57">
        <f aca="true" t="shared" si="0" ref="M57:M65">$F$65/($F$63+(15.66+9.52/2)+L57*(15.66+9.52))</f>
        <v>1.3739967897271266</v>
      </c>
      <c r="N57">
        <f aca="true" t="shared" si="1" ref="N57:N65">M57/$M$56</f>
        <v>0.5958266452648475</v>
      </c>
    </row>
    <row r="58" spans="3:14" ht="12.75">
      <c r="C58" t="s">
        <v>13</v>
      </c>
      <c r="F58">
        <v>50.56</v>
      </c>
      <c r="G58" t="s">
        <v>12</v>
      </c>
      <c r="L58">
        <v>2</v>
      </c>
      <c r="M58">
        <f t="shared" si="0"/>
        <v>0.9785093735711019</v>
      </c>
      <c r="N58">
        <f t="shared" si="1"/>
        <v>0.42432556012802936</v>
      </c>
    </row>
    <row r="59" spans="12:14" ht="12.75">
      <c r="L59">
        <v>3</v>
      </c>
      <c r="M59">
        <f t="shared" si="0"/>
        <v>0.7598082726788568</v>
      </c>
      <c r="N59">
        <f t="shared" si="1"/>
        <v>0.32948695189064453</v>
      </c>
    </row>
    <row r="60" spans="3:14" ht="12.75">
      <c r="C60" t="s">
        <v>14</v>
      </c>
      <c r="F60">
        <v>10.7</v>
      </c>
      <c r="G60" t="s">
        <v>12</v>
      </c>
      <c r="K60">
        <f>F60*8</f>
        <v>85.6</v>
      </c>
      <c r="L60">
        <v>4</v>
      </c>
      <c r="M60">
        <f t="shared" si="0"/>
        <v>0.6210098665118978</v>
      </c>
      <c r="N60">
        <f t="shared" si="1"/>
        <v>0.26929773650609407</v>
      </c>
    </row>
    <row r="61" spans="3:14" ht="12.75">
      <c r="C61" t="s">
        <v>15</v>
      </c>
      <c r="L61">
        <v>5</v>
      </c>
      <c r="M61">
        <f t="shared" si="0"/>
        <v>0.5250889461415776</v>
      </c>
      <c r="N61">
        <f t="shared" si="1"/>
        <v>0.22770212243896457</v>
      </c>
    </row>
    <row r="62" spans="12:14" ht="12.75">
      <c r="L62">
        <v>6</v>
      </c>
      <c r="M62">
        <f t="shared" si="0"/>
        <v>0.45483528161530284</v>
      </c>
      <c r="N62">
        <f t="shared" si="1"/>
        <v>0.19723698193411268</v>
      </c>
    </row>
    <row r="63" spans="2:14" ht="12.75">
      <c r="B63" t="s">
        <v>57</v>
      </c>
      <c r="C63" t="s">
        <v>16</v>
      </c>
      <c r="F63">
        <v>16.7</v>
      </c>
      <c r="G63" t="s">
        <v>12</v>
      </c>
      <c r="L63">
        <v>7</v>
      </c>
      <c r="M63">
        <f t="shared" si="0"/>
        <v>0.40116224575874027</v>
      </c>
      <c r="N63">
        <f t="shared" si="1"/>
        <v>0.17396194582435096</v>
      </c>
    </row>
    <row r="64" spans="12:14" ht="12.75">
      <c r="L64">
        <v>8</v>
      </c>
      <c r="M64">
        <f t="shared" si="0"/>
        <v>0.35881958417169685</v>
      </c>
      <c r="N64">
        <f t="shared" si="1"/>
        <v>0.15560026827632464</v>
      </c>
    </row>
    <row r="65" spans="2:14" ht="12.75">
      <c r="B65" t="s">
        <v>56</v>
      </c>
      <c r="C65" t="s">
        <v>72</v>
      </c>
      <c r="F65">
        <v>85.6</v>
      </c>
      <c r="G65" t="s">
        <v>12</v>
      </c>
      <c r="H65">
        <v>85.6</v>
      </c>
      <c r="L65">
        <v>9</v>
      </c>
      <c r="M65">
        <f t="shared" si="0"/>
        <v>0.32456206870402665</v>
      </c>
      <c r="N65">
        <f t="shared" si="1"/>
        <v>0.14074467278380226</v>
      </c>
    </row>
    <row r="68" spans="6:25" ht="12.75">
      <c r="F68" t="s">
        <v>2</v>
      </c>
      <c r="N68" s="24" t="s">
        <v>33</v>
      </c>
      <c r="O68" s="25"/>
      <c r="Q68" s="24" t="s">
        <v>34</v>
      </c>
      <c r="R68" s="25"/>
      <c r="S68" s="24" t="s">
        <v>35</v>
      </c>
      <c r="T68" s="25"/>
      <c r="U68" s="24" t="s">
        <v>36</v>
      </c>
      <c r="V68" s="25"/>
      <c r="W68" s="24" t="s">
        <v>37</v>
      </c>
      <c r="X68" s="25"/>
      <c r="Y68" s="24" t="s">
        <v>38</v>
      </c>
    </row>
    <row r="69" spans="2:25" ht="25.5">
      <c r="B69" s="3" t="s">
        <v>4</v>
      </c>
      <c r="C69" s="13" t="s">
        <v>19</v>
      </c>
      <c r="D69" s="16">
        <v>447.84666666666664</v>
      </c>
      <c r="E69" s="17">
        <v>331.68</v>
      </c>
      <c r="F69" s="17">
        <v>292.0133333333333</v>
      </c>
      <c r="G69" s="17">
        <v>177.18</v>
      </c>
      <c r="H69" s="17">
        <v>221.34666666666666</v>
      </c>
      <c r="I69" s="18">
        <v>131.68</v>
      </c>
      <c r="J69" t="s">
        <v>32</v>
      </c>
      <c r="L69" s="3" t="s">
        <v>4</v>
      </c>
      <c r="M69" s="13">
        <v>1</v>
      </c>
      <c r="N69" s="16">
        <v>447.84666666666664</v>
      </c>
      <c r="O69" s="22">
        <v>0.6540472290096417</v>
      </c>
      <c r="P69" s="17">
        <v>331.68</v>
      </c>
      <c r="Q69" s="22">
        <v>1.498147003616714</v>
      </c>
      <c r="R69" s="22">
        <v>299</v>
      </c>
      <c r="S69" s="22">
        <v>1.9663841605003505</v>
      </c>
      <c r="T69" s="22">
        <v>184.16666666666666</v>
      </c>
      <c r="U69" s="22">
        <v>1.5581327856694696</v>
      </c>
      <c r="V69" s="22">
        <v>228.33333333333334</v>
      </c>
      <c r="W69" s="22">
        <v>1.2823589374445044</v>
      </c>
      <c r="X69" s="22">
        <v>138.66666666666666</v>
      </c>
      <c r="Y69" s="22">
        <v>1.542004467495998</v>
      </c>
    </row>
    <row r="70" spans="3:25" ht="25.5">
      <c r="C70" s="13" t="s">
        <v>20</v>
      </c>
      <c r="D70" s="19">
        <v>0.6540472290096417</v>
      </c>
      <c r="E70" s="20">
        <v>1.498147003616714</v>
      </c>
      <c r="F70" s="20">
        <v>1.9663841605003505</v>
      </c>
      <c r="G70" s="20">
        <v>1.5581327856694696</v>
      </c>
      <c r="H70" s="20">
        <v>1.2823589374445044</v>
      </c>
      <c r="I70" s="21">
        <v>1.542004467495998</v>
      </c>
      <c r="J70" t="s">
        <v>32</v>
      </c>
      <c r="L70" s="3" t="s">
        <v>5</v>
      </c>
      <c r="M70" s="13">
        <v>2</v>
      </c>
      <c r="N70" s="16">
        <v>326.5466666666666</v>
      </c>
      <c r="O70" s="22">
        <v>2.416425275300546</v>
      </c>
      <c r="P70" s="17">
        <v>257.84666666666664</v>
      </c>
      <c r="Q70" s="22">
        <v>1.1712291738943512</v>
      </c>
      <c r="R70" s="22">
        <v>244.3</v>
      </c>
      <c r="S70" s="22">
        <v>1.5299237453767673</v>
      </c>
      <c r="T70" s="22">
        <v>160.26666666666668</v>
      </c>
      <c r="U70" s="22">
        <v>1.2029593139882195</v>
      </c>
      <c r="V70" s="22">
        <v>192.9</v>
      </c>
      <c r="W70" s="22">
        <v>1.8531055015834046</v>
      </c>
      <c r="X70" s="22">
        <v>122.16666666666667</v>
      </c>
      <c r="Y70" s="22">
        <v>1.0910749032236229</v>
      </c>
    </row>
    <row r="71" spans="2:25" ht="25.5">
      <c r="B71" s="3" t="s">
        <v>5</v>
      </c>
      <c r="C71" s="13" t="s">
        <v>19</v>
      </c>
      <c r="D71" s="16">
        <v>326.5466666666666</v>
      </c>
      <c r="E71" s="17">
        <v>257.84666666666664</v>
      </c>
      <c r="F71" s="17">
        <v>237.31333333333333</v>
      </c>
      <c r="G71" s="17">
        <v>153.28</v>
      </c>
      <c r="H71" s="17">
        <v>185.91333333333333</v>
      </c>
      <c r="I71" s="18">
        <v>115.18</v>
      </c>
      <c r="J71" t="s">
        <v>32</v>
      </c>
      <c r="L71" t="s">
        <v>6</v>
      </c>
      <c r="M71" s="13">
        <v>3</v>
      </c>
      <c r="N71" s="16">
        <v>260.61333333333334</v>
      </c>
      <c r="O71" s="22">
        <v>1.80554700852694</v>
      </c>
      <c r="P71" s="17">
        <v>207.2133333333333</v>
      </c>
      <c r="Q71" s="22">
        <v>0.8602325267039244</v>
      </c>
      <c r="R71" s="22">
        <v>206.4</v>
      </c>
      <c r="S71" s="22">
        <v>0.9273618495498842</v>
      </c>
      <c r="T71" s="22">
        <v>138</v>
      </c>
      <c r="U71" s="22">
        <v>1.378404875209022</v>
      </c>
      <c r="V71" s="22">
        <v>167.8</v>
      </c>
      <c r="W71" s="22">
        <v>1.7720045146667707</v>
      </c>
      <c r="X71" s="22">
        <v>110.6</v>
      </c>
      <c r="Y71" s="22">
        <v>0.5999999999998787</v>
      </c>
    </row>
    <row r="72" spans="2:25" ht="12.75">
      <c r="B72" s="3"/>
      <c r="C72" s="13" t="s">
        <v>20</v>
      </c>
      <c r="D72" s="19">
        <v>2.416425275300546</v>
      </c>
      <c r="E72" s="20">
        <v>1.1712291738943512</v>
      </c>
      <c r="F72" s="20">
        <v>1.5299237453767673</v>
      </c>
      <c r="G72" s="20">
        <v>1.2029593139882195</v>
      </c>
      <c r="H72" s="20">
        <v>1.8531055015834046</v>
      </c>
      <c r="I72" s="21">
        <v>1.0910749032236229</v>
      </c>
      <c r="J72" t="s">
        <v>32</v>
      </c>
      <c r="L72" t="s">
        <v>7</v>
      </c>
      <c r="M72" s="13">
        <v>4</v>
      </c>
      <c r="N72" s="16">
        <v>212.81333333333333</v>
      </c>
      <c r="O72" s="22">
        <v>1.1999999999997575</v>
      </c>
      <c r="P72" s="17">
        <v>171.61333333333332</v>
      </c>
      <c r="Q72" s="22">
        <v>1.66132477258379</v>
      </c>
      <c r="R72" s="22">
        <v>173</v>
      </c>
      <c r="S72" s="22">
        <v>1.4832396974191324</v>
      </c>
      <c r="T72" s="22">
        <v>120</v>
      </c>
      <c r="U72" s="22">
        <v>1.0488088481701516</v>
      </c>
      <c r="V72" s="22">
        <v>148.4</v>
      </c>
      <c r="W72" s="22">
        <v>0.5099019513591357</v>
      </c>
      <c r="X72" s="22">
        <v>97.32</v>
      </c>
      <c r="Y72" s="22">
        <v>0.6887670143090779</v>
      </c>
    </row>
    <row r="73" spans="2:25" ht="12.75">
      <c r="B73" t="s">
        <v>6</v>
      </c>
      <c r="C73" s="13" t="s">
        <v>19</v>
      </c>
      <c r="D73" s="16">
        <v>260.61333333333334</v>
      </c>
      <c r="E73" s="17">
        <v>207.2133333333333</v>
      </c>
      <c r="F73" s="17">
        <v>199.41333333333333</v>
      </c>
      <c r="G73" s="17">
        <v>131.01333333333332</v>
      </c>
      <c r="H73" s="17">
        <v>160.81333333333333</v>
      </c>
      <c r="I73" s="18">
        <v>103.61333333333333</v>
      </c>
      <c r="J73" t="s">
        <v>32</v>
      </c>
      <c r="L73" t="s">
        <v>8</v>
      </c>
      <c r="M73" s="13">
        <v>5</v>
      </c>
      <c r="N73" s="16">
        <v>179.48</v>
      </c>
      <c r="O73" s="22">
        <v>2.082092964089847</v>
      </c>
      <c r="P73" s="17">
        <v>144.74666666666664</v>
      </c>
      <c r="Q73" s="22">
        <v>1.3253091882444914</v>
      </c>
      <c r="R73" s="22">
        <v>152.2</v>
      </c>
      <c r="S73" s="22">
        <v>1.4486775578666204</v>
      </c>
      <c r="T73" s="22">
        <v>104.86666666666666</v>
      </c>
      <c r="U73" s="22">
        <v>1.0349449797508714</v>
      </c>
      <c r="V73" s="22">
        <v>126.8</v>
      </c>
      <c r="W73" s="22">
        <v>1.5457468529266414</v>
      </c>
      <c r="X73" s="22">
        <v>85.66666666666664</v>
      </c>
      <c r="Y73" s="22">
        <v>0.8604908160144219</v>
      </c>
    </row>
    <row r="74" spans="3:25" ht="12.75">
      <c r="C74" s="13" t="s">
        <v>20</v>
      </c>
      <c r="D74" s="19">
        <v>1.80554700852694</v>
      </c>
      <c r="E74" s="20">
        <v>0.8602325267039244</v>
      </c>
      <c r="F74" s="20">
        <v>0.9273618495498842</v>
      </c>
      <c r="G74" s="20">
        <v>1.378404875209022</v>
      </c>
      <c r="H74" s="20">
        <v>1.7720045146667707</v>
      </c>
      <c r="I74" s="21">
        <v>0.5999999999998787</v>
      </c>
      <c r="J74" t="s">
        <v>32</v>
      </c>
      <c r="L74" t="s">
        <v>9</v>
      </c>
      <c r="M74" s="13">
        <v>6</v>
      </c>
      <c r="N74" s="16">
        <v>156.28</v>
      </c>
      <c r="O74" s="22">
        <v>1.8400483085445858</v>
      </c>
      <c r="P74" s="17">
        <v>126.34666666666668</v>
      </c>
      <c r="Q74" s="22">
        <v>0.7774602526459986</v>
      </c>
      <c r="R74" s="22">
        <v>132.03333333333333</v>
      </c>
      <c r="S74" s="22">
        <v>1.0588253449516671</v>
      </c>
      <c r="T74" s="22">
        <v>93.86666666666667</v>
      </c>
      <c r="U74" s="22">
        <v>0.7842901957254322</v>
      </c>
      <c r="V74" s="22">
        <v>112.6</v>
      </c>
      <c r="W74" s="22">
        <v>1.2764534199621245</v>
      </c>
      <c r="X74" s="22">
        <v>78.46666666666665</v>
      </c>
      <c r="Y74" s="22">
        <v>0.8480041928619024</v>
      </c>
    </row>
    <row r="75" spans="2:10" ht="12.75">
      <c r="B75" t="s">
        <v>7</v>
      </c>
      <c r="C75" s="13" t="s">
        <v>19</v>
      </c>
      <c r="D75" s="16">
        <v>212.81333333333333</v>
      </c>
      <c r="E75" s="17">
        <v>171.61333333333332</v>
      </c>
      <c r="F75" s="17">
        <v>166.01333333333332</v>
      </c>
      <c r="G75" s="17">
        <v>113.01333333333334</v>
      </c>
      <c r="H75" s="17">
        <v>141.41333333333333</v>
      </c>
      <c r="I75" s="18">
        <v>90.33333333333333</v>
      </c>
      <c r="J75" t="s">
        <v>32</v>
      </c>
    </row>
    <row r="76" spans="3:10" ht="12.75">
      <c r="C76" s="13" t="s">
        <v>20</v>
      </c>
      <c r="D76" s="19">
        <v>1.1999999999997575</v>
      </c>
      <c r="E76" s="20">
        <v>1.66132477258379</v>
      </c>
      <c r="F76" s="20">
        <v>1.4832396974191324</v>
      </c>
      <c r="G76" s="20">
        <v>1.0488088481701516</v>
      </c>
      <c r="H76" s="20">
        <v>0.5099019513591357</v>
      </c>
      <c r="I76" s="21">
        <v>0.6887670143090779</v>
      </c>
      <c r="J76" t="s">
        <v>32</v>
      </c>
    </row>
    <row r="77" spans="2:17" ht="12.75">
      <c r="B77" t="s">
        <v>8</v>
      </c>
      <c r="C77" s="13" t="s">
        <v>19</v>
      </c>
      <c r="D77" s="16">
        <v>179.48</v>
      </c>
      <c r="E77" s="17">
        <v>144.74666666666664</v>
      </c>
      <c r="F77" s="17">
        <v>145.2133333333333</v>
      </c>
      <c r="G77" s="17">
        <v>97.88</v>
      </c>
      <c r="H77" s="17">
        <v>119.81333333333333</v>
      </c>
      <c r="I77" s="18">
        <v>78.68</v>
      </c>
      <c r="J77" t="s">
        <v>32</v>
      </c>
      <c r="N77" t="s">
        <v>69</v>
      </c>
      <c r="Q77" t="s">
        <v>55</v>
      </c>
    </row>
    <row r="78" spans="3:17" ht="12.75">
      <c r="C78" s="13" t="s">
        <v>20</v>
      </c>
      <c r="D78" s="19">
        <v>2.082092964089847</v>
      </c>
      <c r="E78" s="20">
        <v>1.3253091882444914</v>
      </c>
      <c r="F78" s="20">
        <v>1.4486775578666204</v>
      </c>
      <c r="G78" s="20">
        <v>1.0349449797508714</v>
      </c>
      <c r="H78" s="20">
        <v>1.5457468529266414</v>
      </c>
      <c r="I78" s="21">
        <v>0.8604908160144219</v>
      </c>
      <c r="J78" t="s">
        <v>32</v>
      </c>
      <c r="Q78" t="s">
        <v>58</v>
      </c>
    </row>
    <row r="79" spans="2:17" ht="12.75">
      <c r="B79" t="s">
        <v>9</v>
      </c>
      <c r="C79" s="13" t="s">
        <v>19</v>
      </c>
      <c r="D79" s="16">
        <v>156.28</v>
      </c>
      <c r="E79" s="17">
        <v>126.34666666666668</v>
      </c>
      <c r="F79" s="17">
        <v>125.04666666666667</v>
      </c>
      <c r="G79" s="17">
        <v>86.88</v>
      </c>
      <c r="H79" s="17">
        <v>105.61333333333333</v>
      </c>
      <c r="I79" s="18">
        <v>71.48</v>
      </c>
      <c r="J79" t="s">
        <v>32</v>
      </c>
      <c r="Q79" t="s">
        <v>59</v>
      </c>
    </row>
    <row r="80" spans="3:10" ht="12.75">
      <c r="C80" s="13" t="s">
        <v>20</v>
      </c>
      <c r="D80" s="19">
        <v>1.8400483085445858</v>
      </c>
      <c r="E80" s="20">
        <v>0.7774602526459986</v>
      </c>
      <c r="F80" s="20">
        <v>1.0588253449516671</v>
      </c>
      <c r="G80" s="20">
        <v>0.7842901957254322</v>
      </c>
      <c r="H80" s="20">
        <v>1.2764534199621245</v>
      </c>
      <c r="I80" s="21">
        <v>0.8480041928619024</v>
      </c>
      <c r="J80" t="s">
        <v>32</v>
      </c>
    </row>
    <row r="81" spans="6:12" ht="12.75">
      <c r="F81" s="8"/>
      <c r="G81" s="8"/>
      <c r="H81" s="8"/>
      <c r="I81" s="6"/>
      <c r="J81" s="8"/>
      <c r="K81" s="33"/>
      <c r="L81" s="6"/>
    </row>
    <row r="82" spans="5:25" ht="12.75">
      <c r="E82" s="27"/>
      <c r="F82" s="28"/>
      <c r="G82" s="28"/>
      <c r="H82" s="28"/>
      <c r="I82" s="28"/>
      <c r="J82" s="28"/>
      <c r="K82" s="28" t="s">
        <v>42</v>
      </c>
      <c r="L82" s="29"/>
      <c r="R82" s="27"/>
      <c r="S82" s="28"/>
      <c r="T82" s="28"/>
      <c r="U82" s="28"/>
      <c r="V82" s="28"/>
      <c r="W82" s="28"/>
      <c r="X82" s="28" t="s">
        <v>42</v>
      </c>
      <c r="Y82" s="29"/>
    </row>
    <row r="83" spans="5:25" ht="12.75">
      <c r="E83" s="30"/>
      <c r="F83" s="8" t="s">
        <v>70</v>
      </c>
      <c r="G83" s="8"/>
      <c r="H83" s="8"/>
      <c r="I83" s="6">
        <v>85.6</v>
      </c>
      <c r="J83" s="8" t="s">
        <v>12</v>
      </c>
      <c r="K83" s="33"/>
      <c r="L83" s="6">
        <v>85.6</v>
      </c>
      <c r="N83" t="s">
        <v>44</v>
      </c>
      <c r="R83" s="30"/>
      <c r="S83" s="8" t="s">
        <v>70</v>
      </c>
      <c r="T83" s="8"/>
      <c r="U83" s="8"/>
      <c r="V83" s="6">
        <v>85.6</v>
      </c>
      <c r="W83" s="8" t="s">
        <v>12</v>
      </c>
      <c r="X83" s="33"/>
      <c r="Y83" s="6">
        <v>85.6</v>
      </c>
    </row>
    <row r="84" spans="5:25" ht="25.5">
      <c r="E84" s="31" t="s">
        <v>40</v>
      </c>
      <c r="F84" s="8" t="s">
        <v>16</v>
      </c>
      <c r="G84" s="8"/>
      <c r="H84" s="8"/>
      <c r="I84" s="6">
        <v>44.261612454884954</v>
      </c>
      <c r="J84" s="8" t="s">
        <v>12</v>
      </c>
      <c r="K84" s="33">
        <f>ABS(769.6-I84)</f>
        <v>725.3383875451151</v>
      </c>
      <c r="L84" s="6">
        <v>16.7</v>
      </c>
      <c r="M84" t="s">
        <v>60</v>
      </c>
      <c r="P84" s="8"/>
      <c r="Q84">
        <v>1</v>
      </c>
      <c r="R84" s="31" t="s">
        <v>40</v>
      </c>
      <c r="S84" s="8" t="s">
        <v>16</v>
      </c>
      <c r="T84" s="8"/>
      <c r="U84" s="8"/>
      <c r="V84" s="6">
        <v>33.718067050565004</v>
      </c>
      <c r="W84" s="8" t="s">
        <v>12</v>
      </c>
      <c r="X84" s="33">
        <f>ABS(34.773-V84)</f>
        <v>1.054932949434999</v>
      </c>
      <c r="Y84" s="6">
        <v>16.7</v>
      </c>
    </row>
    <row r="85" spans="5:25" ht="12.75">
      <c r="E85" s="32"/>
      <c r="F85" s="4" t="s">
        <v>43</v>
      </c>
      <c r="G85" s="4"/>
      <c r="H85" s="4"/>
      <c r="I85" s="4">
        <v>0.024587658925360314</v>
      </c>
      <c r="J85" s="4"/>
      <c r="K85" s="33">
        <f>ABS(I85-0.1016)</f>
        <v>0.07701234107463968</v>
      </c>
      <c r="L85" s="23"/>
      <c r="M85" s="35">
        <f>(K93+K101+K110+K119+K128+K137)/11</f>
        <v>10.811271104306803</v>
      </c>
      <c r="N85" t="s">
        <v>61</v>
      </c>
      <c r="R85" s="32"/>
      <c r="S85" s="4" t="s">
        <v>43</v>
      </c>
      <c r="T85" s="4"/>
      <c r="U85" s="4"/>
      <c r="V85" s="4">
        <v>0</v>
      </c>
      <c r="W85" s="4"/>
      <c r="X85" s="33">
        <f>ABS(V85-0.002)</f>
        <v>0.002</v>
      </c>
      <c r="Y85" s="23"/>
    </row>
    <row r="86" spans="4:25" ht="38.25">
      <c r="D86" s="24" t="s">
        <v>33</v>
      </c>
      <c r="E86" s="25"/>
      <c r="F86" s="37" t="s">
        <v>62</v>
      </c>
      <c r="G86" s="26" t="s">
        <v>63</v>
      </c>
      <c r="H86" s="3" t="s">
        <v>45</v>
      </c>
      <c r="I86" s="3" t="s">
        <v>39</v>
      </c>
      <c r="J86" t="s">
        <v>41</v>
      </c>
      <c r="K86" s="33"/>
      <c r="R86" s="30"/>
      <c r="S86" s="8" t="s">
        <v>70</v>
      </c>
      <c r="T86" s="8"/>
      <c r="U86" s="8"/>
      <c r="V86" s="6">
        <v>85.6</v>
      </c>
      <c r="W86" s="8" t="s">
        <v>12</v>
      </c>
      <c r="X86" s="33"/>
      <c r="Y86" s="6">
        <v>85.6</v>
      </c>
    </row>
    <row r="87" spans="2:25" ht="25.5">
      <c r="B87" s="3" t="s">
        <v>4</v>
      </c>
      <c r="C87" s="13">
        <v>0</v>
      </c>
      <c r="D87" s="16">
        <v>447.84666666666664</v>
      </c>
      <c r="E87" s="22">
        <v>0.6540472290096417</v>
      </c>
      <c r="F87" s="11">
        <f aca="true" t="shared" si="2" ref="F87:F92">D87/$D$87</f>
        <v>1</v>
      </c>
      <c r="G87" s="11">
        <f aca="true" t="shared" si="3" ref="G87:G92">E87/D87*F87</f>
        <v>0.0014604266988916782</v>
      </c>
      <c r="H87">
        <f aca="true" t="shared" si="4" ref="H87:H92">2*ATAN($I$83/2/($I$84+(15.88+9.52/2)+C87*(15.88+9.52)))</f>
        <v>1.1659931559211285</v>
      </c>
      <c r="I87">
        <f aca="true" t="shared" si="5" ref="I87:I92">H87/$H$87</f>
        <v>1</v>
      </c>
      <c r="J87">
        <f aca="true" t="shared" si="6" ref="J87:J92">I87*EXP(-C87*$I$85)</f>
        <v>1</v>
      </c>
      <c r="K87" s="33"/>
      <c r="Q87">
        <v>2</v>
      </c>
      <c r="R87" s="31" t="s">
        <v>40</v>
      </c>
      <c r="S87" s="8" t="s">
        <v>16</v>
      </c>
      <c r="T87" s="8"/>
      <c r="U87" s="8"/>
      <c r="V87" s="6">
        <v>39.95334616254741</v>
      </c>
      <c r="W87" s="8" t="s">
        <v>12</v>
      </c>
      <c r="X87" s="33">
        <f>ABS(38.74-V87)</f>
        <v>1.2133461625474098</v>
      </c>
      <c r="Y87" s="6">
        <v>16.7</v>
      </c>
    </row>
    <row r="88" spans="2:25" ht="25.5">
      <c r="B88" s="3" t="s">
        <v>5</v>
      </c>
      <c r="C88" s="13">
        <v>1</v>
      </c>
      <c r="D88" s="16">
        <v>326.5466666666666</v>
      </c>
      <c r="E88" s="22">
        <v>2.416425275300546</v>
      </c>
      <c r="F88" s="11">
        <f t="shared" si="2"/>
        <v>0.7291483692335173</v>
      </c>
      <c r="G88" s="11">
        <f t="shared" si="3"/>
        <v>0.005395653144604283</v>
      </c>
      <c r="H88">
        <f t="shared" si="4"/>
        <v>0.8852106105665678</v>
      </c>
      <c r="I88">
        <f t="shared" si="5"/>
        <v>0.7591902285800778</v>
      </c>
      <c r="J88">
        <f t="shared" si="6"/>
        <v>0.7407511342034123</v>
      </c>
      <c r="K88" s="33">
        <f>(F88-J88)^2/G88^2</f>
        <v>4.62418225683163</v>
      </c>
      <c r="R88" s="32"/>
      <c r="S88" s="4" t="s">
        <v>43</v>
      </c>
      <c r="T88" s="4"/>
      <c r="U88" s="4"/>
      <c r="V88" s="4">
        <v>0.024604800123208325</v>
      </c>
      <c r="W88" s="4"/>
      <c r="X88" s="33">
        <f>ABS(V88-0.02617)</f>
        <v>0.0015651998767916737</v>
      </c>
      <c r="Y88" s="23"/>
    </row>
    <row r="89" spans="2:25" ht="12.75">
      <c r="B89" t="s">
        <v>6</v>
      </c>
      <c r="C89" s="13">
        <v>2</v>
      </c>
      <c r="D89" s="16">
        <v>260.61333333333334</v>
      </c>
      <c r="E89" s="22">
        <v>1.80554700852694</v>
      </c>
      <c r="F89" s="11">
        <f t="shared" si="2"/>
        <v>0.5819253613587985</v>
      </c>
      <c r="G89" s="11">
        <f t="shared" si="3"/>
        <v>0.004031618727824122</v>
      </c>
      <c r="H89">
        <f t="shared" si="4"/>
        <v>0.7086139239625685</v>
      </c>
      <c r="I89">
        <f t="shared" si="5"/>
        <v>0.6077342052687841</v>
      </c>
      <c r="J89">
        <f t="shared" si="6"/>
        <v>0.5785715993078663</v>
      </c>
      <c r="K89" s="33">
        <f>(F89-J89)^2/G89^2</f>
        <v>0.6919991875344337</v>
      </c>
      <c r="R89" s="30"/>
      <c r="S89" s="8" t="s">
        <v>70</v>
      </c>
      <c r="T89" s="8"/>
      <c r="U89" s="8"/>
      <c r="V89" s="6">
        <v>85.6</v>
      </c>
      <c r="W89" s="8" t="s">
        <v>12</v>
      </c>
      <c r="X89" s="33"/>
      <c r="Y89" s="6">
        <v>85.6</v>
      </c>
    </row>
    <row r="90" spans="2:25" ht="25.5">
      <c r="B90" t="s">
        <v>7</v>
      </c>
      <c r="C90" s="13">
        <v>3</v>
      </c>
      <c r="D90" s="16">
        <v>212.81333333333333</v>
      </c>
      <c r="E90" s="22">
        <v>1.1999999999997575</v>
      </c>
      <c r="F90" s="11">
        <f t="shared" si="2"/>
        <v>0.4751924021614541</v>
      </c>
      <c r="G90" s="11">
        <f t="shared" si="3"/>
        <v>0.002679488515413961</v>
      </c>
      <c r="H90">
        <f t="shared" si="4"/>
        <v>0.5890134965791342</v>
      </c>
      <c r="I90">
        <f t="shared" si="5"/>
        <v>0.5051603378527695</v>
      </c>
      <c r="J90">
        <f t="shared" si="6"/>
        <v>0.4692393140502811</v>
      </c>
      <c r="K90" s="33">
        <f>(F90-J90)^2/G90^2</f>
        <v>4.936064445303461</v>
      </c>
      <c r="Q90">
        <v>3</v>
      </c>
      <c r="R90" s="31" t="s">
        <v>40</v>
      </c>
      <c r="S90" s="8" t="s">
        <v>16</v>
      </c>
      <c r="T90" s="8"/>
      <c r="U90" s="8"/>
      <c r="V90" s="6">
        <v>68.26373653518023</v>
      </c>
      <c r="W90" s="8" t="s">
        <v>12</v>
      </c>
      <c r="X90" s="33">
        <f>ABS(66.08-V90)</f>
        <v>2.1837365351802305</v>
      </c>
      <c r="Y90" s="6">
        <v>16.7</v>
      </c>
    </row>
    <row r="91" spans="2:25" ht="12.75">
      <c r="B91" t="s">
        <v>8</v>
      </c>
      <c r="C91" s="13">
        <v>4</v>
      </c>
      <c r="D91" s="16">
        <v>179.48</v>
      </c>
      <c r="E91" s="22">
        <v>2.082092964089847</v>
      </c>
      <c r="F91" s="11">
        <f t="shared" si="2"/>
        <v>0.4007621656221623</v>
      </c>
      <c r="G91" s="11">
        <f t="shared" si="3"/>
        <v>0.00464912015442007</v>
      </c>
      <c r="H91">
        <f t="shared" si="4"/>
        <v>0.5032143126573192</v>
      </c>
      <c r="I91">
        <f t="shared" si="5"/>
        <v>0.4315757001676245</v>
      </c>
      <c r="J91">
        <f t="shared" si="6"/>
        <v>0.39115046007998383</v>
      </c>
      <c r="K91" s="33">
        <f>(F91-J91)^2/G91^2</f>
        <v>4.2742446248338455</v>
      </c>
      <c r="R91" s="32"/>
      <c r="S91" s="4" t="s">
        <v>43</v>
      </c>
      <c r="T91" s="4"/>
      <c r="U91" s="4"/>
      <c r="V91" s="4">
        <v>0.04452443361432927</v>
      </c>
      <c r="W91" s="4"/>
      <c r="X91" s="33">
        <f>ABS(V91-0.04608)</f>
        <v>0.0015555663856707327</v>
      </c>
      <c r="Y91" s="23"/>
    </row>
    <row r="92" spans="2:25" ht="12.75">
      <c r="B92" t="s">
        <v>9</v>
      </c>
      <c r="C92" s="13">
        <v>5</v>
      </c>
      <c r="D92" s="16">
        <v>156.28</v>
      </c>
      <c r="E92" s="22">
        <v>1.8400483085445858</v>
      </c>
      <c r="F92" s="11">
        <f t="shared" si="2"/>
        <v>0.3489587209908153</v>
      </c>
      <c r="G92" s="11">
        <f t="shared" si="3"/>
        <v>0.004108656925460915</v>
      </c>
      <c r="H92">
        <f t="shared" si="4"/>
        <v>0.43887897811804555</v>
      </c>
      <c r="I92">
        <f t="shared" si="5"/>
        <v>0.37639927463496425</v>
      </c>
      <c r="J92">
        <f t="shared" si="6"/>
        <v>0.3328567395896159</v>
      </c>
      <c r="K92" s="33">
        <f>(F92-J92)^2/G92^2</f>
        <v>15.358856520637449</v>
      </c>
      <c r="Q92" s="24"/>
      <c r="R92" s="27"/>
      <c r="S92" s="28"/>
      <c r="T92" s="28"/>
      <c r="U92" s="28"/>
      <c r="V92" s="28"/>
      <c r="W92" s="28"/>
      <c r="X92" s="28" t="s">
        <v>42</v>
      </c>
      <c r="Y92" s="29"/>
    </row>
    <row r="93" spans="11:25" ht="12.75">
      <c r="K93" s="33">
        <f>SUM(K88:K92)/3</f>
        <v>9.96178234504694</v>
      </c>
      <c r="Q93">
        <v>4</v>
      </c>
      <c r="R93" s="30"/>
      <c r="S93" s="8" t="s">
        <v>70</v>
      </c>
      <c r="T93" s="8"/>
      <c r="U93" s="8"/>
      <c r="V93" s="6">
        <v>85.6</v>
      </c>
      <c r="W93" s="8" t="s">
        <v>12</v>
      </c>
      <c r="X93" s="33"/>
      <c r="Y93" s="6">
        <v>85.6</v>
      </c>
    </row>
    <row r="94" spans="4:25" ht="38.25">
      <c r="D94" s="24" t="s">
        <v>34</v>
      </c>
      <c r="E94" s="25"/>
      <c r="F94" s="26"/>
      <c r="G94" s="26"/>
      <c r="H94" s="3" t="s">
        <v>45</v>
      </c>
      <c r="I94" s="3" t="s">
        <v>39</v>
      </c>
      <c r="J94" t="s">
        <v>41</v>
      </c>
      <c r="K94" s="33"/>
      <c r="R94" s="31" t="s">
        <v>40</v>
      </c>
      <c r="S94" s="8" t="s">
        <v>16</v>
      </c>
      <c r="T94" s="8"/>
      <c r="U94" s="8"/>
      <c r="V94" s="6">
        <v>208.22940339570974</v>
      </c>
      <c r="W94" s="8" t="s">
        <v>12</v>
      </c>
      <c r="X94" s="33">
        <f>ABS(199.23-V94)</f>
        <v>8.999403395709749</v>
      </c>
      <c r="Y94" s="6">
        <v>16.7</v>
      </c>
    </row>
    <row r="95" spans="3:25" ht="12.75">
      <c r="C95">
        <v>1</v>
      </c>
      <c r="D95" s="17">
        <v>331.68</v>
      </c>
      <c r="E95" s="22">
        <v>1.498147003616714</v>
      </c>
      <c r="F95" s="11">
        <f aca="true" t="shared" si="7" ref="F95:F100">D95/$D$95</f>
        <v>1</v>
      </c>
      <c r="G95" s="11">
        <f aca="true" t="shared" si="8" ref="G95:G100">E95/D95*F95</f>
        <v>0.004516844559867082</v>
      </c>
      <c r="H95">
        <f aca="true" t="shared" si="9" ref="H95:H100">2*ATAN($I$83/2/($I$84+(15.88+9.52/2)+C95*(15.88+9.52)))</f>
        <v>0.8852106105665678</v>
      </c>
      <c r="I95">
        <f aca="true" t="shared" si="10" ref="I95:I100">H95/$H$95</f>
        <v>1</v>
      </c>
      <c r="J95">
        <f aca="true" t="shared" si="11" ref="J95:J100">I95*EXP(-(C95-1)*$I$85)</f>
        <v>1</v>
      </c>
      <c r="K95" s="33"/>
      <c r="R95" s="32"/>
      <c r="S95" s="4" t="s">
        <v>43</v>
      </c>
      <c r="T95" s="4"/>
      <c r="U95" s="4"/>
      <c r="V95" s="4">
        <v>0.07478682256307462</v>
      </c>
      <c r="W95" s="4"/>
      <c r="X95" s="33">
        <f>ABS(V95-0.07298)</f>
        <v>0.0018068225630746143</v>
      </c>
      <c r="Y95" s="23"/>
    </row>
    <row r="96" spans="3:25" ht="12.75">
      <c r="C96">
        <v>2</v>
      </c>
      <c r="D96" s="17">
        <v>257.84666666666664</v>
      </c>
      <c r="E96" s="22">
        <v>1.1712291738943512</v>
      </c>
      <c r="F96" s="11">
        <f t="shared" si="7"/>
        <v>0.7773958835825694</v>
      </c>
      <c r="G96" s="11">
        <f t="shared" si="8"/>
        <v>0.003531202285016736</v>
      </c>
      <c r="H96">
        <f t="shared" si="9"/>
        <v>0.7086139239625685</v>
      </c>
      <c r="I96">
        <f t="shared" si="10"/>
        <v>0.8005031972097908</v>
      </c>
      <c r="J96">
        <f t="shared" si="11"/>
        <v>0.7810606998665616</v>
      </c>
      <c r="K96" s="33">
        <f>(F96-J96)^2/G96^2</f>
        <v>1.077107929920303</v>
      </c>
      <c r="Q96">
        <v>5</v>
      </c>
      <c r="R96" s="30"/>
      <c r="S96" s="8" t="s">
        <v>70</v>
      </c>
      <c r="T96" s="8"/>
      <c r="U96" s="8"/>
      <c r="V96" s="6">
        <v>85.6</v>
      </c>
      <c r="W96" s="8" t="s">
        <v>12</v>
      </c>
      <c r="X96" s="33"/>
      <c r="Y96" s="6">
        <v>85.6</v>
      </c>
    </row>
    <row r="97" spans="3:25" ht="25.5">
      <c r="C97">
        <v>3</v>
      </c>
      <c r="D97" s="17">
        <v>207.2133333333333</v>
      </c>
      <c r="E97" s="22">
        <v>0.8602325267039244</v>
      </c>
      <c r="F97" s="11">
        <f t="shared" si="7"/>
        <v>0.6247387039716995</v>
      </c>
      <c r="G97" s="11">
        <f t="shared" si="8"/>
        <v>0.0025935616458753145</v>
      </c>
      <c r="H97">
        <f t="shared" si="9"/>
        <v>0.5890134965791342</v>
      </c>
      <c r="I97">
        <f t="shared" si="10"/>
        <v>0.6653936244642883</v>
      </c>
      <c r="J97">
        <f t="shared" si="11"/>
        <v>0.6334641857212825</v>
      </c>
      <c r="K97" s="33">
        <f>(F97-J97)^2/G97^2</f>
        <v>11.318416694636456</v>
      </c>
      <c r="R97" s="31" t="s">
        <v>40</v>
      </c>
      <c r="S97" s="8" t="s">
        <v>16</v>
      </c>
      <c r="T97" s="8"/>
      <c r="U97" s="8"/>
      <c r="V97" s="6">
        <v>223.46635909412998</v>
      </c>
      <c r="W97" s="8" t="s">
        <v>12</v>
      </c>
      <c r="X97" s="33">
        <f>ABS(232.08-V97)</f>
        <v>8.613640905870028</v>
      </c>
      <c r="Y97" s="6">
        <v>16.7</v>
      </c>
    </row>
    <row r="98" spans="3:25" ht="12.75">
      <c r="C98">
        <v>4</v>
      </c>
      <c r="D98" s="17">
        <v>171.61333333333332</v>
      </c>
      <c r="E98" s="22">
        <v>1.66132477258379</v>
      </c>
      <c r="F98" s="11">
        <f t="shared" si="7"/>
        <v>0.5174063354237015</v>
      </c>
      <c r="G98" s="11">
        <f t="shared" si="8"/>
        <v>0.005008818055305687</v>
      </c>
      <c r="H98">
        <f t="shared" si="9"/>
        <v>0.5032143126573192</v>
      </c>
      <c r="I98">
        <f t="shared" si="10"/>
        <v>0.5684684601049272</v>
      </c>
      <c r="J98">
        <f t="shared" si="11"/>
        <v>0.5280457120063928</v>
      </c>
      <c r="K98" s="33">
        <f>(F98-J98)^2/G98^2</f>
        <v>4.511924768328148</v>
      </c>
      <c r="R98" s="32"/>
      <c r="S98" s="4" t="s">
        <v>43</v>
      </c>
      <c r="T98" s="4"/>
      <c r="U98" s="4"/>
      <c r="V98" s="4">
        <v>0.08499890279461884</v>
      </c>
      <c r="W98" s="4"/>
      <c r="X98" s="33">
        <f>ABS(V98-0.0836)</f>
        <v>0.0013989027946188504</v>
      </c>
      <c r="Y98" s="23"/>
    </row>
    <row r="99" spans="3:25" ht="12.75">
      <c r="C99">
        <v>5</v>
      </c>
      <c r="D99" s="17">
        <v>144.74666666666664</v>
      </c>
      <c r="E99" s="22">
        <v>1.3253091882444914</v>
      </c>
      <c r="F99" s="11">
        <f t="shared" si="7"/>
        <v>0.4364045666505868</v>
      </c>
      <c r="G99" s="11">
        <f t="shared" si="8"/>
        <v>0.00399574646721084</v>
      </c>
      <c r="H99">
        <f t="shared" si="9"/>
        <v>0.43887897811804555</v>
      </c>
      <c r="I99">
        <f t="shared" si="10"/>
        <v>0.49579046260770265</v>
      </c>
      <c r="J99">
        <f t="shared" si="11"/>
        <v>0.4493502935335535</v>
      </c>
      <c r="K99" s="33">
        <f>(F99-J99)^2/G99^2</f>
        <v>10.49680266055726</v>
      </c>
      <c r="Q99">
        <v>6</v>
      </c>
      <c r="R99" s="30"/>
      <c r="S99" s="8" t="s">
        <v>70</v>
      </c>
      <c r="T99" s="8"/>
      <c r="U99" s="8"/>
      <c r="V99" s="6">
        <v>85.6</v>
      </c>
      <c r="W99" s="8" t="s">
        <v>12</v>
      </c>
      <c r="X99" s="33"/>
      <c r="Y99" s="6">
        <v>85.6</v>
      </c>
    </row>
    <row r="100" spans="3:25" ht="25.5">
      <c r="C100">
        <v>6</v>
      </c>
      <c r="D100" s="17">
        <v>126.34666666666668</v>
      </c>
      <c r="E100" s="22">
        <v>0.7774602526459986</v>
      </c>
      <c r="F100" s="11">
        <f t="shared" si="7"/>
        <v>0.38092940987296997</v>
      </c>
      <c r="G100" s="11">
        <f t="shared" si="8"/>
        <v>0.002344007032820787</v>
      </c>
      <c r="H100">
        <f t="shared" si="9"/>
        <v>0.38894399408605657</v>
      </c>
      <c r="I100">
        <f t="shared" si="10"/>
        <v>0.4393801762465521</v>
      </c>
      <c r="J100">
        <f t="shared" si="11"/>
        <v>0.38855189890462327</v>
      </c>
      <c r="K100" s="33">
        <f>(F100-J100)^2/G100^2</f>
        <v>10.574888464141793</v>
      </c>
      <c r="R100" s="31" t="s">
        <v>40</v>
      </c>
      <c r="S100" s="8" t="s">
        <v>16</v>
      </c>
      <c r="T100" s="8"/>
      <c r="U100" s="8"/>
      <c r="V100" s="6">
        <v>837.2172061442949</v>
      </c>
      <c r="W100" s="8" t="s">
        <v>12</v>
      </c>
      <c r="X100" s="33">
        <f>ABS(769.6-V100)</f>
        <v>67.61720614429487</v>
      </c>
      <c r="Y100" s="6">
        <v>16.7</v>
      </c>
    </row>
    <row r="101" spans="11:25" ht="12.75">
      <c r="K101" s="33">
        <f>SUM(K96:K100)/3</f>
        <v>12.659713505861319</v>
      </c>
      <c r="R101" s="32"/>
      <c r="S101" s="4" t="s">
        <v>43</v>
      </c>
      <c r="T101" s="4"/>
      <c r="U101" s="4"/>
      <c r="V101" s="4">
        <v>0.09980351161178579</v>
      </c>
      <c r="W101" s="4"/>
      <c r="X101" s="33">
        <f>ABS(V101-0.1016)</f>
        <v>0.0017964883882142096</v>
      </c>
      <c r="Y101" s="23"/>
    </row>
    <row r="103" spans="4:25" ht="38.25">
      <c r="D103" s="24" t="s">
        <v>35</v>
      </c>
      <c r="E103" s="25"/>
      <c r="F103" s="26"/>
      <c r="G103" s="26"/>
      <c r="H103" s="3" t="s">
        <v>45</v>
      </c>
      <c r="I103" s="3" t="s">
        <v>39</v>
      </c>
      <c r="J103" t="s">
        <v>41</v>
      </c>
      <c r="R103" s="27"/>
      <c r="S103" s="28" t="s">
        <v>67</v>
      </c>
      <c r="T103" s="28"/>
      <c r="U103" s="28"/>
      <c r="V103" s="28"/>
      <c r="W103" s="28"/>
      <c r="X103" s="28" t="s">
        <v>42</v>
      </c>
      <c r="Y103" s="29"/>
    </row>
    <row r="104" spans="3:25" ht="12.75">
      <c r="C104">
        <v>2</v>
      </c>
      <c r="D104" s="17">
        <v>292.0133333333333</v>
      </c>
      <c r="E104" s="22">
        <v>1.9663841605003505</v>
      </c>
      <c r="F104" s="11">
        <f aca="true" t="shared" si="12" ref="F104:F109">D104/$D$104</f>
        <v>1</v>
      </c>
      <c r="G104" s="11">
        <f aca="true" t="shared" si="13" ref="G104:G109">E104/D104*F104</f>
        <v>0.006733884847154299</v>
      </c>
      <c r="H104">
        <f aca="true" t="shared" si="14" ref="H104:H109">2*ATAN($I$83/2/($I$84+(15.88+9.52/2)+C104*(15.88+9.52)))</f>
        <v>0.7086139239625685</v>
      </c>
      <c r="I104">
        <f aca="true" t="shared" si="15" ref="I104:I109">H104/$H$104</f>
        <v>1</v>
      </c>
      <c r="J104">
        <f aca="true" t="shared" si="16" ref="J104:J109">I104*EXP(-(C104-2)*$I$85)</f>
        <v>1</v>
      </c>
      <c r="R104" s="30"/>
      <c r="S104" s="8" t="s">
        <v>70</v>
      </c>
      <c r="T104" s="8"/>
      <c r="U104" s="8"/>
      <c r="V104" s="6">
        <v>85.6</v>
      </c>
      <c r="W104" s="8" t="s">
        <v>12</v>
      </c>
      <c r="X104" s="33"/>
      <c r="Y104" s="6">
        <v>85.6</v>
      </c>
    </row>
    <row r="105" spans="3:29" ht="25.5">
      <c r="C105">
        <v>3</v>
      </c>
      <c r="D105" s="17">
        <v>237.31333333333333</v>
      </c>
      <c r="E105" s="22">
        <v>1.5299237453767673</v>
      </c>
      <c r="F105" s="11">
        <f t="shared" si="12"/>
        <v>0.8126797863111274</v>
      </c>
      <c r="G105" s="11">
        <f t="shared" si="13"/>
        <v>0.00523922564737946</v>
      </c>
      <c r="H105">
        <f t="shared" si="14"/>
        <v>0.5890134965791342</v>
      </c>
      <c r="I105">
        <f t="shared" si="15"/>
        <v>0.8312191966047903</v>
      </c>
      <c r="J105">
        <f t="shared" si="16"/>
        <v>0.8110306738381604</v>
      </c>
      <c r="K105">
        <f>(F105-J105)^2/G105^2</f>
        <v>0.09907551673317187</v>
      </c>
      <c r="R105" s="31" t="s">
        <v>40</v>
      </c>
      <c r="S105" s="8" t="s">
        <v>68</v>
      </c>
      <c r="T105" s="8"/>
      <c r="U105" s="8"/>
      <c r="V105" s="6">
        <v>44.26131930297278</v>
      </c>
      <c r="W105" s="8" t="s">
        <v>12</v>
      </c>
      <c r="X105" s="33">
        <f>ABS(769.6-V105)</f>
        <v>725.3386806970273</v>
      </c>
      <c r="Y105" s="6">
        <v>16.7</v>
      </c>
      <c r="Z105" s="38" t="s">
        <v>60</v>
      </c>
      <c r="AC105" s="8"/>
    </row>
    <row r="106" spans="3:27" ht="12.75">
      <c r="C106">
        <v>4</v>
      </c>
      <c r="D106" s="17">
        <v>199.41333333333333</v>
      </c>
      <c r="E106" s="22">
        <v>0.9273618495498842</v>
      </c>
      <c r="F106" s="11">
        <f t="shared" si="12"/>
        <v>0.6828911921830053</v>
      </c>
      <c r="G106" s="11">
        <f t="shared" si="13"/>
        <v>0.003175751733539168</v>
      </c>
      <c r="H106">
        <f t="shared" si="14"/>
        <v>0.5032143126573192</v>
      </c>
      <c r="I106">
        <f t="shared" si="15"/>
        <v>0.7101389002397034</v>
      </c>
      <c r="J106">
        <f t="shared" si="16"/>
        <v>0.6760623240890312</v>
      </c>
      <c r="K106">
        <f>(F106-J106)^2/G106^2</f>
        <v>4.623856637402216</v>
      </c>
      <c r="R106" s="32"/>
      <c r="S106" s="4" t="s">
        <v>43</v>
      </c>
      <c r="T106" s="4"/>
      <c r="U106" s="4"/>
      <c r="V106" s="4">
        <v>0.02458744731509596</v>
      </c>
      <c r="W106" s="4"/>
      <c r="X106" s="33">
        <f>ABS(V106-0.1016)</f>
        <v>0.07701255268490403</v>
      </c>
      <c r="Y106" s="23"/>
      <c r="Z106" s="35">
        <v>10.811271107606341</v>
      </c>
      <c r="AA106" t="s">
        <v>61</v>
      </c>
    </row>
    <row r="107" spans="3:11" ht="12.75">
      <c r="C107">
        <v>5</v>
      </c>
      <c r="D107" s="17">
        <v>166.01333333333332</v>
      </c>
      <c r="E107" s="22">
        <v>1.4832396974191324</v>
      </c>
      <c r="F107" s="11">
        <f t="shared" si="12"/>
        <v>0.5685128532943701</v>
      </c>
      <c r="G107" s="11">
        <f t="shared" si="13"/>
        <v>0.005079356070792883</v>
      </c>
      <c r="H107">
        <f t="shared" si="14"/>
        <v>0.43887897811804555</v>
      </c>
      <c r="I107">
        <f t="shared" si="15"/>
        <v>0.6193485102068481</v>
      </c>
      <c r="J107">
        <f t="shared" si="16"/>
        <v>0.575307775196373</v>
      </c>
      <c r="K107">
        <f>(F107-J107)^2/G107^2</f>
        <v>1.7895820777880398</v>
      </c>
    </row>
    <row r="108" spans="3:11" ht="12.75">
      <c r="C108">
        <v>6</v>
      </c>
      <c r="D108" s="17">
        <v>145.2133333333333</v>
      </c>
      <c r="E108" s="22">
        <v>1.4486775578666204</v>
      </c>
      <c r="F108" s="11">
        <f t="shared" si="12"/>
        <v>0.49728322907629785</v>
      </c>
      <c r="G108" s="11">
        <f t="shared" si="13"/>
        <v>0.004960997983653556</v>
      </c>
      <c r="H108">
        <f t="shared" si="14"/>
        <v>0.38894399408605657</v>
      </c>
      <c r="I108">
        <f t="shared" si="15"/>
        <v>0.5488799767171975</v>
      </c>
      <c r="J108">
        <f t="shared" si="16"/>
        <v>0.4974669689193228</v>
      </c>
      <c r="K108">
        <f>(F108-J108)^2/G108^2</f>
        <v>0.0013717298235209462</v>
      </c>
    </row>
    <row r="109" spans="3:11" ht="12.75">
      <c r="C109">
        <v>7</v>
      </c>
      <c r="D109" s="17">
        <v>125.04666666666667</v>
      </c>
      <c r="E109" s="22">
        <v>1.0588253449516671</v>
      </c>
      <c r="F109" s="11">
        <f t="shared" si="12"/>
        <v>0.42822245559563493</v>
      </c>
      <c r="G109" s="11">
        <f t="shared" si="13"/>
        <v>0.0036259486266095172</v>
      </c>
      <c r="H109">
        <f t="shared" si="14"/>
        <v>0.34910706914475553</v>
      </c>
      <c r="I109">
        <f t="shared" si="15"/>
        <v>0.49266188165277514</v>
      </c>
      <c r="J109">
        <f t="shared" si="16"/>
        <v>0.4356698822176611</v>
      </c>
      <c r="K109">
        <f>(F109-J109)^2/G109^2</f>
        <v>4.218608006586231</v>
      </c>
    </row>
    <row r="110" ht="12.75">
      <c r="K110">
        <f>SUM(K105:K109)/2</f>
        <v>5.366246984166589</v>
      </c>
    </row>
    <row r="112" spans="4:10" ht="38.25">
      <c r="D112" s="24" t="s">
        <v>36</v>
      </c>
      <c r="E112" s="25"/>
      <c r="F112" s="26"/>
      <c r="G112" s="26"/>
      <c r="H112" s="3" t="s">
        <v>45</v>
      </c>
      <c r="I112" s="3" t="s">
        <v>39</v>
      </c>
      <c r="J112" t="s">
        <v>41</v>
      </c>
    </row>
    <row r="113" spans="3:10" ht="12.75">
      <c r="C113">
        <v>3</v>
      </c>
      <c r="D113" s="17">
        <v>177.18</v>
      </c>
      <c r="E113" s="22">
        <v>1.5581327856694696</v>
      </c>
      <c r="F113" s="11">
        <f aca="true" t="shared" si="17" ref="F113:F118">D113/$D$113</f>
        <v>1</v>
      </c>
      <c r="G113" s="11">
        <f aca="true" t="shared" si="18" ref="G113:G118">E113/D113*F113</f>
        <v>0.008794066969575964</v>
      </c>
      <c r="H113">
        <f aca="true" t="shared" si="19" ref="H113:H118">2*ATAN($I$83/2/($I$84+(15.88+9.52/2)+C113*(15.88+9.52)))</f>
        <v>0.5890134965791342</v>
      </c>
      <c r="I113">
        <f aca="true" t="shared" si="20" ref="I113:I118">H113/$H$113</f>
        <v>1</v>
      </c>
      <c r="J113">
        <f aca="true" t="shared" si="21" ref="J113:J118">I113*EXP(-(C113-3)*$I$85)</f>
        <v>1</v>
      </c>
    </row>
    <row r="114" spans="3:11" ht="12.75">
      <c r="C114">
        <v>4</v>
      </c>
      <c r="D114" s="17">
        <v>153.28</v>
      </c>
      <c r="E114" s="22">
        <v>1.2029593139882195</v>
      </c>
      <c r="F114" s="11">
        <f t="shared" si="17"/>
        <v>0.8651089287729992</v>
      </c>
      <c r="G114" s="11">
        <f t="shared" si="18"/>
        <v>0.006789475753404557</v>
      </c>
      <c r="H114">
        <f t="shared" si="19"/>
        <v>0.5032143126573192</v>
      </c>
      <c r="I114">
        <f t="shared" si="20"/>
        <v>0.8543340951945609</v>
      </c>
      <c r="J114">
        <f t="shared" si="21"/>
        <v>0.8335841613605087</v>
      </c>
      <c r="K114">
        <f>(F114-J114)^2/G114^2</f>
        <v>21.559133347166274</v>
      </c>
    </row>
    <row r="115" spans="3:11" ht="12.75">
      <c r="C115">
        <v>5</v>
      </c>
      <c r="D115" s="17">
        <v>131.01333333333332</v>
      </c>
      <c r="E115" s="22">
        <v>1.378404875209022</v>
      </c>
      <c r="F115" s="11">
        <f t="shared" si="17"/>
        <v>0.7394363547428227</v>
      </c>
      <c r="G115" s="11">
        <f t="shared" si="18"/>
        <v>0.0077796866193081725</v>
      </c>
      <c r="H115">
        <f t="shared" si="19"/>
        <v>0.43887897811804555</v>
      </c>
      <c r="I115">
        <f t="shared" si="20"/>
        <v>0.7451085258096153</v>
      </c>
      <c r="J115">
        <f t="shared" si="21"/>
        <v>0.7093539045493296</v>
      </c>
      <c r="K115">
        <f>(F115-J115)^2/G115^2</f>
        <v>14.95210046294242</v>
      </c>
    </row>
    <row r="116" spans="3:11" ht="12.75">
      <c r="C116">
        <v>6</v>
      </c>
      <c r="D116" s="17">
        <v>113.01333333333334</v>
      </c>
      <c r="E116" s="22">
        <v>1.0488088481701516</v>
      </c>
      <c r="F116" s="11">
        <f t="shared" si="17"/>
        <v>0.6378447529819017</v>
      </c>
      <c r="G116" s="11">
        <f t="shared" si="18"/>
        <v>0.005919453934812911</v>
      </c>
      <c r="H116">
        <f t="shared" si="19"/>
        <v>0.38894399408605657</v>
      </c>
      <c r="I116">
        <f t="shared" si="20"/>
        <v>0.6603312086139979</v>
      </c>
      <c r="J116">
        <f t="shared" si="21"/>
        <v>0.6133762691922443</v>
      </c>
      <c r="K116">
        <f>(F116-J116)^2/G116^2</f>
        <v>17.08641014620089</v>
      </c>
    </row>
    <row r="117" spans="3:11" ht="12.75">
      <c r="C117">
        <v>7</v>
      </c>
      <c r="D117" s="17">
        <v>97.88</v>
      </c>
      <c r="E117" s="22">
        <v>1.0349449797508714</v>
      </c>
      <c r="F117" s="11">
        <f t="shared" si="17"/>
        <v>0.5524325544643864</v>
      </c>
      <c r="G117" s="11">
        <f t="shared" si="18"/>
        <v>0.0058412065681841705</v>
      </c>
      <c r="H117">
        <f t="shared" si="19"/>
        <v>0.34910706914475553</v>
      </c>
      <c r="I117">
        <f t="shared" si="20"/>
        <v>0.5926979112911598</v>
      </c>
      <c r="J117">
        <f t="shared" si="21"/>
        <v>0.5371805238337979</v>
      </c>
      <c r="K117">
        <f>(F117-J117)^2/G117^2</f>
        <v>6.817893419043692</v>
      </c>
    </row>
    <row r="118" spans="3:11" ht="12.75">
      <c r="C118">
        <v>8</v>
      </c>
      <c r="D118" s="17">
        <v>86.88</v>
      </c>
      <c r="E118" s="22">
        <v>0.7842901957254322</v>
      </c>
      <c r="F118" s="11">
        <f t="shared" si="17"/>
        <v>0.49034879783271246</v>
      </c>
      <c r="G118" s="11">
        <f t="shared" si="18"/>
        <v>0.00442651651272961</v>
      </c>
      <c r="H118">
        <f t="shared" si="19"/>
        <v>0.3166103379787248</v>
      </c>
      <c r="I118">
        <f t="shared" si="20"/>
        <v>0.53752645706343</v>
      </c>
      <c r="J118">
        <f t="shared" si="21"/>
        <v>0.47534444404763726</v>
      </c>
      <c r="K118">
        <f>(F118-J118)^2/G118^2</f>
        <v>11.48974563506762</v>
      </c>
    </row>
    <row r="119" ht="12.75">
      <c r="K119">
        <f>SUM(K114:K118)/2</f>
        <v>35.95264150521045</v>
      </c>
    </row>
    <row r="121" spans="4:10" ht="38.25">
      <c r="D121" s="24" t="s">
        <v>37</v>
      </c>
      <c r="E121" s="25"/>
      <c r="F121" s="26"/>
      <c r="G121" s="26"/>
      <c r="H121" s="3" t="s">
        <v>45</v>
      </c>
      <c r="I121" s="3" t="s">
        <v>39</v>
      </c>
      <c r="J121" t="s">
        <v>41</v>
      </c>
    </row>
    <row r="122" spans="3:10" ht="12.75">
      <c r="C122">
        <v>4</v>
      </c>
      <c r="D122" s="17">
        <v>221.34666666666666</v>
      </c>
      <c r="E122" s="22">
        <v>1.2823589374445044</v>
      </c>
      <c r="F122" s="11">
        <f aca="true" t="shared" si="22" ref="F122:F127">D122/$D$122</f>
        <v>1</v>
      </c>
      <c r="G122" s="11">
        <f aca="true" t="shared" si="23" ref="G122:G127">E122/D122*F122</f>
        <v>0.0057934413775277286</v>
      </c>
      <c r="H122">
        <f aca="true" t="shared" si="24" ref="H122:H127">2*ATAN($I$83/2/($I$84+(15.88+9.52/2)+C122*(15.88+9.52)))</f>
        <v>0.5032143126573192</v>
      </c>
      <c r="I122">
        <f aca="true" t="shared" si="25" ref="I122:I127">H122/$H$122</f>
        <v>1</v>
      </c>
      <c r="J122">
        <f aca="true" t="shared" si="26" ref="J122:J127">I122*EXP(-(C122-4)*$I$85)</f>
        <v>1</v>
      </c>
    </row>
    <row r="123" spans="3:11" ht="12.75">
      <c r="C123">
        <v>5</v>
      </c>
      <c r="D123" s="17">
        <v>185.91333333333333</v>
      </c>
      <c r="E123" s="22">
        <v>1.8531055015834046</v>
      </c>
      <c r="F123" s="11">
        <f t="shared" si="22"/>
        <v>0.8399192819709655</v>
      </c>
      <c r="G123" s="11">
        <f t="shared" si="23"/>
        <v>0.008371960280631006</v>
      </c>
      <c r="H123">
        <f t="shared" si="24"/>
        <v>0.43887897811804555</v>
      </c>
      <c r="I123">
        <f t="shared" si="25"/>
        <v>0.8721512228069614</v>
      </c>
      <c r="J123">
        <f t="shared" si="26"/>
        <v>0.8509685493442912</v>
      </c>
      <c r="K123">
        <f>(F123-J123)^2/G123^2</f>
        <v>1.741857598129962</v>
      </c>
    </row>
    <row r="124" spans="3:11" ht="12.75">
      <c r="C124">
        <v>6</v>
      </c>
      <c r="D124" s="17">
        <v>160.81333333333333</v>
      </c>
      <c r="E124" s="22">
        <v>1.7720045146667707</v>
      </c>
      <c r="F124" s="11">
        <f t="shared" si="22"/>
        <v>0.72652249864466</v>
      </c>
      <c r="G124" s="11">
        <f t="shared" si="23"/>
        <v>0.008005562231191364</v>
      </c>
      <c r="H124">
        <f t="shared" si="24"/>
        <v>0.38894399408605657</v>
      </c>
      <c r="I124">
        <f t="shared" si="25"/>
        <v>0.7729191803630616</v>
      </c>
      <c r="J124">
        <f t="shared" si="26"/>
        <v>0.7358300428731049</v>
      </c>
      <c r="K124">
        <f>(F124-J124)^2/G124^2</f>
        <v>1.3517193833273056</v>
      </c>
    </row>
    <row r="125" spans="3:11" ht="12.75">
      <c r="C125">
        <v>7</v>
      </c>
      <c r="D125" s="17">
        <v>141.41333333333333</v>
      </c>
      <c r="E125" s="22">
        <v>0.5099019513591357</v>
      </c>
      <c r="F125" s="11">
        <f t="shared" si="22"/>
        <v>0.6388771760737305</v>
      </c>
      <c r="G125" s="11">
        <f t="shared" si="23"/>
        <v>0.0023036351034236</v>
      </c>
      <c r="H125">
        <f t="shared" si="24"/>
        <v>0.34910706914475553</v>
      </c>
      <c r="I125">
        <f t="shared" si="25"/>
        <v>0.6937542521420527</v>
      </c>
      <c r="J125">
        <f t="shared" si="26"/>
        <v>0.6444226614827414</v>
      </c>
      <c r="K125">
        <f>(F125-J125)^2/G125^2</f>
        <v>5.794977555801591</v>
      </c>
    </row>
    <row r="126" spans="3:11" ht="12.75">
      <c r="C126">
        <v>8</v>
      </c>
      <c r="D126" s="17">
        <v>119.81333333333333</v>
      </c>
      <c r="E126" s="22">
        <v>1.5457468529266414</v>
      </c>
      <c r="F126" s="11">
        <f t="shared" si="22"/>
        <v>0.5412926932112523</v>
      </c>
      <c r="G126" s="11">
        <f t="shared" si="23"/>
        <v>0.006983375336997657</v>
      </c>
      <c r="H126">
        <f t="shared" si="24"/>
        <v>0.3166103379787248</v>
      </c>
      <c r="I126">
        <f t="shared" si="25"/>
        <v>0.6291759395848728</v>
      </c>
      <c r="J126">
        <f t="shared" si="26"/>
        <v>0.5702416937383005</v>
      </c>
      <c r="K126">
        <f>(F126-J126)^2/G126^2</f>
        <v>17.184479358643127</v>
      </c>
    </row>
    <row r="127" spans="3:11" ht="12.75">
      <c r="C127">
        <v>9</v>
      </c>
      <c r="D127" s="17">
        <v>105.61333333333333</v>
      </c>
      <c r="E127" s="22">
        <v>1.2764534199621245</v>
      </c>
      <c r="F127" s="11">
        <f t="shared" si="22"/>
        <v>0.477139931329438</v>
      </c>
      <c r="G127" s="11">
        <f t="shared" si="23"/>
        <v>0.005766761429863222</v>
      </c>
      <c r="H127">
        <f t="shared" si="24"/>
        <v>0.28960952668645656</v>
      </c>
      <c r="I127">
        <f t="shared" si="25"/>
        <v>0.5755192557165518</v>
      </c>
      <c r="J127">
        <f t="shared" si="26"/>
        <v>0.508942168431743</v>
      </c>
      <c r="K127">
        <f>(F127-J127)^2/G127^2</f>
        <v>30.412447493542413</v>
      </c>
    </row>
    <row r="128" ht="12.75">
      <c r="K128">
        <f>SUM(K123:K127)/2</f>
        <v>28.2427406947222</v>
      </c>
    </row>
    <row r="130" spans="4:10" ht="38.25">
      <c r="D130" s="24" t="s">
        <v>38</v>
      </c>
      <c r="E130" s="23"/>
      <c r="F130" s="26"/>
      <c r="G130" s="26"/>
      <c r="H130" s="3" t="s">
        <v>45</v>
      </c>
      <c r="I130" s="3" t="s">
        <v>39</v>
      </c>
      <c r="J130" t="s">
        <v>41</v>
      </c>
    </row>
    <row r="131" spans="3:10" ht="12.75">
      <c r="C131">
        <v>5</v>
      </c>
      <c r="D131" s="18">
        <v>131.68</v>
      </c>
      <c r="E131" s="22">
        <v>1.542004467495998</v>
      </c>
      <c r="F131" s="11">
        <f aca="true" t="shared" si="27" ref="F131:F136">D131/$D$131</f>
        <v>1</v>
      </c>
      <c r="G131" s="11">
        <f aca="true" t="shared" si="28" ref="G131:G136">E131/D131*F131</f>
        <v>0.01171024048827459</v>
      </c>
      <c r="H131">
        <f aca="true" t="shared" si="29" ref="H131:H136">2*ATAN($I$83/2/($I$84+(15.88+9.52/2)+C131*(15.88+9.52)))</f>
        <v>0.43887897811804555</v>
      </c>
      <c r="I131">
        <f aca="true" t="shared" si="30" ref="I131:I136">H131/$H$131</f>
        <v>1</v>
      </c>
      <c r="J131">
        <f aca="true" t="shared" si="31" ref="J131:J136">I131*EXP(-(C131-5)*$I$85)</f>
        <v>1</v>
      </c>
    </row>
    <row r="132" spans="3:11" ht="12.75">
      <c r="C132">
        <v>6</v>
      </c>
      <c r="D132" s="18">
        <v>115.18</v>
      </c>
      <c r="E132" s="22">
        <v>1.0910749032236229</v>
      </c>
      <c r="F132" s="11">
        <f t="shared" si="27"/>
        <v>0.8746962332928311</v>
      </c>
      <c r="G132" s="11">
        <f t="shared" si="28"/>
        <v>0.008285805765671497</v>
      </c>
      <c r="H132">
        <f t="shared" si="29"/>
        <v>0.38894399408605657</v>
      </c>
      <c r="I132">
        <f t="shared" si="30"/>
        <v>0.8862215177265612</v>
      </c>
      <c r="J132">
        <f t="shared" si="31"/>
        <v>0.8646971071258679</v>
      </c>
      <c r="K132">
        <f>(F132-J132)^2/G132^2</f>
        <v>1.4563125752175317</v>
      </c>
    </row>
    <row r="133" spans="3:11" ht="12.75">
      <c r="C133">
        <v>7</v>
      </c>
      <c r="D133" s="18">
        <v>103.61333333333333</v>
      </c>
      <c r="E133" s="22">
        <v>0.5999999999998787</v>
      </c>
      <c r="F133" s="11">
        <f t="shared" si="27"/>
        <v>0.7868570271364924</v>
      </c>
      <c r="G133" s="11">
        <f t="shared" si="28"/>
        <v>0.004556500607532493</v>
      </c>
      <c r="H133">
        <f t="shared" si="29"/>
        <v>0.34910706914475553</v>
      </c>
      <c r="I133">
        <f t="shared" si="30"/>
        <v>0.7954517909282408</v>
      </c>
      <c r="J133">
        <f t="shared" si="31"/>
        <v>0.7572814083191411</v>
      </c>
      <c r="K133">
        <f>(F133-J133)^2/G133^2</f>
        <v>42.13129568817803</v>
      </c>
    </row>
    <row r="134" spans="3:11" ht="12.75">
      <c r="C134">
        <v>8</v>
      </c>
      <c r="D134" s="18">
        <v>90.33333333333333</v>
      </c>
      <c r="E134" s="22">
        <v>0.6887670143090779</v>
      </c>
      <c r="F134" s="11">
        <f t="shared" si="27"/>
        <v>0.6860064803564195</v>
      </c>
      <c r="G134" s="11">
        <f t="shared" si="28"/>
        <v>0.005230612198580482</v>
      </c>
      <c r="H134">
        <f t="shared" si="29"/>
        <v>0.3166103379787248</v>
      </c>
      <c r="I134">
        <f t="shared" si="30"/>
        <v>0.721406933948807</v>
      </c>
      <c r="J134">
        <f t="shared" si="31"/>
        <v>0.6701090118755821</v>
      </c>
      <c r="K134">
        <f>(F134-J134)^2/G134^2</f>
        <v>9.237424473898546</v>
      </c>
    </row>
    <row r="135" spans="3:11" ht="12.75">
      <c r="C135">
        <v>9</v>
      </c>
      <c r="D135" s="18">
        <v>78.68</v>
      </c>
      <c r="E135" s="22">
        <v>0.8604908160144219</v>
      </c>
      <c r="F135" s="11">
        <f t="shared" si="27"/>
        <v>0.5975091130012151</v>
      </c>
      <c r="G135" s="11">
        <f t="shared" si="28"/>
        <v>0.006534711543244394</v>
      </c>
      <c r="H135">
        <f t="shared" si="29"/>
        <v>0.28960952668645656</v>
      </c>
      <c r="I135">
        <f t="shared" si="30"/>
        <v>0.6598847088286833</v>
      </c>
      <c r="J135">
        <f t="shared" si="31"/>
        <v>0.5980740049957257</v>
      </c>
      <c r="K135">
        <f>(F135-J135)^2/G135^2</f>
        <v>0.007472707735663023</v>
      </c>
    </row>
    <row r="136" spans="3:11" ht="12.75">
      <c r="C136">
        <v>10</v>
      </c>
      <c r="D136" s="18">
        <v>71.48</v>
      </c>
      <c r="E136" s="22">
        <v>0.8480041928619024</v>
      </c>
      <c r="F136" s="11">
        <f t="shared" si="27"/>
        <v>0.542831105710814</v>
      </c>
      <c r="G136" s="11">
        <f t="shared" si="28"/>
        <v>0.006439886033276902</v>
      </c>
      <c r="H136">
        <f t="shared" si="29"/>
        <v>0.26682689577527924</v>
      </c>
      <c r="I136">
        <f t="shared" si="30"/>
        <v>0.6079737446515623</v>
      </c>
      <c r="J136">
        <f t="shared" si="31"/>
        <v>0.5376422645794612</v>
      </c>
      <c r="K136">
        <f>(F136-J136)^2/G136^2</f>
        <v>0.64920877970486</v>
      </c>
    </row>
    <row r="137" ht="12.75">
      <c r="K137">
        <f>SUM(K132:K136)/2</f>
        <v>26.740857112367316</v>
      </c>
    </row>
  </sheetData>
  <autoFilter ref="B68:J101"/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Absorption Gamma - rays in standart plates  CSC chamber</dc:title>
  <dc:subject/>
  <dc:creator>petrunin</dc:creator>
  <cp:keywords/>
  <dc:description/>
  <cp:lastModifiedBy>tdpc118</cp:lastModifiedBy>
  <cp:lastPrinted>2000-11-06T05:57:15Z</cp:lastPrinted>
  <dcterms:created xsi:type="dcterms:W3CDTF">2000-10-18T02:28:59Z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