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92" windowWidth="10272" windowHeight="6672" activeTab="3"/>
  </bookViews>
  <sheets>
    <sheet name="All Q" sheetId="1" r:id="rId1"/>
    <sheet name="BD vs ADCP" sheetId="2" r:id="rId2"/>
    <sheet name="BD comp and direct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<sst xmlns="http://schemas.openxmlformats.org/spreadsheetml/2006/main" count="60" uniqueCount="35">
  <si>
    <t>Date</t>
  </si>
  <si>
    <t>ADCP Discharge Measurement Notes</t>
  </si>
  <si>
    <t>BoogieDopp Discharge Measurement Notes</t>
  </si>
  <si>
    <t>Discharge</t>
  </si>
  <si>
    <t>Discharge Avg</t>
  </si>
  <si>
    <t>Midtime</t>
  </si>
  <si>
    <t>Start Time</t>
  </si>
  <si>
    <t xml:space="preserve"> Day</t>
  </si>
  <si>
    <t>Calendar</t>
  </si>
  <si>
    <t>*1.106</t>
  </si>
  <si>
    <t>*1.084</t>
  </si>
  <si>
    <t>Manual</t>
  </si>
  <si>
    <t>Calc.</t>
  </si>
  <si>
    <t xml:space="preserve"> </t>
  </si>
  <si>
    <t>Radar and GPR Discharge Measurement Calculations</t>
  </si>
  <si>
    <t>Time</t>
  </si>
  <si>
    <t>(Radar)</t>
  </si>
  <si>
    <t>date/time</t>
  </si>
  <si>
    <t>cfs</t>
  </si>
  <si>
    <t>cms</t>
  </si>
  <si>
    <t>Price AA Discharge Measurement Calculations</t>
  </si>
  <si>
    <t>930-1117</t>
  </si>
  <si>
    <t>826-1008</t>
  </si>
  <si>
    <t>959-1131</t>
  </si>
  <si>
    <t>0917-1040</t>
  </si>
  <si>
    <t>0853-1032</t>
  </si>
  <si>
    <t>930-1102</t>
  </si>
  <si>
    <t>0756-0941</t>
  </si>
  <si>
    <t>DATE</t>
  </si>
  <si>
    <t>Mid Time</t>
  </si>
  <si>
    <t>Q</t>
  </si>
  <si>
    <t>1345-1527</t>
  </si>
  <si>
    <t xml:space="preserve"> (PDST)</t>
  </si>
  <si>
    <t>(cfs)</t>
  </si>
  <si>
    <t>(cms)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</si>
</sst>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/d"/>
    <numFmt numFmtId="167" formatCode="mm/dd/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9.25"/>
      <name val="Arial"/>
      <family val="0"/>
    </font>
    <font>
      <vertAlign val="superscript"/>
      <sz val="10.25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7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DISCHARGE MEASUREMENTS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2725"/>
          <c:w val="0.812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v>ADCP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Sheet2!$G$7:$G$37</c:f>
              <c:numCache>
                <c:ptCount val="32"/>
                <c:pt idx="0">
                  <c:v>0</c:v>
                </c:pt>
                <c:pt idx="1">
                  <c:v>104.7357638888889</c:v>
                </c:pt>
                <c:pt idx="2">
                  <c:v>104.80156250000002</c:v>
                </c:pt>
                <c:pt idx="3">
                  <c:v>105.40677083333334</c:v>
                </c:pt>
                <c:pt idx="4">
                  <c:v>106.37314814814813</c:v>
                </c:pt>
                <c:pt idx="5">
                  <c:v>106.42326388888888</c:v>
                </c:pt>
                <c:pt idx="6">
                  <c:v>106.56909722222223</c:v>
                </c:pt>
                <c:pt idx="7">
                  <c:v>106.70902777777778</c:v>
                </c:pt>
                <c:pt idx="8">
                  <c:v>107.81423611111111</c:v>
                </c:pt>
                <c:pt idx="9">
                  <c:v>107.49895833333335</c:v>
                </c:pt>
                <c:pt idx="10">
                  <c:v>107.74340277777779</c:v>
                </c:pt>
                <c:pt idx="11">
                  <c:v>108.36788194444445</c:v>
                </c:pt>
                <c:pt idx="12">
                  <c:v>114.42430555555556</c:v>
                </c:pt>
                <c:pt idx="13">
                  <c:v>121.55694444444444</c:v>
                </c:pt>
                <c:pt idx="14">
                  <c:v>127.36715277777778</c:v>
                </c:pt>
                <c:pt idx="15">
                  <c:v>127.60958333333333</c:v>
                </c:pt>
                <c:pt idx="16">
                  <c:v>128.42930555555554</c:v>
                </c:pt>
                <c:pt idx="17">
                  <c:v>128.53819444444446</c:v>
                </c:pt>
                <c:pt idx="18">
                  <c:v>128.65538194444443</c:v>
                </c:pt>
                <c:pt idx="19">
                  <c:v>135.36979166666666</c:v>
                </c:pt>
                <c:pt idx="20">
                  <c:v>135.41979166666667</c:v>
                </c:pt>
                <c:pt idx="21">
                  <c:v>135.57725694444443</c:v>
                </c:pt>
                <c:pt idx="22">
                  <c:v>135.67708333333334</c:v>
                </c:pt>
                <c:pt idx="23">
                  <c:v>136.38229166666667</c:v>
                </c:pt>
                <c:pt idx="24">
                  <c:v>136.57430555555555</c:v>
                </c:pt>
                <c:pt idx="25">
                  <c:v>136.59305555555557</c:v>
                </c:pt>
                <c:pt idx="26">
                  <c:v>136.67378472222222</c:v>
                </c:pt>
                <c:pt idx="27">
                  <c:v>136.68541666666667</c:v>
                </c:pt>
                <c:pt idx="28">
                  <c:v>137.38680555555555</c:v>
                </c:pt>
                <c:pt idx="29">
                  <c:v>137.40225694444445</c:v>
                </c:pt>
                <c:pt idx="30">
                  <c:v>137.50815972222222</c:v>
                </c:pt>
                <c:pt idx="31">
                  <c:v>137.52083333333334</c:v>
                </c:pt>
              </c:numCache>
            </c:numRef>
          </c:xVal>
          <c:yVal>
            <c:numRef>
              <c:f>Sheet2!$H$7:$H$37</c:f>
              <c:numCache>
                <c:ptCount val="32"/>
                <c:pt idx="0">
                  <c:v>0</c:v>
                </c:pt>
                <c:pt idx="1">
                  <c:v>2362.4998346746124</c:v>
                </c:pt>
                <c:pt idx="2">
                  <c:v>2373.749833887349</c:v>
                </c:pt>
                <c:pt idx="3">
                  <c:v>2644.2498149580297</c:v>
                </c:pt>
                <c:pt idx="4">
                  <c:v>2744.666474597638</c:v>
                </c:pt>
                <c:pt idx="5">
                  <c:v>2895.4997973758063</c:v>
                </c:pt>
                <c:pt idx="6">
                  <c:v>2901.249796973427</c:v>
                </c:pt>
                <c:pt idx="7">
                  <c:v>2849.4998005948396</c:v>
                </c:pt>
                <c:pt idx="8">
                  <c:v>2810.7498033065262</c:v>
                </c:pt>
                <c:pt idx="9">
                  <c:v>2877.7497986179333</c:v>
                </c:pt>
                <c:pt idx="10">
                  <c:v>2924.7497953289203</c:v>
                </c:pt>
                <c:pt idx="11">
                  <c:v>2985.2497910951906</c:v>
                </c:pt>
                <c:pt idx="12">
                  <c:v>3036.66645416377</c:v>
                </c:pt>
                <c:pt idx="13">
                  <c:v>3177.2497776592227</c:v>
                </c:pt>
                <c:pt idx="14">
                  <c:v>3266.5997714065993</c:v>
                </c:pt>
                <c:pt idx="15">
                  <c:v>3262.749771676018</c:v>
                </c:pt>
                <c:pt idx="16">
                  <c:v>3219.599774695612</c:v>
                </c:pt>
                <c:pt idx="17">
                  <c:v>3134.9997806158353</c:v>
                </c:pt>
                <c:pt idx="18">
                  <c:v>3096.2497833275215</c:v>
                </c:pt>
                <c:pt idx="19">
                  <c:v>2646.499814800577</c:v>
                </c:pt>
                <c:pt idx="20">
                  <c:v>2855.499800174966</c:v>
                </c:pt>
                <c:pt idx="21">
                  <c:v>2778.749805545854</c:v>
                </c:pt>
                <c:pt idx="22">
                  <c:v>2705.7498106543208</c:v>
                </c:pt>
                <c:pt idx="23">
                  <c:v>2722.749809464678</c:v>
                </c:pt>
                <c:pt idx="24">
                  <c:v>2648.749814643124</c:v>
                </c:pt>
                <c:pt idx="25">
                  <c:v>2655.799814149772</c:v>
                </c:pt>
                <c:pt idx="26">
                  <c:v>2614.74981702241</c:v>
                </c:pt>
                <c:pt idx="27">
                  <c:v>2617.999816794978</c:v>
                </c:pt>
                <c:pt idx="28">
                  <c:v>2473.2498269244384</c:v>
                </c:pt>
                <c:pt idx="29">
                  <c:v>2475.749826749491</c:v>
                </c:pt>
                <c:pt idx="30">
                  <c:v>2538.499822358309</c:v>
                </c:pt>
                <c:pt idx="31">
                  <c:v>2466.9998273618075</c:v>
                </c:pt>
              </c:numCache>
            </c:numRef>
          </c:yVal>
          <c:smooth val="0"/>
        </c:ser>
        <c:ser>
          <c:idx val="1"/>
          <c:order val="1"/>
          <c:tx>
            <c:v>BoogieDopp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Sheet1!$C$178:$C$192</c:f>
              <c:numCache>
                <c:ptCount val="15"/>
                <c:pt idx="0">
                  <c:v>105.57083333333334</c:v>
                </c:pt>
                <c:pt idx="1">
                  <c:v>105.64652777777778</c:v>
                </c:pt>
                <c:pt idx="2">
                  <c:v>106.47013888888888</c:v>
                </c:pt>
                <c:pt idx="3">
                  <c:v>106.61666666666666</c:v>
                </c:pt>
                <c:pt idx="4">
                  <c:v>107.44444444444444</c:v>
                </c:pt>
                <c:pt idx="5">
                  <c:v>114.58333333333333</c:v>
                </c:pt>
                <c:pt idx="6">
                  <c:v>127.56666666666666</c:v>
                </c:pt>
                <c:pt idx="7">
                  <c:v>128.39305555555555</c:v>
                </c:pt>
                <c:pt idx="8">
                  <c:v>128.57569444444445</c:v>
                </c:pt>
                <c:pt idx="9">
                  <c:v>135.47708333333333</c:v>
                </c:pt>
                <c:pt idx="10">
                  <c:v>135.6159722222222</c:v>
                </c:pt>
                <c:pt idx="11">
                  <c:v>136.425</c:v>
                </c:pt>
                <c:pt idx="12">
                  <c:v>136.63541666666666</c:v>
                </c:pt>
                <c:pt idx="13">
                  <c:v>137.44444444444446</c:v>
                </c:pt>
                <c:pt idx="14">
                  <c:v>78.47222222222223</c:v>
                </c:pt>
              </c:numCache>
            </c:numRef>
          </c:xVal>
          <c:yVal>
            <c:numRef>
              <c:f>Sheet1!$E$178:$E$192</c:f>
              <c:numCache>
                <c:ptCount val="15"/>
                <c:pt idx="0">
                  <c:v>3015.6749000000004</c:v>
                </c:pt>
                <c:pt idx="1">
                  <c:v>3093.74744</c:v>
                </c:pt>
                <c:pt idx="2">
                  <c:v>3120.1919000000003</c:v>
                </c:pt>
                <c:pt idx="3">
                  <c:v>3094.10136</c:v>
                </c:pt>
                <c:pt idx="4">
                  <c:v>3056.64114</c:v>
                </c:pt>
                <c:pt idx="5">
                  <c:v>3298.0256400000003</c:v>
                </c:pt>
                <c:pt idx="6">
                  <c:v>3464.8768000000005</c:v>
                </c:pt>
                <c:pt idx="7">
                  <c:v>3442.4913600000004</c:v>
                </c:pt>
                <c:pt idx="8">
                  <c:v>3430.3474800000004</c:v>
                </c:pt>
                <c:pt idx="9">
                  <c:v>3034.3441800000005</c:v>
                </c:pt>
                <c:pt idx="10">
                  <c:v>2993.75398</c:v>
                </c:pt>
                <c:pt idx="11">
                  <c:v>2884.16044</c:v>
                </c:pt>
                <c:pt idx="12">
                  <c:v>2856.5436200000004</c:v>
                </c:pt>
                <c:pt idx="13">
                  <c:v>2711.6465600000006</c:v>
                </c:pt>
                <c:pt idx="14">
                  <c:v>2274.00236</c:v>
                </c:pt>
              </c:numCache>
            </c:numRef>
          </c:yVal>
          <c:smooth val="0"/>
        </c:ser>
        <c:ser>
          <c:idx val="2"/>
          <c:order val="2"/>
          <c:tx>
            <c:v>Radar and GPR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Sheet1!$C$197:$C$219</c:f>
              <c:numCache>
                <c:ptCount val="23"/>
                <c:pt idx="0">
                  <c:v>105.7694</c:v>
                </c:pt>
                <c:pt idx="1">
                  <c:v>106.4049</c:v>
                </c:pt>
                <c:pt idx="2">
                  <c:v>106.6665</c:v>
                </c:pt>
                <c:pt idx="3">
                  <c:v>107.3917</c:v>
                </c:pt>
                <c:pt idx="4">
                  <c:v>107.5625</c:v>
                </c:pt>
                <c:pt idx="5">
                  <c:v>107.5833</c:v>
                </c:pt>
                <c:pt idx="6">
                  <c:v>107.6903</c:v>
                </c:pt>
                <c:pt idx="7">
                  <c:v>108.3958</c:v>
                </c:pt>
                <c:pt idx="8">
                  <c:v>114.5146</c:v>
                </c:pt>
                <c:pt idx="9">
                  <c:v>114.6493</c:v>
                </c:pt>
                <c:pt idx="10">
                  <c:v>121.4882</c:v>
                </c:pt>
                <c:pt idx="11">
                  <c:v>128.459</c:v>
                </c:pt>
                <c:pt idx="12">
                  <c:v>128.6375</c:v>
                </c:pt>
                <c:pt idx="13">
                  <c:v>130.384</c:v>
                </c:pt>
                <c:pt idx="14">
                  <c:v>134.4903</c:v>
                </c:pt>
                <c:pt idx="15">
                  <c:v>134.6326</c:v>
                </c:pt>
                <c:pt idx="16">
                  <c:v>135.3563</c:v>
                </c:pt>
                <c:pt idx="17">
                  <c:v>135.5188</c:v>
                </c:pt>
                <c:pt idx="18">
                  <c:v>135.6583</c:v>
                </c:pt>
                <c:pt idx="19">
                  <c:v>136.3236</c:v>
                </c:pt>
                <c:pt idx="20">
                  <c:v>136.7042</c:v>
                </c:pt>
                <c:pt idx="21">
                  <c:v>137.3243</c:v>
                </c:pt>
                <c:pt idx="22">
                  <c:v>137.4826</c:v>
                </c:pt>
              </c:numCache>
            </c:numRef>
          </c:xVal>
          <c:yVal>
            <c:numRef>
              <c:f>Sheet1!$D$197:$D$219</c:f>
              <c:numCache>
                <c:ptCount val="23"/>
                <c:pt idx="0">
                  <c:v>3255.26</c:v>
                </c:pt>
                <c:pt idx="1">
                  <c:v>3268.26</c:v>
                </c:pt>
                <c:pt idx="2">
                  <c:v>3416.71</c:v>
                </c:pt>
                <c:pt idx="3">
                  <c:v>3772.82</c:v>
                </c:pt>
                <c:pt idx="4">
                  <c:v>3536.18</c:v>
                </c:pt>
                <c:pt idx="5">
                  <c:v>3643.15</c:v>
                </c:pt>
                <c:pt idx="6">
                  <c:v>3893.69</c:v>
                </c:pt>
                <c:pt idx="7">
                  <c:v>3302.29</c:v>
                </c:pt>
                <c:pt idx="8">
                  <c:v>3227.98</c:v>
                </c:pt>
                <c:pt idx="9">
                  <c:v>3068.89</c:v>
                </c:pt>
                <c:pt idx="10">
                  <c:v>3367.81</c:v>
                </c:pt>
                <c:pt idx="11">
                  <c:v>3191.87</c:v>
                </c:pt>
                <c:pt idx="12">
                  <c:v>3055.83</c:v>
                </c:pt>
                <c:pt idx="13">
                  <c:v>3094.65</c:v>
                </c:pt>
                <c:pt idx="14">
                  <c:v>2964.55</c:v>
                </c:pt>
                <c:pt idx="15">
                  <c:v>2986.81</c:v>
                </c:pt>
                <c:pt idx="16">
                  <c:v>2885.87</c:v>
                </c:pt>
                <c:pt idx="17">
                  <c:v>2793.57</c:v>
                </c:pt>
                <c:pt idx="18">
                  <c:v>2579.3</c:v>
                </c:pt>
                <c:pt idx="19">
                  <c:v>2617.24</c:v>
                </c:pt>
                <c:pt idx="20">
                  <c:v>2672.19</c:v>
                </c:pt>
                <c:pt idx="21">
                  <c:v>2613.88</c:v>
                </c:pt>
                <c:pt idx="22">
                  <c:v>2596.07</c:v>
                </c:pt>
              </c:numCache>
            </c:numRef>
          </c:yVal>
          <c:smooth val="0"/>
        </c:ser>
        <c:ser>
          <c:idx val="3"/>
          <c:order val="3"/>
          <c:tx>
            <c:v>BoogieDopp Calc.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Sheet1!$C$178:$C$192</c:f>
              <c:numCache>
                <c:ptCount val="15"/>
                <c:pt idx="0">
                  <c:v>105.57083333333334</c:v>
                </c:pt>
                <c:pt idx="1">
                  <c:v>105.64652777777778</c:v>
                </c:pt>
                <c:pt idx="2">
                  <c:v>106.47013888888888</c:v>
                </c:pt>
                <c:pt idx="3">
                  <c:v>106.61666666666666</c:v>
                </c:pt>
                <c:pt idx="4">
                  <c:v>107.44444444444444</c:v>
                </c:pt>
                <c:pt idx="5">
                  <c:v>114.58333333333333</c:v>
                </c:pt>
                <c:pt idx="6">
                  <c:v>127.56666666666666</c:v>
                </c:pt>
                <c:pt idx="7">
                  <c:v>128.39305555555555</c:v>
                </c:pt>
                <c:pt idx="8">
                  <c:v>128.57569444444445</c:v>
                </c:pt>
                <c:pt idx="9">
                  <c:v>135.47708333333333</c:v>
                </c:pt>
                <c:pt idx="10">
                  <c:v>135.6159722222222</c:v>
                </c:pt>
                <c:pt idx="11">
                  <c:v>136.425</c:v>
                </c:pt>
                <c:pt idx="12">
                  <c:v>136.63541666666666</c:v>
                </c:pt>
                <c:pt idx="13">
                  <c:v>137.44444444444446</c:v>
                </c:pt>
                <c:pt idx="14">
                  <c:v>78.47222222222223</c:v>
                </c:pt>
              </c:numCache>
            </c:numRef>
          </c:xVal>
          <c:yVal>
            <c:numRef>
              <c:f>Sheet1!$H$178:$H$192</c:f>
              <c:numCache>
                <c:ptCount val="15"/>
                <c:pt idx="0">
                  <c:v>2911.33</c:v>
                </c:pt>
                <c:pt idx="1">
                  <c:v>3361.04</c:v>
                </c:pt>
                <c:pt idx="2">
                  <c:v>2941.76</c:v>
                </c:pt>
                <c:pt idx="3">
                  <c:v>2979.1</c:v>
                </c:pt>
                <c:pt idx="4">
                  <c:v>3009.24</c:v>
                </c:pt>
                <c:pt idx="5">
                  <c:v>3217.06</c:v>
                </c:pt>
                <c:pt idx="6">
                  <c:v>3486.08</c:v>
                </c:pt>
                <c:pt idx="7">
                  <c:v>3431.1</c:v>
                </c:pt>
                <c:pt idx="8">
                  <c:v>3411.68</c:v>
                </c:pt>
                <c:pt idx="9">
                  <c:v>3046.08</c:v>
                </c:pt>
                <c:pt idx="10">
                  <c:v>2897.47</c:v>
                </c:pt>
                <c:pt idx="11">
                  <c:v>2927.78</c:v>
                </c:pt>
                <c:pt idx="12">
                  <c:v>2811.02</c:v>
                </c:pt>
                <c:pt idx="13">
                  <c:v>2648.71</c:v>
                </c:pt>
                <c:pt idx="14">
                  <c:v>2174.97</c:v>
                </c:pt>
              </c:numCache>
            </c:numRef>
          </c:yVal>
          <c:smooth val="0"/>
        </c:ser>
        <c:ser>
          <c:idx val="4"/>
          <c:order val="4"/>
          <c:tx>
            <c:v>Price AA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Sheet1!$D$225:$D$232</c:f>
              <c:numCache>
                <c:ptCount val="8"/>
                <c:pt idx="0">
                  <c:v>64.4326</c:v>
                </c:pt>
                <c:pt idx="1">
                  <c:v>86.4007</c:v>
                </c:pt>
                <c:pt idx="2">
                  <c:v>93.4618</c:v>
                </c:pt>
                <c:pt idx="3">
                  <c:v>100.4194</c:v>
                </c:pt>
                <c:pt idx="4">
                  <c:v>107.4049</c:v>
                </c:pt>
                <c:pt idx="5">
                  <c:v>135.4278</c:v>
                </c:pt>
                <c:pt idx="6">
                  <c:v>136.3674</c:v>
                </c:pt>
                <c:pt idx="7">
                  <c:v>137.6208</c:v>
                </c:pt>
              </c:numCache>
            </c:numRef>
          </c:xVal>
          <c:yVal>
            <c:numRef>
              <c:f>Sheet1!$E$225:$E$232</c:f>
              <c:numCache>
                <c:ptCount val="8"/>
                <c:pt idx="0">
                  <c:v>1990</c:v>
                </c:pt>
                <c:pt idx="1">
                  <c:v>2120</c:v>
                </c:pt>
                <c:pt idx="2">
                  <c:v>1670</c:v>
                </c:pt>
                <c:pt idx="3">
                  <c:v>1810</c:v>
                </c:pt>
                <c:pt idx="4">
                  <c:v>2990</c:v>
                </c:pt>
                <c:pt idx="5">
                  <c:v>3016</c:v>
                </c:pt>
                <c:pt idx="6">
                  <c:v>2710</c:v>
                </c:pt>
                <c:pt idx="7">
                  <c:v>2420</c:v>
                </c:pt>
              </c:numCache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  <c:max val="140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Calendar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6165344"/>
        <c:crosses val="autoZero"/>
        <c:crossBetween val="midCat"/>
        <c:dispUnits/>
        <c:majorUnit val="5"/>
        <c:minorUnit val="1"/>
      </c:valAx>
      <c:valAx>
        <c:axId val="46165344"/>
        <c:scaling>
          <c:orientation val="minMax"/>
          <c:max val="4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2586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BoogieDopp (Calibrated) vs ADCP Measurements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625"/>
          <c:w val="0.914"/>
          <c:h val="0.8105"/>
        </c:manualLayout>
      </c:layout>
      <c:scatterChart>
        <c:scatterStyle val="lineMarker"/>
        <c:varyColors val="0"/>
        <c:ser>
          <c:idx val="0"/>
          <c:order val="0"/>
          <c:tx>
            <c:v>ADCP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Sheet2!$G$7:$G$37</c:f>
              <c:numCache>
                <c:ptCount val="32"/>
                <c:pt idx="0">
                  <c:v>0</c:v>
                </c:pt>
                <c:pt idx="1">
                  <c:v>104.7357638888889</c:v>
                </c:pt>
                <c:pt idx="2">
                  <c:v>104.80156250000002</c:v>
                </c:pt>
                <c:pt idx="3">
                  <c:v>105.40677083333334</c:v>
                </c:pt>
                <c:pt idx="4">
                  <c:v>106.37314814814813</c:v>
                </c:pt>
                <c:pt idx="5">
                  <c:v>106.42326388888888</c:v>
                </c:pt>
                <c:pt idx="6">
                  <c:v>106.56909722222223</c:v>
                </c:pt>
                <c:pt idx="7">
                  <c:v>106.70902777777778</c:v>
                </c:pt>
                <c:pt idx="8">
                  <c:v>107.81423611111111</c:v>
                </c:pt>
                <c:pt idx="9">
                  <c:v>107.49895833333335</c:v>
                </c:pt>
                <c:pt idx="10">
                  <c:v>107.74340277777779</c:v>
                </c:pt>
                <c:pt idx="11">
                  <c:v>108.36788194444445</c:v>
                </c:pt>
                <c:pt idx="12">
                  <c:v>114.42430555555556</c:v>
                </c:pt>
                <c:pt idx="13">
                  <c:v>121.55694444444444</c:v>
                </c:pt>
                <c:pt idx="14">
                  <c:v>127.36715277777778</c:v>
                </c:pt>
                <c:pt idx="15">
                  <c:v>127.60958333333333</c:v>
                </c:pt>
                <c:pt idx="16">
                  <c:v>128.42930555555554</c:v>
                </c:pt>
                <c:pt idx="17">
                  <c:v>128.53819444444446</c:v>
                </c:pt>
                <c:pt idx="18">
                  <c:v>128.65538194444443</c:v>
                </c:pt>
                <c:pt idx="19">
                  <c:v>135.36979166666666</c:v>
                </c:pt>
                <c:pt idx="20">
                  <c:v>135.41979166666667</c:v>
                </c:pt>
                <c:pt idx="21">
                  <c:v>135.57725694444443</c:v>
                </c:pt>
                <c:pt idx="22">
                  <c:v>135.67708333333334</c:v>
                </c:pt>
                <c:pt idx="23">
                  <c:v>136.38229166666667</c:v>
                </c:pt>
                <c:pt idx="24">
                  <c:v>136.57430555555555</c:v>
                </c:pt>
                <c:pt idx="25">
                  <c:v>136.59305555555557</c:v>
                </c:pt>
                <c:pt idx="26">
                  <c:v>136.67378472222222</c:v>
                </c:pt>
                <c:pt idx="27">
                  <c:v>136.68541666666667</c:v>
                </c:pt>
                <c:pt idx="28">
                  <c:v>137.38680555555555</c:v>
                </c:pt>
                <c:pt idx="29">
                  <c:v>137.40225694444445</c:v>
                </c:pt>
                <c:pt idx="30">
                  <c:v>137.50815972222222</c:v>
                </c:pt>
                <c:pt idx="31">
                  <c:v>137.52083333333334</c:v>
                </c:pt>
              </c:numCache>
            </c:numRef>
          </c:xVal>
          <c:yVal>
            <c:numRef>
              <c:f>Sheet2!$H$7:$H$37</c:f>
              <c:numCache>
                <c:ptCount val="32"/>
                <c:pt idx="0">
                  <c:v>0</c:v>
                </c:pt>
                <c:pt idx="1">
                  <c:v>2362.4998346746124</c:v>
                </c:pt>
                <c:pt idx="2">
                  <c:v>2373.749833887349</c:v>
                </c:pt>
                <c:pt idx="3">
                  <c:v>2644.2498149580297</c:v>
                </c:pt>
                <c:pt idx="4">
                  <c:v>2744.666474597638</c:v>
                </c:pt>
                <c:pt idx="5">
                  <c:v>2895.4997973758063</c:v>
                </c:pt>
                <c:pt idx="6">
                  <c:v>2901.249796973427</c:v>
                </c:pt>
                <c:pt idx="7">
                  <c:v>2849.4998005948396</c:v>
                </c:pt>
                <c:pt idx="8">
                  <c:v>2810.7498033065262</c:v>
                </c:pt>
                <c:pt idx="9">
                  <c:v>2877.7497986179333</c:v>
                </c:pt>
                <c:pt idx="10">
                  <c:v>2924.7497953289203</c:v>
                </c:pt>
                <c:pt idx="11">
                  <c:v>2985.2497910951906</c:v>
                </c:pt>
                <c:pt idx="12">
                  <c:v>3036.66645416377</c:v>
                </c:pt>
                <c:pt idx="13">
                  <c:v>3177.2497776592227</c:v>
                </c:pt>
                <c:pt idx="14">
                  <c:v>3266.5997714065993</c:v>
                </c:pt>
                <c:pt idx="15">
                  <c:v>3262.749771676018</c:v>
                </c:pt>
                <c:pt idx="16">
                  <c:v>3219.599774695612</c:v>
                </c:pt>
                <c:pt idx="17">
                  <c:v>3134.9997806158353</c:v>
                </c:pt>
                <c:pt idx="18">
                  <c:v>3096.2497833275215</c:v>
                </c:pt>
                <c:pt idx="19">
                  <c:v>2646.499814800577</c:v>
                </c:pt>
                <c:pt idx="20">
                  <c:v>2855.499800174966</c:v>
                </c:pt>
                <c:pt idx="21">
                  <c:v>2778.749805545854</c:v>
                </c:pt>
                <c:pt idx="22">
                  <c:v>2705.7498106543208</c:v>
                </c:pt>
                <c:pt idx="23">
                  <c:v>2722.749809464678</c:v>
                </c:pt>
                <c:pt idx="24">
                  <c:v>2648.749814643124</c:v>
                </c:pt>
                <c:pt idx="25">
                  <c:v>2655.799814149772</c:v>
                </c:pt>
                <c:pt idx="26">
                  <c:v>2614.74981702241</c:v>
                </c:pt>
                <c:pt idx="27">
                  <c:v>2617.999816794978</c:v>
                </c:pt>
                <c:pt idx="28">
                  <c:v>2473.2498269244384</c:v>
                </c:pt>
                <c:pt idx="29">
                  <c:v>2475.749826749491</c:v>
                </c:pt>
                <c:pt idx="30">
                  <c:v>2538.499822358309</c:v>
                </c:pt>
                <c:pt idx="31">
                  <c:v>2466.9998273618075</c:v>
                </c:pt>
              </c:numCache>
            </c:numRef>
          </c:yVal>
          <c:smooth val="0"/>
        </c:ser>
        <c:ser>
          <c:idx val="1"/>
          <c:order val="1"/>
          <c:tx>
            <c:v>BoogieDopp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Sheet1!$C$178:$C$192</c:f>
              <c:numCache>
                <c:ptCount val="15"/>
                <c:pt idx="0">
                  <c:v>105.57083333333334</c:v>
                </c:pt>
                <c:pt idx="1">
                  <c:v>105.64652777777778</c:v>
                </c:pt>
                <c:pt idx="2">
                  <c:v>106.47013888888888</c:v>
                </c:pt>
                <c:pt idx="3">
                  <c:v>106.61666666666666</c:v>
                </c:pt>
                <c:pt idx="4">
                  <c:v>107.44444444444444</c:v>
                </c:pt>
                <c:pt idx="5">
                  <c:v>114.58333333333333</c:v>
                </c:pt>
                <c:pt idx="6">
                  <c:v>127.56666666666666</c:v>
                </c:pt>
                <c:pt idx="7">
                  <c:v>128.39305555555555</c:v>
                </c:pt>
                <c:pt idx="8">
                  <c:v>128.57569444444445</c:v>
                </c:pt>
                <c:pt idx="9">
                  <c:v>135.47708333333333</c:v>
                </c:pt>
                <c:pt idx="10">
                  <c:v>135.6159722222222</c:v>
                </c:pt>
                <c:pt idx="11">
                  <c:v>136.425</c:v>
                </c:pt>
                <c:pt idx="12">
                  <c:v>136.63541666666666</c:v>
                </c:pt>
                <c:pt idx="13">
                  <c:v>137.44444444444446</c:v>
                </c:pt>
                <c:pt idx="14">
                  <c:v>78.47222222222223</c:v>
                </c:pt>
              </c:numCache>
            </c:numRef>
          </c:xVal>
          <c:yVal>
            <c:numRef>
              <c:f>Sheet1!$E$178:$E$192</c:f>
              <c:numCache>
                <c:ptCount val="15"/>
                <c:pt idx="0">
                  <c:v>3015.6749000000004</c:v>
                </c:pt>
                <c:pt idx="1">
                  <c:v>3093.74744</c:v>
                </c:pt>
                <c:pt idx="2">
                  <c:v>3120.1919000000003</c:v>
                </c:pt>
                <c:pt idx="3">
                  <c:v>3094.10136</c:v>
                </c:pt>
                <c:pt idx="4">
                  <c:v>3056.64114</c:v>
                </c:pt>
                <c:pt idx="5">
                  <c:v>3298.0256400000003</c:v>
                </c:pt>
                <c:pt idx="6">
                  <c:v>3464.8768000000005</c:v>
                </c:pt>
                <c:pt idx="7">
                  <c:v>3442.4913600000004</c:v>
                </c:pt>
                <c:pt idx="8">
                  <c:v>3430.3474800000004</c:v>
                </c:pt>
                <c:pt idx="9">
                  <c:v>3034.3441800000005</c:v>
                </c:pt>
                <c:pt idx="10">
                  <c:v>2993.75398</c:v>
                </c:pt>
                <c:pt idx="11">
                  <c:v>2884.16044</c:v>
                </c:pt>
                <c:pt idx="12">
                  <c:v>2856.5436200000004</c:v>
                </c:pt>
                <c:pt idx="13">
                  <c:v>2711.6465600000006</c:v>
                </c:pt>
                <c:pt idx="14">
                  <c:v>2274.00236</c:v>
                </c:pt>
              </c:numCache>
            </c:numRef>
          </c:yVal>
          <c:smooth val="0"/>
        </c:ser>
        <c:axId val="12834913"/>
        <c:axId val="48405354"/>
      </c:scatterChart>
      <c:valAx>
        <c:axId val="1283491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Calendar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8405354"/>
        <c:crosses val="autoZero"/>
        <c:crossBetween val="midCat"/>
        <c:dispUnits/>
      </c:valAx>
      <c:valAx>
        <c:axId val="48405354"/>
        <c:scaling>
          <c:orientation val="minMax"/>
          <c:max val="4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2834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3"/>
          <c:y val="0.9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Computed vs Direct BoogieDopp Discharge Measurements</a:t>
            </a:r>
          </a:p>
        </c:rich>
      </c:tx>
      <c:layout>
        <c:manualLayout>
          <c:xMode val="factor"/>
          <c:yMode val="factor"/>
          <c:x val="-0.057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825"/>
          <c:w val="0.838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Sheet1!$H$178:$H$192</c:f>
              <c:numCache>
                <c:ptCount val="15"/>
                <c:pt idx="0">
                  <c:v>2911.33</c:v>
                </c:pt>
                <c:pt idx="1">
                  <c:v>3361.04</c:v>
                </c:pt>
                <c:pt idx="2">
                  <c:v>2941.76</c:v>
                </c:pt>
                <c:pt idx="3">
                  <c:v>2979.1</c:v>
                </c:pt>
                <c:pt idx="4">
                  <c:v>3009.24</c:v>
                </c:pt>
                <c:pt idx="5">
                  <c:v>3217.06</c:v>
                </c:pt>
                <c:pt idx="6">
                  <c:v>3486.08</c:v>
                </c:pt>
                <c:pt idx="7">
                  <c:v>3431.1</c:v>
                </c:pt>
                <c:pt idx="8">
                  <c:v>3411.68</c:v>
                </c:pt>
                <c:pt idx="9">
                  <c:v>3046.08</c:v>
                </c:pt>
                <c:pt idx="10">
                  <c:v>2897.47</c:v>
                </c:pt>
                <c:pt idx="11">
                  <c:v>2927.78</c:v>
                </c:pt>
                <c:pt idx="12">
                  <c:v>2811.02</c:v>
                </c:pt>
                <c:pt idx="13">
                  <c:v>2648.71</c:v>
                </c:pt>
                <c:pt idx="14">
                  <c:v>2174.97</c:v>
                </c:pt>
              </c:numCache>
            </c:numRef>
          </c:xVal>
          <c:yVal>
            <c:numRef>
              <c:f>Sheet1!$E$178:$E$192</c:f>
              <c:numCache>
                <c:ptCount val="15"/>
                <c:pt idx="0">
                  <c:v>3015.6749000000004</c:v>
                </c:pt>
                <c:pt idx="1">
                  <c:v>3093.74744</c:v>
                </c:pt>
                <c:pt idx="2">
                  <c:v>3120.1919000000003</c:v>
                </c:pt>
                <c:pt idx="3">
                  <c:v>3094.10136</c:v>
                </c:pt>
                <c:pt idx="4">
                  <c:v>3056.64114</c:v>
                </c:pt>
                <c:pt idx="5">
                  <c:v>3298.0256400000003</c:v>
                </c:pt>
                <c:pt idx="6">
                  <c:v>3464.8768000000005</c:v>
                </c:pt>
                <c:pt idx="7">
                  <c:v>3442.4913600000004</c:v>
                </c:pt>
                <c:pt idx="8">
                  <c:v>3430.3474800000004</c:v>
                </c:pt>
                <c:pt idx="9">
                  <c:v>3034.3441800000005</c:v>
                </c:pt>
                <c:pt idx="10">
                  <c:v>2993.75398</c:v>
                </c:pt>
                <c:pt idx="11">
                  <c:v>2884.16044</c:v>
                </c:pt>
                <c:pt idx="12">
                  <c:v>2856.5436200000004</c:v>
                </c:pt>
                <c:pt idx="13">
                  <c:v>2711.6465600000006</c:v>
                </c:pt>
                <c:pt idx="14">
                  <c:v>2274.00236</c:v>
                </c:pt>
              </c:numCache>
            </c:numRef>
          </c:yVal>
          <c:smooth val="0"/>
        </c:ser>
        <c:axId val="32995003"/>
        <c:axId val="28519572"/>
      </c:scatterChart>
      <c:valAx>
        <c:axId val="32995003"/>
        <c:scaling>
          <c:orientation val="minMax"/>
          <c:max val="40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Computed Discharge, in Cubic 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8519572"/>
        <c:crosses val="autoZero"/>
        <c:crossBetween val="midCat"/>
        <c:dispUnits/>
        <c:majorUnit val="500"/>
        <c:minorUnit val="100"/>
      </c:valAx>
      <c:valAx>
        <c:axId val="28519572"/>
        <c:scaling>
          <c:orientation val="minMax"/>
          <c:max val="4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Measured Dischargei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29950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0"/>
  <sheetViews>
    <sheetView tabSelected="1" workbookViewId="0" topLeftCell="A36">
      <selection activeCell="D45" sqref="D45"/>
    </sheetView>
  </sheetViews>
  <sheetFormatPr defaultColWidth="9.140625" defaultRowHeight="12.75"/>
  <cols>
    <col min="2" max="2" width="10.28125" style="0" customWidth="1"/>
    <col min="3" max="3" width="11.7109375" style="0" customWidth="1"/>
    <col min="4" max="5" width="10.57421875" style="0" customWidth="1"/>
    <col min="6" max="6" width="14.140625" style="0" customWidth="1"/>
    <col min="7" max="7" width="13.28125" style="0" customWidth="1"/>
    <col min="8" max="8" width="9.57421875" style="0" bestFit="1" customWidth="1"/>
    <col min="9" max="9" width="7.00390625" style="0" customWidth="1"/>
    <col min="10" max="10" width="9.57421875" style="0" bestFit="1" customWidth="1"/>
    <col min="11" max="11" width="7.00390625" style="0" customWidth="1"/>
  </cols>
  <sheetData>
    <row r="2" ht="17.25">
      <c r="A2" s="3" t="s">
        <v>1</v>
      </c>
    </row>
    <row r="3" ht="13.5" thickBot="1"/>
    <row r="4" spans="1:7" ht="12" customHeight="1" thickTop="1">
      <c r="A4" s="17" t="s">
        <v>0</v>
      </c>
      <c r="B4" s="15" t="s">
        <v>6</v>
      </c>
      <c r="C4" s="15" t="s">
        <v>8</v>
      </c>
      <c r="D4" s="15" t="s">
        <v>3</v>
      </c>
      <c r="E4" s="15" t="s">
        <v>3</v>
      </c>
      <c r="F4" s="17" t="s">
        <v>4</v>
      </c>
      <c r="G4" s="15" t="s">
        <v>4</v>
      </c>
    </row>
    <row r="5" spans="1:7" ht="12.75" customHeight="1" thickBot="1">
      <c r="A5" s="28"/>
      <c r="B5" s="28" t="s">
        <v>32</v>
      </c>
      <c r="C5" s="28" t="s">
        <v>7</v>
      </c>
      <c r="D5" s="28" t="s">
        <v>33</v>
      </c>
      <c r="E5" s="28" t="s">
        <v>34</v>
      </c>
      <c r="F5" s="16" t="s">
        <v>34</v>
      </c>
      <c r="G5" s="16" t="s">
        <v>33</v>
      </c>
    </row>
    <row r="6" spans="1:7" ht="13.5" thickTop="1">
      <c r="A6" s="5">
        <v>37360</v>
      </c>
      <c r="B6" s="6">
        <v>1737</v>
      </c>
      <c r="C6" s="19">
        <f>104+(17+37/60)/24</f>
        <v>104.73402777777778</v>
      </c>
      <c r="D6" s="6">
        <v>2346</v>
      </c>
      <c r="E6" s="10">
        <f>(D6*0.02831685)</f>
        <v>66.4313301</v>
      </c>
      <c r="G6" s="30"/>
    </row>
    <row r="7" spans="1:7" ht="12.75">
      <c r="A7" s="5">
        <v>37360</v>
      </c>
      <c r="B7" s="6">
        <v>1742</v>
      </c>
      <c r="C7" s="19">
        <f>104+(17+42/60)/24</f>
        <v>104.7375</v>
      </c>
      <c r="D7" s="6">
        <v>2379</v>
      </c>
      <c r="E7" s="25">
        <f>(D7*0.02831685)</f>
        <v>67.36578615</v>
      </c>
      <c r="F7" s="10">
        <f>AVERAGE(Sheet1!E6:E7)</f>
        <v>66.898558125</v>
      </c>
      <c r="G7" s="10">
        <f>AVERAGE(D6:D7)</f>
        <v>2362.5</v>
      </c>
    </row>
    <row r="8" spans="1:7" ht="12.75">
      <c r="A8" s="5"/>
      <c r="B8" s="6"/>
      <c r="C8" s="19"/>
      <c r="D8" s="6"/>
      <c r="E8" s="13"/>
      <c r="G8" s="14"/>
    </row>
    <row r="9" spans="1:7" ht="12.75">
      <c r="A9" s="5">
        <v>37360</v>
      </c>
      <c r="B9" s="6">
        <v>1906</v>
      </c>
      <c r="C9" s="19">
        <f>104+(19+0.1)/24</f>
        <v>104.79583333333333</v>
      </c>
      <c r="D9" s="6">
        <v>2391</v>
      </c>
      <c r="E9" s="10">
        <f>(D9*0.02831685)</f>
        <v>67.70558835</v>
      </c>
      <c r="G9" s="14"/>
    </row>
    <row r="10" spans="1:7" ht="12.75">
      <c r="A10" s="5">
        <v>37360</v>
      </c>
      <c r="B10" s="6">
        <v>1913</v>
      </c>
      <c r="C10" s="19">
        <f>104+(19+13/60)/24</f>
        <v>104.80069444444445</v>
      </c>
      <c r="D10" s="6">
        <v>2440</v>
      </c>
      <c r="E10" s="10">
        <f>(D10*0.02831685)</f>
        <v>69.093114</v>
      </c>
      <c r="G10" s="14"/>
    </row>
    <row r="11" spans="1:7" ht="12.75">
      <c r="A11" s="5">
        <v>37360</v>
      </c>
      <c r="B11" s="6">
        <v>1917</v>
      </c>
      <c r="C11" s="19">
        <f>104+(19+17/60)/24</f>
        <v>104.80347222222223</v>
      </c>
      <c r="D11" s="6">
        <v>2224</v>
      </c>
      <c r="E11" s="10">
        <f>(D11*0.02831685)</f>
        <v>62.9766744</v>
      </c>
      <c r="G11" s="14"/>
    </row>
    <row r="12" spans="1:7" ht="12.75">
      <c r="A12" s="5">
        <v>37360</v>
      </c>
      <c r="B12" s="6">
        <v>1921</v>
      </c>
      <c r="C12" s="19">
        <f>104+(19+21/60)/24</f>
        <v>104.80625</v>
      </c>
      <c r="D12" s="6">
        <v>2440</v>
      </c>
      <c r="E12" s="25">
        <f>(D12*0.02831685)</f>
        <v>69.093114</v>
      </c>
      <c r="F12" s="10">
        <f>AVERAGE(Sheet1!E9:E12)</f>
        <v>67.2171226875</v>
      </c>
      <c r="G12" s="10">
        <f>AVERAGE(D9:D12)</f>
        <v>2373.75</v>
      </c>
    </row>
    <row r="13" ht="12.75">
      <c r="G13" s="14"/>
    </row>
    <row r="14" spans="1:7" ht="12.75">
      <c r="A14" s="5">
        <v>37361</v>
      </c>
      <c r="B14" s="6">
        <v>939</v>
      </c>
      <c r="C14" s="19">
        <f>105+(9+39/60)/24</f>
        <v>105.40208333333334</v>
      </c>
      <c r="D14" s="6">
        <v>2739</v>
      </c>
      <c r="E14" s="10">
        <f>(D14*0.02831685)</f>
        <v>77.55985215</v>
      </c>
      <c r="G14" s="14"/>
    </row>
    <row r="15" spans="1:7" ht="12.75">
      <c r="A15" s="5">
        <v>37361</v>
      </c>
      <c r="B15" s="6">
        <v>945</v>
      </c>
      <c r="C15" s="19">
        <f>105+(9+45/60)/24</f>
        <v>105.40625</v>
      </c>
      <c r="D15" s="6">
        <v>2457</v>
      </c>
      <c r="E15" s="10">
        <f>(D15*0.02831685)</f>
        <v>69.57450045</v>
      </c>
      <c r="G15" s="14"/>
    </row>
    <row r="16" spans="1:7" ht="12.75">
      <c r="A16" s="5">
        <v>37361</v>
      </c>
      <c r="B16" s="6">
        <v>948</v>
      </c>
      <c r="C16" s="19">
        <f>105+(9+48/60)/24</f>
        <v>105.40833333333333</v>
      </c>
      <c r="D16" s="6">
        <v>2677</v>
      </c>
      <c r="E16" s="10">
        <f>(D16*0.02831685)</f>
        <v>75.80420745</v>
      </c>
      <c r="G16" s="14"/>
    </row>
    <row r="17" spans="1:7" ht="12.75">
      <c r="A17" s="5">
        <v>37361</v>
      </c>
      <c r="B17" s="6">
        <v>951</v>
      </c>
      <c r="C17" s="19">
        <f>105+(9+51/60)/24</f>
        <v>105.41041666666666</v>
      </c>
      <c r="D17" s="6">
        <v>2704</v>
      </c>
      <c r="E17" s="25">
        <f>(D17*0.02831685)</f>
        <v>76.5687624</v>
      </c>
      <c r="F17" s="10">
        <f>AVERAGE(Sheet1!E14:E17)</f>
        <v>74.8768306125</v>
      </c>
      <c r="G17" s="10">
        <f>AVERAGE(D14:D17)</f>
        <v>2644.25</v>
      </c>
    </row>
    <row r="18" spans="1:7" ht="12.75">
      <c r="A18" s="1"/>
      <c r="B18" s="2"/>
      <c r="C18" s="19"/>
      <c r="D18" s="2"/>
      <c r="E18" s="14"/>
      <c r="G18" s="14"/>
    </row>
    <row r="19" spans="1:7" ht="12.75">
      <c r="A19" s="5">
        <v>37362</v>
      </c>
      <c r="B19" s="6">
        <v>847</v>
      </c>
      <c r="C19" s="19">
        <f>106+(8+47/60)/24</f>
        <v>106.36597222222223</v>
      </c>
      <c r="D19" s="6">
        <v>2527</v>
      </c>
      <c r="E19" s="10">
        <f aca="true" t="shared" si="0" ref="E19:E24">(D19*0.02831685)</f>
        <v>71.55667995</v>
      </c>
      <c r="G19" s="14"/>
    </row>
    <row r="20" spans="1:7" ht="12.75">
      <c r="A20" s="5">
        <v>37362</v>
      </c>
      <c r="B20" s="6">
        <v>852</v>
      </c>
      <c r="C20" s="19">
        <f>106+(8+52/60)/24</f>
        <v>106.36944444444444</v>
      </c>
      <c r="D20" s="6">
        <v>2831</v>
      </c>
      <c r="E20" s="10">
        <f t="shared" si="0"/>
        <v>80.16500235000001</v>
      </c>
      <c r="G20" s="14"/>
    </row>
    <row r="21" spans="1:7" ht="12.75">
      <c r="A21" s="5">
        <v>37362</v>
      </c>
      <c r="B21" s="6">
        <v>856</v>
      </c>
      <c r="C21" s="19">
        <f>106+(8+59/60)/24</f>
        <v>106.37430555555555</v>
      </c>
      <c r="D21" s="6">
        <v>2800</v>
      </c>
      <c r="E21" s="10">
        <f t="shared" si="0"/>
        <v>79.28718</v>
      </c>
      <c r="G21" s="14"/>
    </row>
    <row r="22" spans="1:7" ht="12.75">
      <c r="A22" s="5">
        <v>37362</v>
      </c>
      <c r="B22" s="6">
        <v>859</v>
      </c>
      <c r="C22" s="19">
        <f>106+(8+59/60)/24</f>
        <v>106.37430555555555</v>
      </c>
      <c r="D22" s="6">
        <v>2661</v>
      </c>
      <c r="E22" s="10">
        <f t="shared" si="0"/>
        <v>75.35113785</v>
      </c>
      <c r="G22" s="14"/>
    </row>
    <row r="23" spans="1:7" ht="12.75">
      <c r="A23" s="5">
        <v>37362</v>
      </c>
      <c r="B23" s="6">
        <v>902</v>
      </c>
      <c r="C23" s="19">
        <f>106+(9+2/60)/24</f>
        <v>106.37638888888888</v>
      </c>
      <c r="D23" s="6">
        <v>2768</v>
      </c>
      <c r="E23" s="10">
        <f t="shared" si="0"/>
        <v>78.38104080000001</v>
      </c>
      <c r="G23" s="14"/>
    </row>
    <row r="24" spans="1:7" ht="12.75">
      <c r="A24" s="5">
        <v>37362</v>
      </c>
      <c r="B24" s="6">
        <v>905</v>
      </c>
      <c r="C24" s="19">
        <f>106+(9+5/60)/24</f>
        <v>106.37847222222223</v>
      </c>
      <c r="D24" s="6">
        <v>2881</v>
      </c>
      <c r="E24" s="25">
        <f t="shared" si="0"/>
        <v>81.58084485</v>
      </c>
      <c r="F24" s="10">
        <f>AVERAGE(Sheet1!E19:E24)</f>
        <v>77.7203143</v>
      </c>
      <c r="G24" s="10">
        <f>AVERAGE(D19:D24)</f>
        <v>2744.6666666666665</v>
      </c>
    </row>
    <row r="25" spans="1:7" ht="12.75">
      <c r="A25" s="2"/>
      <c r="B25" s="2"/>
      <c r="C25" s="19"/>
      <c r="D25" s="2"/>
      <c r="E25" s="14"/>
      <c r="G25" s="14"/>
    </row>
    <row r="26" spans="1:7" ht="12.75">
      <c r="A26" s="5">
        <v>37362</v>
      </c>
      <c r="B26" s="6">
        <v>1003</v>
      </c>
      <c r="C26" s="19">
        <f>106+(10+3/60)/24</f>
        <v>106.41875</v>
      </c>
      <c r="D26" s="6">
        <v>2929</v>
      </c>
      <c r="E26" s="10">
        <f>(D26*0.02831685)</f>
        <v>82.94005365000001</v>
      </c>
      <c r="G26" s="14"/>
    </row>
    <row r="27" spans="1:7" ht="12.75">
      <c r="A27" s="5">
        <v>37362</v>
      </c>
      <c r="B27" s="6">
        <v>1008</v>
      </c>
      <c r="C27" s="19">
        <f>106+(10+8/60)/24</f>
        <v>106.42222222222222</v>
      </c>
      <c r="D27" s="6">
        <v>2950</v>
      </c>
      <c r="E27" s="10">
        <f>(D27*0.02831685)</f>
        <v>83.5347075</v>
      </c>
      <c r="G27" s="14"/>
    </row>
    <row r="28" spans="1:7" ht="12.75">
      <c r="A28" s="5">
        <v>37362</v>
      </c>
      <c r="B28" s="6">
        <v>1012</v>
      </c>
      <c r="C28" s="19">
        <f>106+(10+12/60)/24</f>
        <v>106.425</v>
      </c>
      <c r="D28" s="6">
        <v>2848</v>
      </c>
      <c r="E28" s="10">
        <f>(D28*0.02831685)</f>
        <v>80.6463888</v>
      </c>
      <c r="G28" s="14"/>
    </row>
    <row r="29" spans="1:9" ht="12.75">
      <c r="A29" s="5">
        <v>37362</v>
      </c>
      <c r="B29" s="6">
        <v>1015</v>
      </c>
      <c r="C29" s="19">
        <f>106+(10+15/60)/24</f>
        <v>106.42708333333333</v>
      </c>
      <c r="D29" s="6">
        <v>2855</v>
      </c>
      <c r="E29" s="25">
        <f>(D29*0.02831685)</f>
        <v>80.84460675</v>
      </c>
      <c r="F29" s="10">
        <f>AVERAGE(Sheet1!E26:E29)</f>
        <v>81.99143917500001</v>
      </c>
      <c r="G29" s="10">
        <f>AVERAGE(D26:D29)</f>
        <v>2895.5</v>
      </c>
      <c r="I29" s="4"/>
    </row>
    <row r="30" spans="1:9" ht="12.75">
      <c r="A30" s="2"/>
      <c r="B30" s="2"/>
      <c r="C30" s="19"/>
      <c r="D30" s="2"/>
      <c r="E30" s="14"/>
      <c r="F30" s="26"/>
      <c r="G30" s="31"/>
      <c r="I30" s="4"/>
    </row>
    <row r="31" spans="1:9" ht="12.75">
      <c r="A31" s="5">
        <v>37362</v>
      </c>
      <c r="B31" s="6">
        <v>1332</v>
      </c>
      <c r="C31" s="19">
        <f>106+(13+32/60)/24</f>
        <v>106.56388888888888</v>
      </c>
      <c r="D31" s="6">
        <v>2972</v>
      </c>
      <c r="E31" s="10">
        <f>(D31*0.02831685)</f>
        <v>84.1576782</v>
      </c>
      <c r="G31" s="14"/>
      <c r="I31" s="4"/>
    </row>
    <row r="32" spans="1:9" ht="12.75">
      <c r="A32" s="5">
        <v>37362</v>
      </c>
      <c r="B32" s="6">
        <v>1337</v>
      </c>
      <c r="C32" s="19">
        <f>106+(13+37/60)/24</f>
        <v>106.56736111111111</v>
      </c>
      <c r="D32" s="6">
        <v>2882</v>
      </c>
      <c r="E32" s="10">
        <f>(D32*0.02831685)</f>
        <v>81.6091617</v>
      </c>
      <c r="G32" s="14"/>
      <c r="I32" s="4"/>
    </row>
    <row r="33" spans="1:9" ht="12.75">
      <c r="A33" s="5">
        <v>37362</v>
      </c>
      <c r="B33" s="6">
        <v>1342</v>
      </c>
      <c r="C33" s="19">
        <f>106+(13+42/60)/24</f>
        <v>106.57083333333334</v>
      </c>
      <c r="D33" s="6">
        <v>2874</v>
      </c>
      <c r="E33" s="10">
        <f>(D33*0.02831685)</f>
        <v>81.3826269</v>
      </c>
      <c r="G33" s="14"/>
      <c r="I33" s="4"/>
    </row>
    <row r="34" spans="1:9" ht="12.75">
      <c r="A34" s="5">
        <v>37362</v>
      </c>
      <c r="B34" s="6">
        <v>1347</v>
      </c>
      <c r="C34" s="19">
        <f>106+(13+47/60)/24</f>
        <v>106.57430555555555</v>
      </c>
      <c r="D34" s="6">
        <v>2877</v>
      </c>
      <c r="E34" s="25">
        <f>(D34*0.02831685)</f>
        <v>81.46757745000001</v>
      </c>
      <c r="F34" s="10">
        <f>AVERAGE(Sheet1!E31:E34)</f>
        <v>82.15426106250001</v>
      </c>
      <c r="G34" s="10">
        <f>AVERAGE(D31:D34)</f>
        <v>2901.25</v>
      </c>
      <c r="I34" s="4"/>
    </row>
    <row r="35" spans="1:9" ht="12.75">
      <c r="A35" s="2"/>
      <c r="B35" s="2"/>
      <c r="C35" s="19"/>
      <c r="D35" s="2"/>
      <c r="E35" s="14"/>
      <c r="G35" s="14"/>
      <c r="I35" s="4"/>
    </row>
    <row r="36" spans="1:9" ht="12.75">
      <c r="A36" s="5">
        <v>37362</v>
      </c>
      <c r="B36" s="6">
        <v>1655</v>
      </c>
      <c r="C36" s="19">
        <f>106+(16+55/60)/24</f>
        <v>106.70486111111111</v>
      </c>
      <c r="D36" s="6">
        <v>2799</v>
      </c>
      <c r="E36" s="10">
        <f>(D36*0.02831685)</f>
        <v>79.25886315</v>
      </c>
      <c r="G36" s="14"/>
      <c r="I36" s="4"/>
    </row>
    <row r="37" spans="1:9" ht="12.75">
      <c r="A37" s="5">
        <v>37362</v>
      </c>
      <c r="B37" s="6">
        <v>1659</v>
      </c>
      <c r="C37" s="19">
        <f>106+(16+59/60)/24</f>
        <v>106.7076388888889</v>
      </c>
      <c r="D37" s="6">
        <v>2915</v>
      </c>
      <c r="E37" s="10">
        <f>(D37*0.02831685)</f>
        <v>82.54361775000001</v>
      </c>
      <c r="G37" s="14"/>
      <c r="I37" s="4"/>
    </row>
    <row r="38" spans="1:9" ht="12.75">
      <c r="A38" s="5">
        <v>37362</v>
      </c>
      <c r="B38" s="6">
        <v>1703</v>
      </c>
      <c r="C38" s="19">
        <f>106+(17+3/60)/24</f>
        <v>106.71041666666666</v>
      </c>
      <c r="D38" s="6">
        <v>2844</v>
      </c>
      <c r="E38" s="10">
        <f>(D38*0.02831685)</f>
        <v>80.5331214</v>
      </c>
      <c r="G38" s="14"/>
      <c r="I38" s="4"/>
    </row>
    <row r="39" spans="1:9" ht="12.75">
      <c r="A39" s="5">
        <v>37362</v>
      </c>
      <c r="B39" s="6">
        <v>1707</v>
      </c>
      <c r="C39" s="19">
        <f>106+(17+7/60)/24</f>
        <v>106.71319444444444</v>
      </c>
      <c r="D39" s="6">
        <v>2840</v>
      </c>
      <c r="E39" s="25">
        <f>(D39*0.02831685)</f>
        <v>80.419854</v>
      </c>
      <c r="F39" s="10">
        <f>AVERAGE(Sheet1!E36:E39)</f>
        <v>80.688864075</v>
      </c>
      <c r="G39" s="10">
        <f>AVERAGE(D31:D34)</f>
        <v>2901.25</v>
      </c>
      <c r="I39" s="4"/>
    </row>
    <row r="40" spans="1:9" ht="12.75">
      <c r="A40" s="2"/>
      <c r="B40" s="2"/>
      <c r="C40" s="19"/>
      <c r="D40" s="2"/>
      <c r="E40" s="14"/>
      <c r="G40" s="14"/>
      <c r="I40" s="4"/>
    </row>
    <row r="41" spans="1:9" ht="12.75">
      <c r="A41" s="5">
        <v>37363</v>
      </c>
      <c r="B41" s="6">
        <v>825</v>
      </c>
      <c r="C41" s="19">
        <f>107+(8+25/60)/24</f>
        <v>107.35069444444444</v>
      </c>
      <c r="D41" s="6">
        <v>2790</v>
      </c>
      <c r="E41" s="10">
        <f>(D41*0.02831685)</f>
        <v>79.0040115</v>
      </c>
      <c r="G41" s="14"/>
      <c r="I41" s="4"/>
    </row>
    <row r="42" spans="1:9" ht="12.75">
      <c r="A42" s="5">
        <v>37363</v>
      </c>
      <c r="B42" s="6">
        <v>832</v>
      </c>
      <c r="C42" s="19">
        <f>107+(8+32/60)/24</f>
        <v>107.35555555555555</v>
      </c>
      <c r="D42" s="6">
        <v>2866</v>
      </c>
      <c r="E42" s="10">
        <f>(D42*0.02831685)</f>
        <v>81.15609210000001</v>
      </c>
      <c r="G42" s="14"/>
      <c r="I42" s="4"/>
    </row>
    <row r="43" spans="1:9" ht="12.75">
      <c r="A43" s="7">
        <v>37363</v>
      </c>
      <c r="B43" s="8">
        <v>836</v>
      </c>
      <c r="C43" s="19">
        <f>107+(8+36/60)/24</f>
        <v>107.35833333333333</v>
      </c>
      <c r="D43" s="8">
        <v>2819</v>
      </c>
      <c r="E43" s="10">
        <f>(D43*0.02831685)</f>
        <v>79.82520015</v>
      </c>
      <c r="G43" s="14"/>
      <c r="I43" s="4"/>
    </row>
    <row r="44" spans="1:9" ht="12.75">
      <c r="A44" s="5">
        <v>37363</v>
      </c>
      <c r="B44" s="6">
        <v>841</v>
      </c>
      <c r="C44" s="19">
        <f>107+(8+41/60)/24</f>
        <v>107.36180555555555</v>
      </c>
      <c r="D44" s="6">
        <v>2768</v>
      </c>
      <c r="E44" s="25">
        <f>(D44*0.02831685)</f>
        <v>78.38104080000001</v>
      </c>
      <c r="F44" s="10">
        <f>AVERAGE(Sheet1!E41:E44)</f>
        <v>79.5915861375</v>
      </c>
      <c r="G44" s="10">
        <f>AVERAGE(D41:D44)</f>
        <v>2810.75</v>
      </c>
      <c r="I44" s="4"/>
    </row>
    <row r="45" spans="1:9" ht="12.75">
      <c r="A45" s="1"/>
      <c r="B45" s="2"/>
      <c r="C45" s="23"/>
      <c r="D45" s="2"/>
      <c r="E45" s="14"/>
      <c r="G45" s="14"/>
      <c r="I45" s="4"/>
    </row>
    <row r="46" spans="1:9" ht="12.75">
      <c r="A46" s="5">
        <v>37363</v>
      </c>
      <c r="B46" s="6">
        <v>1159</v>
      </c>
      <c r="C46" s="19">
        <f>107+(11+59/60)/24</f>
        <v>107.49930555555555</v>
      </c>
      <c r="D46" s="6">
        <v>2829</v>
      </c>
      <c r="E46" s="10">
        <f>(D46*0.02831685)</f>
        <v>80.10836865</v>
      </c>
      <c r="G46" s="14"/>
      <c r="I46" s="4"/>
    </row>
    <row r="47" spans="1:9" ht="12.75">
      <c r="A47" s="5">
        <v>37363</v>
      </c>
      <c r="B47" s="6">
        <v>1205</v>
      </c>
      <c r="C47" s="19">
        <f>107+(12+5/60)/24</f>
        <v>107.50347222222223</v>
      </c>
      <c r="D47" s="6">
        <v>2854</v>
      </c>
      <c r="E47" s="10">
        <f>(D47*0.02831685)</f>
        <v>80.8162899</v>
      </c>
      <c r="G47" s="14"/>
      <c r="I47" s="4"/>
    </row>
    <row r="48" spans="1:9" ht="12.75">
      <c r="A48" s="5">
        <v>37363</v>
      </c>
      <c r="B48" s="6">
        <v>1210</v>
      </c>
      <c r="C48" s="19">
        <f>107+(12+10/60)/24</f>
        <v>107.50694444444444</v>
      </c>
      <c r="D48" s="6">
        <v>2865</v>
      </c>
      <c r="E48" s="10">
        <f>(D48*0.02831685)</f>
        <v>81.12777525</v>
      </c>
      <c r="G48" s="14"/>
      <c r="I48" s="4"/>
    </row>
    <row r="49" spans="1:9" ht="12.75">
      <c r="A49" s="5">
        <v>37363</v>
      </c>
      <c r="B49" s="6">
        <v>1214</v>
      </c>
      <c r="C49" s="19">
        <f>107+(12+14/60)/24</f>
        <v>107.50972222222222</v>
      </c>
      <c r="D49" s="6">
        <v>2963</v>
      </c>
      <c r="E49" s="25">
        <f>(D49*0.02831685)</f>
        <v>83.90282655</v>
      </c>
      <c r="F49" s="10">
        <f>AVERAGE(Sheet1!E46:E49)</f>
        <v>81.4888150875</v>
      </c>
      <c r="G49" s="10">
        <f>AVERAGE(D46:D49)</f>
        <v>2877.75</v>
      </c>
      <c r="I49" s="4"/>
    </row>
    <row r="50" spans="1:9" ht="12.75">
      <c r="A50" s="2"/>
      <c r="B50" s="2"/>
      <c r="C50" s="19"/>
      <c r="D50" s="2"/>
      <c r="E50" s="14"/>
      <c r="G50" s="14"/>
      <c r="I50" s="4"/>
    </row>
    <row r="51" spans="1:9" ht="12.75">
      <c r="A51" s="5">
        <v>37363</v>
      </c>
      <c r="B51" s="6">
        <v>1713</v>
      </c>
      <c r="C51" s="19">
        <f>107+(19+21/60)/24</f>
        <v>107.80625</v>
      </c>
      <c r="D51" s="6">
        <v>2852</v>
      </c>
      <c r="E51" s="10">
        <f>(D51*0.02831685)</f>
        <v>80.75965620000001</v>
      </c>
      <c r="G51" s="14"/>
      <c r="I51" s="4"/>
    </row>
    <row r="52" spans="1:9" ht="12.75">
      <c r="A52" s="5">
        <v>37363</v>
      </c>
      <c r="B52" s="6">
        <v>1717</v>
      </c>
      <c r="C52" s="19">
        <f>107+(17+17/60)/24</f>
        <v>107.72013888888888</v>
      </c>
      <c r="D52" s="6">
        <v>2928</v>
      </c>
      <c r="E52" s="10">
        <f>(D52*0.02831685)</f>
        <v>82.9117368</v>
      </c>
      <c r="G52" s="14"/>
      <c r="I52" s="4"/>
    </row>
    <row r="53" spans="1:9" ht="12.75">
      <c r="A53" s="5">
        <v>37363</v>
      </c>
      <c r="B53" s="6">
        <v>1720</v>
      </c>
      <c r="C53" s="19">
        <f>107+(17+20/60)/24</f>
        <v>107.72222222222223</v>
      </c>
      <c r="D53" s="6">
        <v>2929</v>
      </c>
      <c r="E53" s="10">
        <f>(D53*0.02831685)</f>
        <v>82.94005365000001</v>
      </c>
      <c r="G53" s="14"/>
      <c r="I53" s="4"/>
    </row>
    <row r="54" spans="1:9" ht="12.75">
      <c r="A54" s="5">
        <v>37363</v>
      </c>
      <c r="B54" s="6">
        <v>1724</v>
      </c>
      <c r="C54" s="19">
        <f>107+(17+24/60)/24</f>
        <v>107.725</v>
      </c>
      <c r="D54" s="6">
        <v>2990</v>
      </c>
      <c r="E54" s="25">
        <f>(D54*0.02831685)</f>
        <v>84.6673815</v>
      </c>
      <c r="F54" s="10">
        <f>AVERAGE(Sheet1!E51:E54)</f>
        <v>82.81970703750001</v>
      </c>
      <c r="G54" s="10">
        <f>AVERAGE(D51:D54)</f>
        <v>2924.75</v>
      </c>
      <c r="I54" s="4"/>
    </row>
    <row r="55" spans="1:9" ht="12.75">
      <c r="A55" s="2"/>
      <c r="B55" s="2"/>
      <c r="C55" s="19"/>
      <c r="D55" s="2"/>
      <c r="E55" s="14"/>
      <c r="G55" s="14"/>
      <c r="I55" s="4"/>
    </row>
    <row r="56" spans="1:9" ht="12.75">
      <c r="A56" s="5">
        <v>37364</v>
      </c>
      <c r="B56" s="6">
        <v>845</v>
      </c>
      <c r="C56" s="19">
        <f>108+(8+45/60)/24</f>
        <v>108.36458333333333</v>
      </c>
      <c r="D56" s="6">
        <v>2990</v>
      </c>
      <c r="E56" s="10">
        <f>(D56*0.02831685)</f>
        <v>84.6673815</v>
      </c>
      <c r="G56" s="14"/>
      <c r="I56" s="4"/>
    </row>
    <row r="57" spans="1:9" ht="12.75">
      <c r="A57" s="5">
        <v>37364</v>
      </c>
      <c r="B57" s="6">
        <v>848</v>
      </c>
      <c r="C57" s="19">
        <f>108+(8+48/60)/24</f>
        <v>108.36666666666666</v>
      </c>
      <c r="D57" s="6">
        <v>2981</v>
      </c>
      <c r="E57" s="10">
        <f>(D57*0.02831685)</f>
        <v>84.41252985</v>
      </c>
      <c r="G57" s="14"/>
      <c r="I57" s="4"/>
    </row>
    <row r="58" spans="1:9" ht="12.75">
      <c r="A58" s="5">
        <v>37364</v>
      </c>
      <c r="B58" s="6">
        <v>851</v>
      </c>
      <c r="C58" s="19">
        <f>108+(8+51/60)/24</f>
        <v>108.36875</v>
      </c>
      <c r="D58" s="6">
        <v>2889</v>
      </c>
      <c r="E58" s="10">
        <f>(D58*0.02831685)</f>
        <v>81.80737965</v>
      </c>
      <c r="G58" s="14"/>
      <c r="I58" s="4"/>
    </row>
    <row r="59" spans="1:9" ht="12.75">
      <c r="A59" s="5">
        <v>37364</v>
      </c>
      <c r="B59" s="6">
        <v>855</v>
      </c>
      <c r="C59" s="19">
        <f>108+(8+55/60)/24</f>
        <v>108.37152777777777</v>
      </c>
      <c r="D59" s="6">
        <v>3081</v>
      </c>
      <c r="E59" s="25">
        <f>(D59*0.02831685)</f>
        <v>87.24421485</v>
      </c>
      <c r="F59" s="10">
        <f>AVERAGE(Sheet1!E56:E59)</f>
        <v>84.5328764625</v>
      </c>
      <c r="G59" s="10">
        <f>AVERAGE(D56:D59)</f>
        <v>2985.25</v>
      </c>
      <c r="I59" s="4"/>
    </row>
    <row r="60" spans="1:9" ht="12.75">
      <c r="A60" s="2"/>
      <c r="B60" s="2"/>
      <c r="C60" s="19"/>
      <c r="D60" s="2"/>
      <c r="E60" s="14"/>
      <c r="G60" s="14"/>
      <c r="I60" s="4"/>
    </row>
    <row r="61" spans="1:9" ht="12.75">
      <c r="A61" s="5">
        <v>37370</v>
      </c>
      <c r="B61" s="6">
        <v>957</v>
      </c>
      <c r="C61" s="19">
        <f>114+(9+57/60)/24</f>
        <v>114.41458333333334</v>
      </c>
      <c r="D61" s="6">
        <v>3083</v>
      </c>
      <c r="E61" s="10">
        <f aca="true" t="shared" si="1" ref="E61:E66">(D61*0.02831685)</f>
        <v>87.30084855</v>
      </c>
      <c r="G61" s="14"/>
      <c r="I61" s="4"/>
    </row>
    <row r="62" spans="1:9" ht="12.75">
      <c r="A62" s="5">
        <v>37370</v>
      </c>
      <c r="B62" s="6">
        <v>1002</v>
      </c>
      <c r="C62" s="19">
        <f>114+(10+2/60)/24</f>
        <v>114.41805555555555</v>
      </c>
      <c r="D62" s="6">
        <v>2942</v>
      </c>
      <c r="E62" s="10">
        <f t="shared" si="1"/>
        <v>83.3081727</v>
      </c>
      <c r="G62" s="14"/>
      <c r="I62" s="4"/>
    </row>
    <row r="63" spans="1:9" ht="12.75">
      <c r="A63" s="5">
        <v>37370</v>
      </c>
      <c r="B63" s="6">
        <v>1007</v>
      </c>
      <c r="C63" s="19">
        <f>114+(10+7/60)/24</f>
        <v>114.42152777777778</v>
      </c>
      <c r="D63" s="6">
        <v>2969</v>
      </c>
      <c r="E63" s="10">
        <f t="shared" si="1"/>
        <v>84.07272765</v>
      </c>
      <c r="G63" s="14"/>
      <c r="I63" s="4"/>
    </row>
    <row r="64" spans="1:9" ht="12.75">
      <c r="A64" s="5">
        <v>37370</v>
      </c>
      <c r="B64" s="6">
        <v>1015</v>
      </c>
      <c r="C64" s="19">
        <f>114+(10+15/60)/24</f>
        <v>114.42708333333333</v>
      </c>
      <c r="D64" s="6">
        <v>3055</v>
      </c>
      <c r="E64" s="10">
        <f t="shared" si="1"/>
        <v>86.50797675</v>
      </c>
      <c r="G64" s="14"/>
      <c r="I64" s="4"/>
    </row>
    <row r="65" spans="1:9" ht="12.75">
      <c r="A65" s="5">
        <v>37370</v>
      </c>
      <c r="B65" s="6">
        <v>1020</v>
      </c>
      <c r="C65" s="19">
        <f>114+(10+20/60)/24</f>
        <v>114.43055555555556</v>
      </c>
      <c r="D65" s="6">
        <v>3108</v>
      </c>
      <c r="E65" s="10">
        <f t="shared" si="1"/>
        <v>88.00876980000001</v>
      </c>
      <c r="G65" s="14"/>
      <c r="I65" s="4"/>
    </row>
    <row r="66" spans="1:9" ht="12.75">
      <c r="A66" s="5">
        <v>37370</v>
      </c>
      <c r="B66" s="6">
        <v>1025</v>
      </c>
      <c r="C66" s="19">
        <f>114+(10+25/60)/24</f>
        <v>114.43402777777777</v>
      </c>
      <c r="D66" s="6">
        <v>3063</v>
      </c>
      <c r="E66" s="25">
        <f t="shared" si="1"/>
        <v>86.73451155000001</v>
      </c>
      <c r="F66" s="10">
        <f>AVERAGE(Sheet1!E61:E66)</f>
        <v>85.9888345</v>
      </c>
      <c r="G66" s="10">
        <f>AVERAGE(D61:D66)</f>
        <v>3036.6666666666665</v>
      </c>
      <c r="I66" s="4"/>
    </row>
    <row r="67" spans="1:9" ht="12.75">
      <c r="A67" s="2"/>
      <c r="B67" s="2"/>
      <c r="C67" s="19"/>
      <c r="D67" s="2"/>
      <c r="E67" s="14"/>
      <c r="G67" s="14"/>
      <c r="I67" s="4"/>
    </row>
    <row r="68" spans="1:9" ht="12.75">
      <c r="A68" s="5">
        <v>37377</v>
      </c>
      <c r="B68" s="6">
        <v>1312</v>
      </c>
      <c r="C68" s="19">
        <f>121+(13+12/60)/24</f>
        <v>121.55</v>
      </c>
      <c r="D68" s="6">
        <v>3100</v>
      </c>
      <c r="E68" s="10">
        <f>(D68*0.02831685)</f>
        <v>87.782235</v>
      </c>
      <c r="G68" s="14"/>
      <c r="I68" s="4"/>
    </row>
    <row r="69" spans="1:9" ht="12.75">
      <c r="A69" s="5">
        <v>37377</v>
      </c>
      <c r="B69" s="6">
        <v>1316</v>
      </c>
      <c r="C69" s="19">
        <f>121+(13+16/60)/24</f>
        <v>121.55277777777778</v>
      </c>
      <c r="D69" s="6">
        <v>3187</v>
      </c>
      <c r="E69" s="10">
        <f>(D69*0.02831685)</f>
        <v>90.24580095</v>
      </c>
      <c r="G69" s="14"/>
      <c r="I69" s="4"/>
    </row>
    <row r="70" spans="1:9" ht="12.75">
      <c r="A70" s="5">
        <v>37377</v>
      </c>
      <c r="B70" s="6">
        <v>1326</v>
      </c>
      <c r="C70" s="19">
        <f>121+(13+26/60)/24</f>
        <v>121.55972222222222</v>
      </c>
      <c r="D70" s="6">
        <v>3222</v>
      </c>
      <c r="E70" s="10">
        <f>(D70*0.02831685)</f>
        <v>91.2368907</v>
      </c>
      <c r="G70" s="14"/>
      <c r="I70" s="4"/>
    </row>
    <row r="71" spans="1:9" ht="12.75">
      <c r="A71" s="5">
        <v>37377</v>
      </c>
      <c r="B71" s="6">
        <v>1334</v>
      </c>
      <c r="C71" s="19">
        <f>121+(13+34/60)/24</f>
        <v>121.56527777777778</v>
      </c>
      <c r="D71" s="6">
        <v>3200</v>
      </c>
      <c r="E71" s="25">
        <f>(D71*0.02831685)</f>
        <v>90.61392000000001</v>
      </c>
      <c r="F71" s="10">
        <f>AVERAGE(Sheet1!E68:E71)</f>
        <v>89.9697116625</v>
      </c>
      <c r="G71" s="10">
        <f>AVERAGE(D68:D71)</f>
        <v>3177.25</v>
      </c>
      <c r="I71" s="4"/>
    </row>
    <row r="72" spans="1:9" ht="12.75">
      <c r="A72" s="2"/>
      <c r="B72" s="2"/>
      <c r="C72" s="19"/>
      <c r="D72" s="2"/>
      <c r="E72" s="14"/>
      <c r="G72" s="14"/>
      <c r="I72" s="4"/>
    </row>
    <row r="73" spans="1:9" ht="12.75">
      <c r="A73" s="5">
        <v>37383</v>
      </c>
      <c r="B73" s="6">
        <v>832</v>
      </c>
      <c r="C73" s="19">
        <f>127+(8+32/60)/24</f>
        <v>127.35555555555555</v>
      </c>
      <c r="D73" s="6">
        <v>3318</v>
      </c>
      <c r="E73" s="10">
        <f>(D73*0.02831685)</f>
        <v>93.9553083</v>
      </c>
      <c r="G73" s="14"/>
      <c r="I73" s="4"/>
    </row>
    <row r="74" spans="1:9" ht="12.75">
      <c r="A74" s="5">
        <v>37383</v>
      </c>
      <c r="B74" s="6">
        <v>836</v>
      </c>
      <c r="C74" s="19">
        <f>127+(8+36/60)/24</f>
        <v>127.35833333333333</v>
      </c>
      <c r="D74" s="6">
        <v>3302</v>
      </c>
      <c r="E74" s="10">
        <f aca="true" t="shared" si="2" ref="E74:E82">(D74*0.02831685)</f>
        <v>93.5022387</v>
      </c>
      <c r="G74" s="14"/>
      <c r="I74" s="4"/>
    </row>
    <row r="75" spans="1:9" ht="12.75">
      <c r="A75" s="5">
        <v>37383</v>
      </c>
      <c r="B75" s="6">
        <v>840</v>
      </c>
      <c r="C75" s="19">
        <f>127+(8+40/60)/24</f>
        <v>127.36111111111111</v>
      </c>
      <c r="D75" s="6">
        <v>3192</v>
      </c>
      <c r="E75" s="10">
        <f t="shared" si="2"/>
        <v>90.3873852</v>
      </c>
      <c r="G75" s="14"/>
      <c r="I75" s="4"/>
    </row>
    <row r="76" spans="1:9" ht="12.75">
      <c r="A76" s="5">
        <v>37383</v>
      </c>
      <c r="B76" s="6">
        <v>844</v>
      </c>
      <c r="C76" s="19">
        <f>127+(8+44/60)/24</f>
        <v>127.3638888888889</v>
      </c>
      <c r="D76" s="6">
        <v>3345</v>
      </c>
      <c r="E76" s="10">
        <f t="shared" si="2"/>
        <v>94.71986325</v>
      </c>
      <c r="G76" s="14"/>
      <c r="I76" s="4"/>
    </row>
    <row r="77" spans="1:9" ht="12.75">
      <c r="A77" s="5">
        <v>37383</v>
      </c>
      <c r="B77" s="6">
        <v>847</v>
      </c>
      <c r="C77" s="19">
        <f>127+(8+32/60)/24</f>
        <v>127.35555555555555</v>
      </c>
      <c r="D77" s="6">
        <v>3142</v>
      </c>
      <c r="E77" s="10">
        <f t="shared" si="2"/>
        <v>88.9715427</v>
      </c>
      <c r="G77" s="14"/>
      <c r="I77" s="4"/>
    </row>
    <row r="78" spans="1:9" ht="12.75">
      <c r="A78" s="5">
        <v>37383</v>
      </c>
      <c r="B78" s="6">
        <v>852</v>
      </c>
      <c r="C78" s="19">
        <f>127+(8+52/60)/24</f>
        <v>127.36944444444444</v>
      </c>
      <c r="D78" s="6">
        <v>3254</v>
      </c>
      <c r="E78" s="10">
        <f t="shared" si="2"/>
        <v>92.1430299</v>
      </c>
      <c r="G78" s="14"/>
      <c r="I78" s="4"/>
    </row>
    <row r="79" spans="1:9" ht="12.75">
      <c r="A79" s="5">
        <v>37383</v>
      </c>
      <c r="B79" s="6">
        <v>856</v>
      </c>
      <c r="C79" s="19">
        <f>127+(8+56/60)/24</f>
        <v>127.37222222222222</v>
      </c>
      <c r="D79" s="6">
        <v>3322</v>
      </c>
      <c r="E79" s="10">
        <f t="shared" si="2"/>
        <v>94.0685757</v>
      </c>
      <c r="G79" s="14"/>
      <c r="I79" s="4"/>
    </row>
    <row r="80" spans="1:9" ht="12.75">
      <c r="A80" s="5">
        <v>37383</v>
      </c>
      <c r="B80" s="6">
        <v>901</v>
      </c>
      <c r="C80" s="19">
        <f>127+(9+1/60)/24</f>
        <v>127.37569444444445</v>
      </c>
      <c r="D80" s="6">
        <v>3269</v>
      </c>
      <c r="E80" s="10">
        <f t="shared" si="2"/>
        <v>92.56778265</v>
      </c>
      <c r="G80" s="14"/>
      <c r="I80" s="4"/>
    </row>
    <row r="81" spans="1:9" ht="12.75">
      <c r="A81" s="5">
        <v>37383</v>
      </c>
      <c r="B81" s="6">
        <v>905</v>
      </c>
      <c r="C81" s="19">
        <f>127+(9+5/60)/24</f>
        <v>127.37847222222223</v>
      </c>
      <c r="D81" s="6">
        <v>3231</v>
      </c>
      <c r="E81" s="10">
        <f t="shared" si="2"/>
        <v>91.49174235000001</v>
      </c>
      <c r="G81" s="14"/>
      <c r="I81" s="4"/>
    </row>
    <row r="82" spans="1:9" ht="12.75">
      <c r="A82" s="5">
        <v>37383</v>
      </c>
      <c r="B82" s="6">
        <v>909</v>
      </c>
      <c r="C82" s="19">
        <f>127+(9+9/60)/24</f>
        <v>127.38125</v>
      </c>
      <c r="D82" s="6">
        <v>3291</v>
      </c>
      <c r="E82" s="25">
        <f t="shared" si="2"/>
        <v>93.19075335000001</v>
      </c>
      <c r="F82" s="10">
        <f>AVERAGE(Sheet1!E73:E82)</f>
        <v>92.49982221</v>
      </c>
      <c r="G82" s="10">
        <f>AVERAGE(D73:D82)</f>
        <v>3266.6</v>
      </c>
      <c r="I82" s="4"/>
    </row>
    <row r="83" spans="1:9" ht="12.75">
      <c r="A83" s="2"/>
      <c r="B83" s="2"/>
      <c r="C83" s="19"/>
      <c r="D83" s="2"/>
      <c r="E83" s="14"/>
      <c r="G83" s="14"/>
      <c r="I83" s="4"/>
    </row>
    <row r="84" spans="1:9" ht="12.75">
      <c r="A84" s="5">
        <v>37383</v>
      </c>
      <c r="B84" s="6">
        <v>1426</v>
      </c>
      <c r="C84" s="19">
        <f>127+(14+26/60)/24</f>
        <v>127.60138888888889</v>
      </c>
      <c r="D84" s="6">
        <v>3251</v>
      </c>
      <c r="E84" s="10">
        <f>(D84*0.02831685)</f>
        <v>92.05807935</v>
      </c>
      <c r="G84" s="14"/>
      <c r="I84" s="4"/>
    </row>
    <row r="85" spans="1:9" ht="12.75">
      <c r="A85" s="5">
        <v>37383</v>
      </c>
      <c r="B85" s="6">
        <v>1435</v>
      </c>
      <c r="C85" s="19">
        <f>127+(14+35/60)/24</f>
        <v>127.60763888888889</v>
      </c>
      <c r="D85" s="6">
        <v>3265</v>
      </c>
      <c r="E85" s="10">
        <f>(D85*0.02831685)</f>
        <v>92.45451525</v>
      </c>
      <c r="G85" s="14"/>
      <c r="I85" s="4"/>
    </row>
    <row r="86" spans="1:9" ht="12.75">
      <c r="A86" s="5">
        <v>37383</v>
      </c>
      <c r="B86" s="6">
        <v>1439</v>
      </c>
      <c r="C86" s="19">
        <f>127+(14+39/60)/24</f>
        <v>127.61041666666667</v>
      </c>
      <c r="D86" s="6">
        <v>3278</v>
      </c>
      <c r="E86" s="10">
        <f>(D86*0.02831685)</f>
        <v>92.8226343</v>
      </c>
      <c r="G86" s="14"/>
      <c r="I86" s="4"/>
    </row>
    <row r="87" spans="1:9" ht="12.75">
      <c r="A87" s="5">
        <v>37383</v>
      </c>
      <c r="B87" s="6">
        <v>1442</v>
      </c>
      <c r="C87" s="19">
        <f>127+(14+42/60)/24</f>
        <v>127.6125</v>
      </c>
      <c r="D87" s="6">
        <v>3257</v>
      </c>
      <c r="E87" s="10">
        <f>(D87*0.02831685)</f>
        <v>92.22798045</v>
      </c>
      <c r="G87" s="14"/>
      <c r="I87" s="4"/>
    </row>
    <row r="88" spans="1:9" ht="12.75">
      <c r="A88" s="5">
        <v>37383</v>
      </c>
      <c r="B88" s="6">
        <v>1447</v>
      </c>
      <c r="C88" s="19">
        <f>127+(14+47/60)/24</f>
        <v>127.61597222222223</v>
      </c>
      <c r="D88" s="6">
        <v>3299</v>
      </c>
      <c r="E88" s="25">
        <f>(D88*0.02831685)</f>
        <v>93.41728815</v>
      </c>
      <c r="F88" s="10">
        <f>AVERAGE(Sheet1!E83:E87)</f>
        <v>92.3908023375</v>
      </c>
      <c r="G88" s="10">
        <f>AVERAGE(D84:D88)</f>
        <v>3270</v>
      </c>
      <c r="I88" s="4"/>
    </row>
    <row r="89" spans="1:9" ht="12.75">
      <c r="A89" s="2"/>
      <c r="B89" s="2"/>
      <c r="C89" s="19"/>
      <c r="D89" s="2"/>
      <c r="E89" s="14"/>
      <c r="G89" s="14"/>
      <c r="I89" s="4"/>
    </row>
    <row r="90" spans="1:9" ht="12.75">
      <c r="A90" s="5">
        <v>37384</v>
      </c>
      <c r="B90" s="6">
        <v>1011</v>
      </c>
      <c r="C90" s="19">
        <f>128+(10+11/60)/24</f>
        <v>128.42430555555555</v>
      </c>
      <c r="D90" s="6">
        <v>3245</v>
      </c>
      <c r="E90" s="10">
        <f>(D90*0.02831685)</f>
        <v>91.88817825000001</v>
      </c>
      <c r="G90" s="14"/>
      <c r="I90" s="4"/>
    </row>
    <row r="91" spans="1:9" ht="12.75">
      <c r="A91" s="5">
        <v>37384</v>
      </c>
      <c r="B91" s="6">
        <v>1015</v>
      </c>
      <c r="C91" s="19">
        <f>128+(10+15/60)/24</f>
        <v>128.42708333333334</v>
      </c>
      <c r="D91" s="6">
        <v>3232</v>
      </c>
      <c r="E91" s="10">
        <f>(D91*0.02831685)</f>
        <v>91.5200592</v>
      </c>
      <c r="G91" s="14"/>
      <c r="I91" s="4"/>
    </row>
    <row r="92" spans="1:9" ht="12.75">
      <c r="A92" s="5">
        <v>37384</v>
      </c>
      <c r="B92" s="6">
        <v>1018</v>
      </c>
      <c r="C92" s="19">
        <f>128+(10+18/60)/24</f>
        <v>128.42916666666667</v>
      </c>
      <c r="D92" s="6">
        <v>3188</v>
      </c>
      <c r="E92" s="10">
        <f>(D92*0.02831685)</f>
        <v>90.2741178</v>
      </c>
      <c r="G92" s="14"/>
      <c r="I92" s="4"/>
    </row>
    <row r="93" spans="1:9" ht="12.75">
      <c r="A93" s="5">
        <v>37384</v>
      </c>
      <c r="B93" s="6">
        <v>1022</v>
      </c>
      <c r="C93" s="19">
        <f>128+(10+22/60)/24</f>
        <v>128.43194444444444</v>
      </c>
      <c r="D93" s="6">
        <v>3274</v>
      </c>
      <c r="E93" s="10">
        <f>(D93*0.02831685)</f>
        <v>92.7093669</v>
      </c>
      <c r="G93" s="14"/>
      <c r="I93" s="4"/>
    </row>
    <row r="94" spans="1:9" ht="12.75">
      <c r="A94" s="5">
        <v>37384</v>
      </c>
      <c r="B94" s="6">
        <v>1025</v>
      </c>
      <c r="C94" s="19">
        <f>128+(10+25/60)/24</f>
        <v>128.43402777777777</v>
      </c>
      <c r="D94" s="6">
        <v>3159</v>
      </c>
      <c r="E94" s="25">
        <f>(D94*0.02831685)</f>
        <v>89.45292915</v>
      </c>
      <c r="F94" s="10">
        <f>AVERAGE(Sheet1!E90:E94)</f>
        <v>91.16893026</v>
      </c>
      <c r="G94" s="10">
        <f>AVERAGE(D90:D94)</f>
        <v>3219.6</v>
      </c>
      <c r="I94" s="4"/>
    </row>
    <row r="95" spans="1:9" ht="12.75">
      <c r="A95" s="1"/>
      <c r="B95" s="2"/>
      <c r="C95" s="23"/>
      <c r="D95" s="2"/>
      <c r="E95" s="14"/>
      <c r="G95" s="14"/>
      <c r="I95" s="4"/>
    </row>
    <row r="96" spans="1:9" ht="12.75">
      <c r="A96" s="2"/>
      <c r="B96" s="2"/>
      <c r="C96" s="24"/>
      <c r="D96" s="2"/>
      <c r="E96" s="14"/>
      <c r="G96" s="14"/>
      <c r="I96" s="4"/>
    </row>
    <row r="97" spans="1:9" ht="12.75">
      <c r="A97" s="5">
        <v>37384</v>
      </c>
      <c r="B97" s="6">
        <v>1248</v>
      </c>
      <c r="C97" s="19">
        <f>128+(12+48/60)/24</f>
        <v>128.53333333333333</v>
      </c>
      <c r="D97" s="6">
        <v>3127</v>
      </c>
      <c r="E97" s="10">
        <f>(D97*0.02831685)</f>
        <v>88.54678995</v>
      </c>
      <c r="G97" s="14"/>
      <c r="I97" s="4"/>
    </row>
    <row r="98" spans="1:9" ht="12.75">
      <c r="A98" s="5">
        <v>37384</v>
      </c>
      <c r="B98" s="6">
        <v>1254</v>
      </c>
      <c r="C98" s="19">
        <f>128+(12+54/60)/24</f>
        <v>128.5375</v>
      </c>
      <c r="D98" s="6">
        <v>3200</v>
      </c>
      <c r="E98" s="10">
        <f>(D98*0.02831685)</f>
        <v>90.61392000000001</v>
      </c>
      <c r="G98" s="14"/>
      <c r="I98" s="4"/>
    </row>
    <row r="99" spans="1:9" ht="12.75">
      <c r="A99" s="5">
        <v>37384</v>
      </c>
      <c r="B99" s="6">
        <v>1257</v>
      </c>
      <c r="C99" s="19">
        <f>128+(12+57/60)/24</f>
        <v>128.53958333333333</v>
      </c>
      <c r="D99" s="6">
        <v>3060</v>
      </c>
      <c r="E99" s="10">
        <f>(D99*0.02831685)</f>
        <v>86.649561</v>
      </c>
      <c r="G99" s="14"/>
      <c r="I99" s="4"/>
    </row>
    <row r="100" spans="1:9" ht="12.75">
      <c r="A100" s="5">
        <v>37384</v>
      </c>
      <c r="B100" s="6">
        <v>1301</v>
      </c>
      <c r="C100" s="19">
        <f>128+(13+1/60)/24</f>
        <v>128.54236111111112</v>
      </c>
      <c r="D100" s="6">
        <v>3153</v>
      </c>
      <c r="E100" s="25">
        <f>(D100*0.02831685)</f>
        <v>89.28302805</v>
      </c>
      <c r="F100" s="10">
        <f>AVERAGE(Sheet1!E97:E100)</f>
        <v>88.77332475</v>
      </c>
      <c r="G100" s="10">
        <f>AVERAGE(D97:D100)</f>
        <v>3135</v>
      </c>
      <c r="I100" s="4"/>
    </row>
    <row r="101" spans="1:9" ht="12.75">
      <c r="A101" s="2"/>
      <c r="B101" s="2"/>
      <c r="C101" s="19"/>
      <c r="D101" s="2"/>
      <c r="E101" s="14"/>
      <c r="G101" s="14"/>
      <c r="I101" s="4"/>
    </row>
    <row r="102" spans="1:9" ht="12.75">
      <c r="A102" s="5">
        <v>37384</v>
      </c>
      <c r="B102" s="6">
        <v>1538</v>
      </c>
      <c r="C102" s="19">
        <f>128+(15+38/60)/24</f>
        <v>128.6513888888889</v>
      </c>
      <c r="D102" s="6">
        <v>3037</v>
      </c>
      <c r="E102" s="10">
        <f>(D102*0.02831685)</f>
        <v>85.99827345</v>
      </c>
      <c r="G102" s="14"/>
      <c r="I102" s="4"/>
    </row>
    <row r="103" spans="1:9" ht="12.75">
      <c r="A103" s="5">
        <v>37384</v>
      </c>
      <c r="B103" s="6">
        <v>1543</v>
      </c>
      <c r="C103" s="19">
        <f>128+(15+43/60)/24</f>
        <v>128.6548611111111</v>
      </c>
      <c r="D103" s="6">
        <v>3118</v>
      </c>
      <c r="E103" s="10">
        <f>(D103*0.02831685)</f>
        <v>88.2919383</v>
      </c>
      <c r="G103" s="14"/>
      <c r="I103" s="4"/>
    </row>
    <row r="104" spans="1:9" ht="12.75">
      <c r="A104" s="5">
        <v>37384</v>
      </c>
      <c r="B104" s="6">
        <v>1545</v>
      </c>
      <c r="C104" s="19">
        <f>128+(15+45/60)/24</f>
        <v>128.65625</v>
      </c>
      <c r="D104" s="6">
        <v>3089</v>
      </c>
      <c r="E104" s="10">
        <f>(D104*0.02831685)</f>
        <v>87.47074965</v>
      </c>
      <c r="G104" s="14"/>
      <c r="I104" s="4"/>
    </row>
    <row r="105" spans="1:9" ht="12.75">
      <c r="A105" s="5">
        <v>37384</v>
      </c>
      <c r="B105" s="6">
        <v>1549</v>
      </c>
      <c r="C105" s="19">
        <f>128+(15+49/60)/24</f>
        <v>128.65902777777777</v>
      </c>
      <c r="D105" s="6">
        <v>3141</v>
      </c>
      <c r="E105" s="25">
        <f>(D105*0.02831685)</f>
        <v>88.94322585</v>
      </c>
      <c r="F105" s="10">
        <f>AVERAGE(Sheet1!E102:E105)</f>
        <v>87.6760468125</v>
      </c>
      <c r="G105" s="10">
        <f>AVERAGE(D102:D105)</f>
        <v>3096.25</v>
      </c>
      <c r="I105" s="4"/>
    </row>
    <row r="106" spans="1:9" ht="12.75">
      <c r="A106" s="22"/>
      <c r="B106" s="4"/>
      <c r="C106" s="20"/>
      <c r="D106" s="4"/>
      <c r="E106" s="11"/>
      <c r="F106" s="11"/>
      <c r="G106" s="11"/>
      <c r="I106" s="4"/>
    </row>
    <row r="107" spans="1:9" ht="12.75">
      <c r="A107" s="5">
        <v>37392</v>
      </c>
      <c r="B107" s="6">
        <v>847</v>
      </c>
      <c r="C107" s="19">
        <f>135+(8+47/60)/24</f>
        <v>135.3659722222222</v>
      </c>
      <c r="D107" s="6">
        <v>2632</v>
      </c>
      <c r="E107" s="10">
        <f>(D107*0.02831685)</f>
        <v>74.5299492</v>
      </c>
      <c r="G107" s="14"/>
      <c r="I107" s="4"/>
    </row>
    <row r="108" spans="1:9" ht="12.75">
      <c r="A108" s="5">
        <v>37392</v>
      </c>
      <c r="B108" s="6">
        <v>851</v>
      </c>
      <c r="C108" s="19">
        <f>135+(8+51/60)/24</f>
        <v>135.36875</v>
      </c>
      <c r="D108" s="6">
        <v>2648</v>
      </c>
      <c r="E108" s="10">
        <f>(D108*0.02831685)</f>
        <v>74.9830188</v>
      </c>
      <c r="G108" s="14"/>
      <c r="I108" s="4"/>
    </row>
    <row r="109" spans="1:9" ht="12.75">
      <c r="A109" s="5">
        <v>37392</v>
      </c>
      <c r="B109" s="6">
        <v>854</v>
      </c>
      <c r="C109" s="19">
        <f>135+(8+54/60)/24</f>
        <v>135.37083333333334</v>
      </c>
      <c r="D109" s="6">
        <v>2646</v>
      </c>
      <c r="E109" s="10">
        <f>(D109*0.02831685)</f>
        <v>74.9263851</v>
      </c>
      <c r="G109" s="14"/>
      <c r="I109" s="4"/>
    </row>
    <row r="110" spans="1:9" ht="12.75">
      <c r="A110" s="5">
        <v>37392</v>
      </c>
      <c r="B110" s="6">
        <v>858</v>
      </c>
      <c r="C110" s="19">
        <f>135+(8+58/60)/24</f>
        <v>135.3736111111111</v>
      </c>
      <c r="D110" s="6">
        <v>2660</v>
      </c>
      <c r="E110" s="25">
        <f>(D110*0.02831685)</f>
        <v>75.322821</v>
      </c>
      <c r="F110" s="10">
        <f>AVERAGE(Sheet1!E107:E110)</f>
        <v>74.94054352500001</v>
      </c>
      <c r="G110" s="10">
        <f>AVERAGE(D107:D110)</f>
        <v>2646.5</v>
      </c>
      <c r="I110" s="4"/>
    </row>
    <row r="111" spans="1:9" ht="12.75">
      <c r="A111" s="22"/>
      <c r="B111" s="4"/>
      <c r="C111" s="20"/>
      <c r="D111" s="4"/>
      <c r="E111" s="11"/>
      <c r="F111" s="11"/>
      <c r="G111" s="11"/>
      <c r="I111" s="4"/>
    </row>
    <row r="112" spans="1:9" ht="12.75">
      <c r="A112" s="5">
        <v>37391</v>
      </c>
      <c r="B112" s="6">
        <v>946</v>
      </c>
      <c r="C112" s="19">
        <f>135+(9+46/60)/24</f>
        <v>135.40694444444443</v>
      </c>
      <c r="D112" s="6">
        <v>2896</v>
      </c>
      <c r="E112" s="10">
        <f>(D112*0.02831685)</f>
        <v>82.0055976</v>
      </c>
      <c r="G112" s="14"/>
      <c r="I112" s="4"/>
    </row>
    <row r="113" spans="1:9" ht="12.75">
      <c r="A113" s="5">
        <v>37391</v>
      </c>
      <c r="B113" s="6">
        <v>950</v>
      </c>
      <c r="C113" s="19">
        <f>135+(9+50/60)/24</f>
        <v>135.40972222222223</v>
      </c>
      <c r="D113" s="6">
        <v>2803</v>
      </c>
      <c r="E113" s="10">
        <f>(D113*0.02831685)</f>
        <v>79.37213055000001</v>
      </c>
      <c r="G113" s="14"/>
      <c r="I113" s="4"/>
    </row>
    <row r="114" spans="1:9" ht="12.75">
      <c r="A114" s="5">
        <v>37391</v>
      </c>
      <c r="B114" s="6">
        <v>1019</v>
      </c>
      <c r="C114" s="19">
        <f>135+(10+19/60)/24</f>
        <v>135.4298611111111</v>
      </c>
      <c r="D114" s="6">
        <v>2905</v>
      </c>
      <c r="E114" s="10">
        <f>(D114*0.02831685)</f>
        <v>82.26044925000001</v>
      </c>
      <c r="G114" s="14"/>
      <c r="I114" s="4"/>
    </row>
    <row r="115" spans="1:9" ht="12.75">
      <c r="A115" s="5">
        <v>37391</v>
      </c>
      <c r="B115" s="6">
        <v>1023</v>
      </c>
      <c r="C115" s="19">
        <f>135+(10+23/60)/24</f>
        <v>135.4326388888889</v>
      </c>
      <c r="D115" s="6">
        <v>2818</v>
      </c>
      <c r="E115" s="25">
        <f>(D115*0.02831685)</f>
        <v>79.7968833</v>
      </c>
      <c r="F115" s="10">
        <f>AVERAGE(Sheet1!E112:E115)</f>
        <v>80.858765175</v>
      </c>
      <c r="G115" s="10">
        <f>AVERAGE(D112:D115)</f>
        <v>2855.5</v>
      </c>
      <c r="I115" s="4"/>
    </row>
    <row r="116" spans="1:9" ht="12.75">
      <c r="A116" s="22"/>
      <c r="B116" s="4"/>
      <c r="C116" s="20"/>
      <c r="D116" s="4"/>
      <c r="E116" s="11"/>
      <c r="F116" s="11"/>
      <c r="G116" s="11"/>
      <c r="I116" s="4"/>
    </row>
    <row r="117" spans="1:9" ht="12.75">
      <c r="A117" s="5">
        <v>37391</v>
      </c>
      <c r="B117" s="6">
        <v>1346</v>
      </c>
      <c r="C117" s="19">
        <f>135+(13+46/60)/24</f>
        <v>135.57361111111112</v>
      </c>
      <c r="D117" s="6">
        <v>2860</v>
      </c>
      <c r="E117" s="10">
        <f>(D117*0.02831685)</f>
        <v>80.986191</v>
      </c>
      <c r="G117" s="14"/>
      <c r="I117" s="4"/>
    </row>
    <row r="118" spans="1:9" ht="12.75">
      <c r="A118" s="5">
        <v>37391</v>
      </c>
      <c r="B118" s="6">
        <v>1350</v>
      </c>
      <c r="C118" s="19">
        <f>135+(13+50/60)/24</f>
        <v>135.57638888888889</v>
      </c>
      <c r="D118" s="6">
        <v>2711</v>
      </c>
      <c r="E118" s="10">
        <f>(D118*0.02831685)</f>
        <v>76.76698035</v>
      </c>
      <c r="G118" s="14"/>
      <c r="I118" s="4"/>
    </row>
    <row r="119" spans="1:9" ht="12.75">
      <c r="A119" s="5">
        <v>37391</v>
      </c>
      <c r="B119" s="6">
        <v>1353</v>
      </c>
      <c r="C119" s="19">
        <f>135+(13+53/60)/24</f>
        <v>135.57847222222222</v>
      </c>
      <c r="D119" s="6">
        <v>2785</v>
      </c>
      <c r="E119" s="10">
        <f>(D119*0.02831685)</f>
        <v>78.86242725</v>
      </c>
      <c r="G119" s="14"/>
      <c r="I119" s="4"/>
    </row>
    <row r="120" spans="1:9" ht="12.75">
      <c r="A120" s="5">
        <v>37391</v>
      </c>
      <c r="B120" s="6">
        <v>1356</v>
      </c>
      <c r="C120" s="19">
        <f>135+(13+56/60)/24</f>
        <v>135.58055555555555</v>
      </c>
      <c r="D120" s="6">
        <v>2759</v>
      </c>
      <c r="E120" s="25">
        <f>(D120*0.02831685)</f>
        <v>78.12618915</v>
      </c>
      <c r="F120" s="10">
        <f>AVERAGE(Sheet1!E117:E120)</f>
        <v>78.6854469375</v>
      </c>
      <c r="G120" s="10">
        <f>AVERAGE(D117:D120)</f>
        <v>2778.75</v>
      </c>
      <c r="I120" s="4"/>
    </row>
    <row r="121" spans="1:9" ht="12.75">
      <c r="A121" s="22"/>
      <c r="B121" s="4"/>
      <c r="C121" s="20"/>
      <c r="D121" s="4"/>
      <c r="E121" s="11"/>
      <c r="F121" s="11"/>
      <c r="G121" s="11"/>
      <c r="I121" s="4"/>
    </row>
    <row r="122" spans="1:9" ht="12.75">
      <c r="A122" s="5">
        <v>37391</v>
      </c>
      <c r="B122" s="6">
        <v>1610</v>
      </c>
      <c r="C122" s="19">
        <f>135+(16+10/60)/24</f>
        <v>135.67361111111111</v>
      </c>
      <c r="D122" s="6">
        <v>2662</v>
      </c>
      <c r="E122" s="10">
        <f>(D122*0.02831685)</f>
        <v>75.3794547</v>
      </c>
      <c r="G122" s="14"/>
      <c r="I122" s="4"/>
    </row>
    <row r="123" spans="1:9" ht="12.75">
      <c r="A123" s="5">
        <v>37391</v>
      </c>
      <c r="B123" s="6">
        <v>1613</v>
      </c>
      <c r="C123" s="19">
        <f>135+(16+13/60)/24</f>
        <v>135.67569444444445</v>
      </c>
      <c r="D123" s="6">
        <v>2704</v>
      </c>
      <c r="E123" s="10">
        <f>(D123*0.02831685)</f>
        <v>76.5687624</v>
      </c>
      <c r="G123" s="14"/>
      <c r="I123" s="4"/>
    </row>
    <row r="124" spans="1:9" ht="12.75">
      <c r="A124" s="5">
        <v>37391</v>
      </c>
      <c r="B124" s="6">
        <v>1617</v>
      </c>
      <c r="C124" s="19">
        <f>135+(16+17/60)/24</f>
        <v>135.6784722222222</v>
      </c>
      <c r="D124" s="6">
        <v>2686</v>
      </c>
      <c r="E124" s="10">
        <f>(D124*0.02831685)</f>
        <v>76.0590591</v>
      </c>
      <c r="G124" s="14"/>
      <c r="I124" s="4"/>
    </row>
    <row r="125" spans="1:9" ht="12.75">
      <c r="A125" s="5">
        <v>37391</v>
      </c>
      <c r="B125" s="6">
        <v>1620</v>
      </c>
      <c r="C125" s="19">
        <f>135+(16+20/60)/24</f>
        <v>135.68055555555554</v>
      </c>
      <c r="D125" s="6">
        <v>2771</v>
      </c>
      <c r="E125" s="25">
        <f>(D125*0.02831685)</f>
        <v>78.46599135</v>
      </c>
      <c r="F125" s="10">
        <f>AVERAGE(Sheet1!E122:E125)</f>
        <v>76.61831688749999</v>
      </c>
      <c r="G125" s="10">
        <f>AVERAGE(D122:D125)</f>
        <v>2705.75</v>
      </c>
      <c r="I125" s="4"/>
    </row>
    <row r="126" spans="1:9" ht="12.75">
      <c r="A126" s="22"/>
      <c r="B126" s="4"/>
      <c r="C126" s="20"/>
      <c r="D126" s="4"/>
      <c r="E126" s="11"/>
      <c r="F126" s="11"/>
      <c r="G126" s="11"/>
      <c r="I126" s="4"/>
    </row>
    <row r="127" spans="1:9" ht="12.75">
      <c r="A127" s="5">
        <v>37392</v>
      </c>
      <c r="B127" s="6">
        <v>905</v>
      </c>
      <c r="C127" s="19">
        <f>136+(9+5/60)/24</f>
        <v>136.37847222222223</v>
      </c>
      <c r="D127" s="6">
        <v>2790</v>
      </c>
      <c r="E127" s="10">
        <f>(D127*0.02831685)</f>
        <v>79.0040115</v>
      </c>
      <c r="G127" s="14"/>
      <c r="I127" s="4"/>
    </row>
    <row r="128" spans="1:9" ht="12.75">
      <c r="A128" s="5">
        <v>37392</v>
      </c>
      <c r="B128" s="6">
        <v>909</v>
      </c>
      <c r="C128" s="19">
        <f>136+(9+9/60)/24</f>
        <v>136.38125</v>
      </c>
      <c r="D128" s="6">
        <v>2705</v>
      </c>
      <c r="E128" s="10">
        <f>(D128*0.02831685)</f>
        <v>76.59707925000001</v>
      </c>
      <c r="G128" s="14"/>
      <c r="I128" s="4"/>
    </row>
    <row r="129" spans="1:9" ht="12.75">
      <c r="A129" s="5">
        <v>37392</v>
      </c>
      <c r="B129" s="6">
        <v>912</v>
      </c>
      <c r="C129" s="19">
        <f>136+(9+12/60)/24</f>
        <v>136.38333333333333</v>
      </c>
      <c r="D129" s="6">
        <v>2704</v>
      </c>
      <c r="E129" s="10">
        <f>(D129*0.02831685)</f>
        <v>76.5687624</v>
      </c>
      <c r="G129" s="14"/>
      <c r="I129" s="4"/>
    </row>
    <row r="130" spans="1:9" ht="12.75">
      <c r="A130" s="5">
        <v>37392</v>
      </c>
      <c r="B130" s="6">
        <v>916</v>
      </c>
      <c r="C130" s="19">
        <f>136+(9+16/60)/24</f>
        <v>136.38611111111112</v>
      </c>
      <c r="D130" s="6">
        <v>2692</v>
      </c>
      <c r="E130" s="25">
        <f>(D130*0.02831685)</f>
        <v>76.2289602</v>
      </c>
      <c r="F130" s="10">
        <f>AVERAGE(Sheet1!E127:E130)</f>
        <v>77.0997033375</v>
      </c>
      <c r="G130" s="10">
        <f>AVERAGE(D127:D130)</f>
        <v>2722.75</v>
      </c>
      <c r="I130" s="4"/>
    </row>
    <row r="131" spans="1:9" ht="12.75">
      <c r="A131" s="22"/>
      <c r="B131" s="4"/>
      <c r="C131" s="20"/>
      <c r="D131" s="4"/>
      <c r="E131" s="11"/>
      <c r="G131" s="14"/>
      <c r="I131" s="4"/>
    </row>
    <row r="132" spans="1:9" ht="12.75">
      <c r="A132" s="5">
        <v>37392</v>
      </c>
      <c r="B132" s="6">
        <v>1338</v>
      </c>
      <c r="C132" s="19">
        <f>136+(13+38/60)/24</f>
        <v>136.56805555555556</v>
      </c>
      <c r="D132" s="6">
        <v>2618</v>
      </c>
      <c r="E132" s="10">
        <f>(D132*0.02831685)</f>
        <v>74.1335133</v>
      </c>
      <c r="G132" s="14"/>
      <c r="H132" s="2"/>
      <c r="I132" s="4"/>
    </row>
    <row r="133" spans="1:9" ht="12.75">
      <c r="A133" s="5">
        <v>37392</v>
      </c>
      <c r="B133" s="6">
        <v>1343</v>
      </c>
      <c r="C133" s="19">
        <f>136+(13+43/60)/24</f>
        <v>136.5715277777778</v>
      </c>
      <c r="D133" s="6">
        <v>2609</v>
      </c>
      <c r="E133" s="10">
        <f>(D133*0.02831685)</f>
        <v>73.87866165</v>
      </c>
      <c r="G133" s="14"/>
      <c r="H133" s="2"/>
      <c r="I133" s="4"/>
    </row>
    <row r="134" spans="1:9" ht="12.75">
      <c r="A134" s="5">
        <v>37392</v>
      </c>
      <c r="B134" s="6">
        <v>1352</v>
      </c>
      <c r="C134" s="19">
        <f>136+(13+52/60)/24</f>
        <v>136.57777777777778</v>
      </c>
      <c r="D134" s="6">
        <v>2693</v>
      </c>
      <c r="E134" s="10">
        <f>(D134*0.02831685)</f>
        <v>76.25727705</v>
      </c>
      <c r="G134" s="14"/>
      <c r="H134" s="2"/>
      <c r="I134" s="4"/>
    </row>
    <row r="135" spans="1:9" ht="12.75">
      <c r="A135" s="5">
        <v>37392</v>
      </c>
      <c r="B135" s="6">
        <v>1355</v>
      </c>
      <c r="C135" s="19">
        <f>136+(13+55/60)/24</f>
        <v>136.57986111111111</v>
      </c>
      <c r="D135" s="6">
        <v>2675</v>
      </c>
      <c r="E135" s="25">
        <f>(D135*0.02831685)</f>
        <v>75.74757375</v>
      </c>
      <c r="F135" s="10">
        <f>AVERAGE(Sheet1!E132:E135)</f>
        <v>75.0042564375</v>
      </c>
      <c r="G135" s="10">
        <f>AVERAGE(D132:D135)</f>
        <v>2648.75</v>
      </c>
      <c r="H135" s="2"/>
      <c r="I135" s="4"/>
    </row>
    <row r="136" spans="1:9" ht="12.75">
      <c r="A136" s="2"/>
      <c r="B136" s="2"/>
      <c r="C136" s="21"/>
      <c r="D136" s="2"/>
      <c r="E136" s="11"/>
      <c r="G136" s="14"/>
      <c r="H136" s="2"/>
      <c r="I136" s="4"/>
    </row>
    <row r="137" spans="1:9" ht="12.75">
      <c r="A137" s="5">
        <v>37392</v>
      </c>
      <c r="B137" s="6">
        <v>1402</v>
      </c>
      <c r="C137" s="19">
        <f>136+(14+2/60)/24</f>
        <v>136.5847222222222</v>
      </c>
      <c r="D137" s="6">
        <v>2643</v>
      </c>
      <c r="E137" s="10">
        <f>(D137*0.02831685)</f>
        <v>74.84143455</v>
      </c>
      <c r="G137" s="14"/>
      <c r="H137" s="2"/>
      <c r="I137" s="4"/>
    </row>
    <row r="138" spans="1:9" ht="12.75">
      <c r="A138" s="5">
        <v>37392</v>
      </c>
      <c r="B138" s="6">
        <v>1412</v>
      </c>
      <c r="C138" s="19">
        <f>136+(14+12/60)/24</f>
        <v>136.59166666666667</v>
      </c>
      <c r="D138" s="6">
        <v>2641</v>
      </c>
      <c r="E138" s="10">
        <f>(D138*0.02831685)</f>
        <v>74.78480085</v>
      </c>
      <c r="G138" s="14"/>
      <c r="H138" s="2"/>
      <c r="I138" s="4"/>
    </row>
    <row r="139" spans="1:9" ht="12.75">
      <c r="A139" s="5">
        <v>37392</v>
      </c>
      <c r="B139" s="6">
        <v>1415</v>
      </c>
      <c r="C139" s="19">
        <f>136+(14+15/60)/24</f>
        <v>136.59375</v>
      </c>
      <c r="D139" s="6">
        <v>2659</v>
      </c>
      <c r="E139" s="10">
        <f>(D139*0.02831685)</f>
        <v>75.29450415000001</v>
      </c>
      <c r="G139" s="14"/>
      <c r="H139" s="2"/>
      <c r="I139" s="4"/>
    </row>
    <row r="140" spans="1:9" ht="12.75">
      <c r="A140" s="5">
        <v>37392</v>
      </c>
      <c r="B140" s="6">
        <v>1419</v>
      </c>
      <c r="C140" s="19">
        <f>136+(14+19/60)/24</f>
        <v>136.59652777777777</v>
      </c>
      <c r="D140" s="6">
        <v>2702</v>
      </c>
      <c r="E140" s="10">
        <f>(D140*0.02831685)</f>
        <v>76.5121287</v>
      </c>
      <c r="G140" s="14"/>
      <c r="H140" s="2"/>
      <c r="I140" s="4"/>
    </row>
    <row r="141" spans="1:9" ht="12.75">
      <c r="A141" s="5">
        <v>37392</v>
      </c>
      <c r="B141" s="6">
        <v>1422</v>
      </c>
      <c r="C141" s="19">
        <f>136+(14+22/60)/24</f>
        <v>136.5986111111111</v>
      </c>
      <c r="D141" s="6">
        <v>2634</v>
      </c>
      <c r="E141" s="10">
        <f>(D141*0.02831685)</f>
        <v>74.5865829</v>
      </c>
      <c r="F141" s="12">
        <f>AVERAGE(Sheet1!E137:E141)</f>
        <v>75.20389023</v>
      </c>
      <c r="G141" s="10">
        <f>AVERAGE(D137:D141)</f>
        <v>2655.8</v>
      </c>
      <c r="H141" s="2"/>
      <c r="I141" s="4"/>
    </row>
    <row r="142" spans="1:9" ht="12.75">
      <c r="A142" s="2"/>
      <c r="B142" s="2"/>
      <c r="C142" s="21"/>
      <c r="D142" s="2"/>
      <c r="E142" s="11"/>
      <c r="G142" s="14"/>
      <c r="I142" s="4"/>
    </row>
    <row r="143" spans="1:9" ht="12.75">
      <c r="A143" s="5">
        <v>37392</v>
      </c>
      <c r="B143" s="6">
        <v>1605</v>
      </c>
      <c r="C143" s="19">
        <f>136+(16+5/60)/24</f>
        <v>136.67013888888889</v>
      </c>
      <c r="D143" s="6">
        <v>2588</v>
      </c>
      <c r="E143" s="10">
        <f>(D143*0.02831685)</f>
        <v>73.2840078</v>
      </c>
      <c r="G143" s="14"/>
      <c r="I143" s="4"/>
    </row>
    <row r="144" spans="1:9" ht="12.75">
      <c r="A144" s="5">
        <v>37392</v>
      </c>
      <c r="B144" s="6">
        <v>1609</v>
      </c>
      <c r="C144" s="19">
        <f>136+(16+9/60)/24</f>
        <v>136.67291666666668</v>
      </c>
      <c r="D144" s="6">
        <v>2584</v>
      </c>
      <c r="E144" s="10">
        <f>(D144*0.02831685)</f>
        <v>73.1707404</v>
      </c>
      <c r="G144" s="14"/>
      <c r="I144" s="4"/>
    </row>
    <row r="145" spans="1:9" ht="12.75">
      <c r="A145" s="5">
        <v>37392</v>
      </c>
      <c r="B145" s="6">
        <v>1612</v>
      </c>
      <c r="C145" s="19">
        <f>136+(16+12/60)/24</f>
        <v>136.675</v>
      </c>
      <c r="D145" s="6">
        <v>2623</v>
      </c>
      <c r="E145" s="10">
        <f>(D145*0.02831685)</f>
        <v>74.27509755</v>
      </c>
      <c r="G145" s="14"/>
      <c r="I145" s="4"/>
    </row>
    <row r="146" spans="1:9" ht="12.75">
      <c r="A146" s="5">
        <v>37392</v>
      </c>
      <c r="B146" s="6">
        <v>1615</v>
      </c>
      <c r="C146" s="19">
        <f>136+(16+15/60)/24</f>
        <v>136.67708333333334</v>
      </c>
      <c r="D146" s="6">
        <v>2664</v>
      </c>
      <c r="E146" s="25">
        <f>(D146*0.02831685)</f>
        <v>75.4360884</v>
      </c>
      <c r="F146" s="10">
        <f>AVERAGE(Sheet1!E143:E146)</f>
        <v>74.0414835375</v>
      </c>
      <c r="G146" s="10">
        <f>AVERAGE(D143:D146)</f>
        <v>2614.75</v>
      </c>
      <c r="I146" s="4"/>
    </row>
    <row r="147" spans="1:9" ht="12.75">
      <c r="A147" s="2"/>
      <c r="B147" s="2"/>
      <c r="C147" s="21"/>
      <c r="D147" s="2"/>
      <c r="E147" s="11"/>
      <c r="G147" s="14"/>
      <c r="I147" s="4"/>
    </row>
    <row r="148" spans="1:9" ht="12.75">
      <c r="A148" s="5">
        <v>37392</v>
      </c>
      <c r="B148" s="6">
        <v>1621</v>
      </c>
      <c r="C148" s="19">
        <f>136+(16+21/60)/24</f>
        <v>136.68125</v>
      </c>
      <c r="D148" s="6">
        <v>2581</v>
      </c>
      <c r="E148" s="10">
        <f>(D148*0.02831685)</f>
        <v>73.08578985</v>
      </c>
      <c r="G148" s="14"/>
      <c r="I148" s="4"/>
    </row>
    <row r="149" spans="1:9" ht="12.75">
      <c r="A149" s="5">
        <v>37392</v>
      </c>
      <c r="B149" s="6">
        <v>1625</v>
      </c>
      <c r="C149" s="19">
        <f>136+(16+25/60)/24</f>
        <v>136.68402777777777</v>
      </c>
      <c r="D149" s="6">
        <v>2603</v>
      </c>
      <c r="E149" s="10">
        <f>(D149*0.02831685)</f>
        <v>73.70876055000001</v>
      </c>
      <c r="G149" s="14"/>
      <c r="I149" s="4"/>
    </row>
    <row r="150" spans="1:9" ht="12.75">
      <c r="A150" s="5">
        <v>37392</v>
      </c>
      <c r="B150" s="6">
        <v>1629</v>
      </c>
      <c r="C150" s="19">
        <f>136+(16+29/60)/24</f>
        <v>136.68680555555557</v>
      </c>
      <c r="D150" s="6">
        <v>2644</v>
      </c>
      <c r="E150" s="10">
        <f>(D150*0.02831685)</f>
        <v>74.8697514</v>
      </c>
      <c r="G150" s="14"/>
      <c r="I150" s="4"/>
    </row>
    <row r="151" spans="1:9" ht="12.75">
      <c r="A151" s="5">
        <v>37392</v>
      </c>
      <c r="B151" s="6">
        <v>1633</v>
      </c>
      <c r="C151" s="19">
        <f>136+(16+33/60)/24</f>
        <v>136.68958333333333</v>
      </c>
      <c r="D151" s="6">
        <v>2644</v>
      </c>
      <c r="E151" s="25">
        <f>(D151*0.02831685)</f>
        <v>74.8697514</v>
      </c>
      <c r="F151" s="10">
        <f>AVERAGE(Sheet1!E148:E151)</f>
        <v>74.13351329999999</v>
      </c>
      <c r="G151" s="10">
        <f>AVERAGE(D148:D151)</f>
        <v>2618</v>
      </c>
      <c r="I151" s="4"/>
    </row>
    <row r="152" spans="1:9" ht="12.75">
      <c r="A152" s="22"/>
      <c r="B152" s="4"/>
      <c r="C152" s="20"/>
      <c r="D152" s="4"/>
      <c r="E152" s="11"/>
      <c r="G152" s="14"/>
      <c r="I152" s="4"/>
    </row>
    <row r="153" spans="1:9" ht="12.75">
      <c r="A153" s="5">
        <v>37393</v>
      </c>
      <c r="B153" s="6">
        <v>911</v>
      </c>
      <c r="C153" s="19">
        <f>137+(9+11/60)/24</f>
        <v>137.3826388888889</v>
      </c>
      <c r="D153" s="6">
        <v>2448</v>
      </c>
      <c r="E153" s="10">
        <f>(D153*0.02831685)</f>
        <v>69.3196488</v>
      </c>
      <c r="G153" s="14"/>
      <c r="I153" s="4"/>
    </row>
    <row r="154" spans="1:9" ht="12.75">
      <c r="A154" s="5">
        <v>37393</v>
      </c>
      <c r="B154" s="6">
        <v>915</v>
      </c>
      <c r="C154" s="19">
        <f>137+(9+15/60)/24</f>
        <v>137.38541666666666</v>
      </c>
      <c r="D154" s="6">
        <v>2423</v>
      </c>
      <c r="E154" s="10">
        <f>(D154*0.02831685)</f>
        <v>68.61172755</v>
      </c>
      <c r="G154" s="14"/>
      <c r="I154" s="4"/>
    </row>
    <row r="155" spans="1:9" ht="12.75">
      <c r="A155" s="5">
        <v>37393</v>
      </c>
      <c r="B155" s="6">
        <v>919</v>
      </c>
      <c r="C155" s="19">
        <f>137+(9+19/60)/24</f>
        <v>137.38819444444445</v>
      </c>
      <c r="D155" s="6">
        <v>2506</v>
      </c>
      <c r="E155" s="10">
        <f>(D155*0.02831685)</f>
        <v>70.9620261</v>
      </c>
      <c r="G155" s="14"/>
      <c r="I155" s="4"/>
    </row>
    <row r="156" spans="1:9" ht="12.75">
      <c r="A156" s="5">
        <v>37393</v>
      </c>
      <c r="B156" s="6">
        <v>923</v>
      </c>
      <c r="C156" s="19">
        <f>137+(9+23/60)/24</f>
        <v>137.39097222222222</v>
      </c>
      <c r="D156" s="6">
        <v>2516</v>
      </c>
      <c r="E156" s="25">
        <f>(D156*0.02831685)</f>
        <v>71.2451946</v>
      </c>
      <c r="F156" s="10">
        <f>AVERAGE(Sheet1!E153:E156)</f>
        <v>70.0346492625</v>
      </c>
      <c r="G156" s="10">
        <f>AVERAGE(D153:D156)</f>
        <v>2473.25</v>
      </c>
      <c r="I156" s="4"/>
    </row>
    <row r="157" spans="1:9" ht="12.75">
      <c r="A157" s="22"/>
      <c r="B157" s="4"/>
      <c r="C157" s="20"/>
      <c r="D157" s="4"/>
      <c r="E157" s="11"/>
      <c r="G157" s="14"/>
      <c r="I157" s="4"/>
    </row>
    <row r="158" spans="1:9" ht="12.75">
      <c r="A158" s="5">
        <v>37393</v>
      </c>
      <c r="B158" s="6">
        <v>933</v>
      </c>
      <c r="C158" s="19">
        <f>137+(9+33/60)/24</f>
        <v>137.39791666666667</v>
      </c>
      <c r="D158" s="6">
        <v>2471</v>
      </c>
      <c r="E158" s="10">
        <f>(D158*0.02831685)</f>
        <v>69.97093635</v>
      </c>
      <c r="G158" s="14"/>
      <c r="I158" s="4"/>
    </row>
    <row r="159" spans="1:9" ht="12.75">
      <c r="A159" s="5">
        <v>37393</v>
      </c>
      <c r="B159" s="6">
        <v>938</v>
      </c>
      <c r="C159" s="19">
        <f>137+(9+38/60)/24</f>
        <v>137.4013888888889</v>
      </c>
      <c r="D159" s="6">
        <v>2489</v>
      </c>
      <c r="E159" s="10">
        <f>(D159*0.02831685)</f>
        <v>70.48063965</v>
      </c>
      <c r="G159" s="14"/>
      <c r="I159" s="4"/>
    </row>
    <row r="160" spans="1:9" ht="12.75">
      <c r="A160" s="5">
        <v>37393</v>
      </c>
      <c r="B160" s="6">
        <v>941</v>
      </c>
      <c r="C160" s="19">
        <f>137+(9+41/60)/24</f>
        <v>137.40347222222223</v>
      </c>
      <c r="D160" s="6">
        <v>2512</v>
      </c>
      <c r="E160" s="10">
        <f>(D160*0.02831685)</f>
        <v>71.1319272</v>
      </c>
      <c r="G160" s="14"/>
      <c r="I160" s="4"/>
    </row>
    <row r="161" spans="1:9" ht="12.75">
      <c r="A161" s="5">
        <v>37393</v>
      </c>
      <c r="B161" s="6">
        <v>945</v>
      </c>
      <c r="C161" s="19">
        <f>137+(9+45/60)/24</f>
        <v>137.40625</v>
      </c>
      <c r="D161" s="6">
        <v>2431</v>
      </c>
      <c r="E161" s="25">
        <f>(D161*0.02831685)</f>
        <v>68.83826235000001</v>
      </c>
      <c r="F161" s="10">
        <f>AVERAGE(Sheet1!E158:E161)</f>
        <v>70.10544138750001</v>
      </c>
      <c r="G161" s="10">
        <f>AVERAGE(D158:D161)</f>
        <v>2475.75</v>
      </c>
      <c r="I161" s="4"/>
    </row>
    <row r="162" spans="1:9" ht="12.75">
      <c r="A162" s="22"/>
      <c r="B162" s="4"/>
      <c r="C162" s="20"/>
      <c r="D162" s="4"/>
      <c r="E162" s="11"/>
      <c r="G162" s="14"/>
      <c r="I162" s="4"/>
    </row>
    <row r="163" spans="1:9" ht="12.75">
      <c r="A163" s="5">
        <v>37393</v>
      </c>
      <c r="B163" s="6">
        <v>1206</v>
      </c>
      <c r="C163" s="19">
        <f>137+(12+6/60)/24</f>
        <v>137.50416666666666</v>
      </c>
      <c r="D163" s="6">
        <v>2595</v>
      </c>
      <c r="E163" s="10">
        <f>(D163*0.02831685)</f>
        <v>73.48222575</v>
      </c>
      <c r="G163" s="14"/>
      <c r="I163" s="4"/>
    </row>
    <row r="164" spans="1:9" ht="12.75">
      <c r="A164" s="5">
        <v>37393</v>
      </c>
      <c r="B164" s="6">
        <v>1210</v>
      </c>
      <c r="C164" s="19">
        <f>137+(12+10/60)/24</f>
        <v>137.50694444444446</v>
      </c>
      <c r="D164" s="6">
        <v>2526</v>
      </c>
      <c r="E164" s="10">
        <f>(D164*0.02831685)</f>
        <v>71.5283631</v>
      </c>
      <c r="G164" s="14"/>
      <c r="I164" s="4"/>
    </row>
    <row r="165" spans="1:9" ht="12.75">
      <c r="A165" s="5">
        <v>37393</v>
      </c>
      <c r="B165" s="6">
        <v>1214</v>
      </c>
      <c r="C165" s="19">
        <f>137+(12+14/60)/24</f>
        <v>137.50972222222222</v>
      </c>
      <c r="D165" s="6">
        <v>2543</v>
      </c>
      <c r="E165" s="10">
        <f>(D165*0.02831685)</f>
        <v>72.00974955000001</v>
      </c>
      <c r="G165" s="14"/>
      <c r="I165" s="4"/>
    </row>
    <row r="166" spans="1:9" ht="12.75">
      <c r="A166" s="5">
        <v>37393</v>
      </c>
      <c r="B166" s="6">
        <v>1217</v>
      </c>
      <c r="C166" s="19">
        <f>137+(12+17/60)/24</f>
        <v>137.51180555555555</v>
      </c>
      <c r="D166" s="6">
        <v>2490</v>
      </c>
      <c r="E166" s="25">
        <f>(D166*0.02831685)</f>
        <v>70.5089565</v>
      </c>
      <c r="F166" s="10">
        <f>AVERAGE(Sheet1!E163:E166)</f>
        <v>71.882323725</v>
      </c>
      <c r="G166" s="10">
        <f>AVERAGE(D163:D166)</f>
        <v>2538.5</v>
      </c>
      <c r="I166" s="4"/>
    </row>
    <row r="167" spans="1:9" ht="12.75">
      <c r="A167" s="22"/>
      <c r="B167" s="4"/>
      <c r="C167" s="20"/>
      <c r="D167" s="4"/>
      <c r="G167" s="14"/>
      <c r="I167" s="4"/>
    </row>
    <row r="168" spans="1:9" ht="12.75">
      <c r="A168" s="5">
        <v>37393</v>
      </c>
      <c r="B168" s="6">
        <v>1225</v>
      </c>
      <c r="C168" s="19">
        <f>137+(12+25/60)/24</f>
        <v>137.51736111111111</v>
      </c>
      <c r="D168" s="6">
        <v>2442</v>
      </c>
      <c r="E168" s="10">
        <f>(D168*0.02831685)</f>
        <v>69.1497477</v>
      </c>
      <c r="G168" s="14"/>
      <c r="I168" s="4"/>
    </row>
    <row r="169" spans="1:9" ht="12.75">
      <c r="A169" s="5">
        <v>37393</v>
      </c>
      <c r="B169" s="6">
        <v>1228</v>
      </c>
      <c r="C169" s="19">
        <f>137+(12+28/60)/24</f>
        <v>137.51944444444445</v>
      </c>
      <c r="D169" s="6">
        <v>2472</v>
      </c>
      <c r="E169" s="10">
        <f>(D169*0.02831685)</f>
        <v>69.9992532</v>
      </c>
      <c r="G169" s="14"/>
      <c r="I169" s="4"/>
    </row>
    <row r="170" spans="1:9" ht="12.75">
      <c r="A170" s="5">
        <v>37393</v>
      </c>
      <c r="B170" s="6">
        <v>1232</v>
      </c>
      <c r="C170" s="19">
        <f>137+(12+32/60)/24</f>
        <v>137.5222222222222</v>
      </c>
      <c r="D170" s="6">
        <v>2439</v>
      </c>
      <c r="E170" s="10">
        <f>(D170*0.02831685)</f>
        <v>69.06479715</v>
      </c>
      <c r="G170" s="14"/>
      <c r="I170" s="4"/>
    </row>
    <row r="171" spans="1:9" ht="12.75">
      <c r="A171" s="5">
        <v>37393</v>
      </c>
      <c r="B171" s="6">
        <v>1235</v>
      </c>
      <c r="C171" s="19">
        <f>137+(12+35/60)/24</f>
        <v>137.52430555555554</v>
      </c>
      <c r="D171" s="6">
        <v>2515</v>
      </c>
      <c r="E171" s="25">
        <f>(D171*0.02831685)</f>
        <v>71.21687775000001</v>
      </c>
      <c r="F171" s="10">
        <f>AVERAGE(Sheet1!E168:E171)</f>
        <v>69.85766895</v>
      </c>
      <c r="G171" s="10">
        <f>AVERAGE(D168:D171)</f>
        <v>2467</v>
      </c>
      <c r="I171" s="4"/>
    </row>
    <row r="172" spans="1:9" ht="12.75">
      <c r="A172" s="22"/>
      <c r="B172" s="4"/>
      <c r="C172" s="20"/>
      <c r="D172" s="4"/>
      <c r="E172" s="11"/>
      <c r="F172" s="11"/>
      <c r="G172" s="18"/>
      <c r="I172" s="4"/>
    </row>
    <row r="173" spans="1:7" ht="12.75">
      <c r="A173" s="2"/>
      <c r="B173" s="2"/>
      <c r="C173" s="2"/>
      <c r="D173" s="2"/>
      <c r="E173" s="2"/>
      <c r="F173" s="2"/>
      <c r="G173" s="18"/>
    </row>
    <row r="174" spans="1:7" ht="18" thickBot="1">
      <c r="A174" s="3" t="s">
        <v>2</v>
      </c>
      <c r="E174" s="2"/>
      <c r="F174" s="2"/>
      <c r="G174" s="18"/>
    </row>
    <row r="175" spans="1:8" ht="12.75">
      <c r="A175" s="35"/>
      <c r="B175" s="35"/>
      <c r="C175" s="35"/>
      <c r="D175" s="38" t="s">
        <v>3</v>
      </c>
      <c r="E175" s="38" t="s">
        <v>3</v>
      </c>
      <c r="F175" s="38" t="s">
        <v>3</v>
      </c>
      <c r="G175" s="38" t="s">
        <v>3</v>
      </c>
      <c r="H175" s="62" t="s">
        <v>11</v>
      </c>
    </row>
    <row r="176" spans="1:9" ht="12.75">
      <c r="A176" s="37" t="s">
        <v>0</v>
      </c>
      <c r="B176" s="37" t="s">
        <v>5</v>
      </c>
      <c r="C176" s="37" t="s">
        <v>8</v>
      </c>
      <c r="D176" s="37" t="s">
        <v>33</v>
      </c>
      <c r="E176" s="37" t="s">
        <v>33</v>
      </c>
      <c r="F176" s="37" t="s">
        <v>34</v>
      </c>
      <c r="G176" s="37" t="s">
        <v>33</v>
      </c>
      <c r="H176" s="39" t="s">
        <v>12</v>
      </c>
      <c r="I176" s="34" t="s">
        <v>13</v>
      </c>
    </row>
    <row r="177" spans="1:9" ht="13.5" thickBot="1">
      <c r="A177" s="36"/>
      <c r="B177" s="36"/>
      <c r="C177" s="36" t="s">
        <v>0</v>
      </c>
      <c r="D177" s="36"/>
      <c r="E177" s="36" t="s">
        <v>9</v>
      </c>
      <c r="F177" s="36"/>
      <c r="G177" s="36" t="s">
        <v>10</v>
      </c>
      <c r="H177" s="36" t="s">
        <v>33</v>
      </c>
      <c r="I177" s="34"/>
    </row>
    <row r="178" spans="1:12" ht="12.75">
      <c r="A178" s="5">
        <v>37361</v>
      </c>
      <c r="B178" s="9">
        <v>1342</v>
      </c>
      <c r="C178" s="19">
        <f>105+(13+42/60)/24</f>
        <v>105.57083333333334</v>
      </c>
      <c r="D178" s="6">
        <v>2726.65</v>
      </c>
      <c r="E178" s="6">
        <f aca="true" t="shared" si="3" ref="E178:E192">D178*1.106</f>
        <v>3015.6749000000004</v>
      </c>
      <c r="F178" s="10">
        <f aca="true" t="shared" si="4" ref="F178:F192">(D178*0.02831685)</f>
        <v>77.21013905250001</v>
      </c>
      <c r="G178" s="10">
        <f aca="true" t="shared" si="5" ref="G178:G192">D178*1.084</f>
        <v>2955.6886000000004</v>
      </c>
      <c r="H178" s="10">
        <v>2911.33</v>
      </c>
      <c r="I178" s="33"/>
      <c r="J178" s="20"/>
      <c r="K178" s="11"/>
      <c r="L178" s="30"/>
    </row>
    <row r="179" spans="1:12" ht="12.75">
      <c r="A179" s="5">
        <v>37361</v>
      </c>
      <c r="B179" s="9">
        <v>1531</v>
      </c>
      <c r="C179" s="19">
        <f>105+(15+31/60)/24</f>
        <v>105.64652777777778</v>
      </c>
      <c r="D179" s="6">
        <v>2797.24</v>
      </c>
      <c r="E179" s="6">
        <f t="shared" si="3"/>
        <v>3093.74744</v>
      </c>
      <c r="F179" s="10">
        <f t="shared" si="4"/>
        <v>79.209025494</v>
      </c>
      <c r="G179" s="10">
        <f t="shared" si="5"/>
        <v>3032.20816</v>
      </c>
      <c r="H179" s="10">
        <v>3361.04</v>
      </c>
      <c r="I179" s="33"/>
      <c r="J179" s="20"/>
      <c r="K179" s="11"/>
      <c r="L179" s="30"/>
    </row>
    <row r="180" spans="1:12" ht="12.75">
      <c r="A180" s="5">
        <v>37362</v>
      </c>
      <c r="B180" s="9">
        <v>1117</v>
      </c>
      <c r="C180" s="19">
        <f>106+(11+17/60)/24</f>
        <v>106.47013888888888</v>
      </c>
      <c r="D180" s="6">
        <v>2821.15</v>
      </c>
      <c r="E180" s="6">
        <f t="shared" si="3"/>
        <v>3120.1919000000003</v>
      </c>
      <c r="F180" s="10">
        <f t="shared" si="4"/>
        <v>79.8860813775</v>
      </c>
      <c r="G180" s="10">
        <f t="shared" si="5"/>
        <v>3058.1266000000005</v>
      </c>
      <c r="H180" s="10">
        <v>2941.76</v>
      </c>
      <c r="I180" s="33"/>
      <c r="J180" s="20"/>
      <c r="K180" s="11"/>
      <c r="L180" s="30"/>
    </row>
    <row r="181" spans="1:12" ht="12.75">
      <c r="A181" s="5">
        <v>37362</v>
      </c>
      <c r="B181" s="9">
        <v>1448</v>
      </c>
      <c r="C181" s="19">
        <f>106+(14+48/60)/24</f>
        <v>106.61666666666666</v>
      </c>
      <c r="D181" s="6">
        <v>2797.56</v>
      </c>
      <c r="E181" s="6">
        <f t="shared" si="3"/>
        <v>3094.10136</v>
      </c>
      <c r="F181" s="10">
        <f t="shared" si="4"/>
        <v>79.218086886</v>
      </c>
      <c r="G181" s="10">
        <f t="shared" si="5"/>
        <v>3032.55504</v>
      </c>
      <c r="H181" s="10">
        <v>2979.1</v>
      </c>
      <c r="I181" s="33"/>
      <c r="J181" s="20"/>
      <c r="K181" s="11"/>
      <c r="L181" s="30"/>
    </row>
    <row r="182" spans="1:12" ht="12.75">
      <c r="A182" s="5">
        <v>37363</v>
      </c>
      <c r="B182" s="9">
        <v>1040</v>
      </c>
      <c r="C182" s="19">
        <f>107+(10+40/60)/24</f>
        <v>107.44444444444444</v>
      </c>
      <c r="D182" s="6">
        <v>2763.69</v>
      </c>
      <c r="E182" s="6">
        <f t="shared" si="3"/>
        <v>3056.64114</v>
      </c>
      <c r="F182" s="10">
        <f t="shared" si="4"/>
        <v>78.25899517650001</v>
      </c>
      <c r="G182" s="10">
        <f t="shared" si="5"/>
        <v>2995.8399600000002</v>
      </c>
      <c r="H182" s="10">
        <v>3009.24</v>
      </c>
      <c r="I182" s="32"/>
      <c r="J182" s="20"/>
      <c r="K182" s="11"/>
      <c r="L182" s="30"/>
    </row>
    <row r="183" spans="1:12" ht="12.75">
      <c r="A183" s="5">
        <v>37370</v>
      </c>
      <c r="B183" s="9">
        <v>1400</v>
      </c>
      <c r="C183" s="19">
        <f>114+(14+0/60)/24</f>
        <v>114.58333333333333</v>
      </c>
      <c r="D183" s="6">
        <v>2981.94</v>
      </c>
      <c r="E183" s="6">
        <f t="shared" si="3"/>
        <v>3298.0256400000003</v>
      </c>
      <c r="F183" s="10">
        <f t="shared" si="4"/>
        <v>84.43914768900001</v>
      </c>
      <c r="G183" s="10">
        <f t="shared" si="5"/>
        <v>3232.4229600000003</v>
      </c>
      <c r="H183" s="10">
        <v>3217.06</v>
      </c>
      <c r="I183" s="32"/>
      <c r="J183" s="20"/>
      <c r="K183" s="11"/>
      <c r="L183" s="30"/>
    </row>
    <row r="184" spans="1:12" ht="12.75">
      <c r="A184" s="5">
        <v>37383</v>
      </c>
      <c r="B184" s="9">
        <v>1336</v>
      </c>
      <c r="C184" s="19">
        <f>127+(13+36/60)/24</f>
        <v>127.56666666666666</v>
      </c>
      <c r="D184" s="6">
        <v>3132.8</v>
      </c>
      <c r="E184" s="6">
        <f t="shared" si="3"/>
        <v>3464.8768000000005</v>
      </c>
      <c r="F184" s="10">
        <f t="shared" si="4"/>
        <v>88.71102768000002</v>
      </c>
      <c r="G184" s="10">
        <f t="shared" si="5"/>
        <v>3395.9552000000003</v>
      </c>
      <c r="H184" s="10">
        <v>3486.08</v>
      </c>
      <c r="I184" s="32"/>
      <c r="J184" s="20"/>
      <c r="K184" s="11"/>
      <c r="L184" s="30"/>
    </row>
    <row r="185" spans="1:12" ht="12.75">
      <c r="A185" s="5">
        <v>37384</v>
      </c>
      <c r="B185" s="9">
        <v>926</v>
      </c>
      <c r="C185" s="19">
        <f>128+(9+26/60)/24</f>
        <v>128.39305555555555</v>
      </c>
      <c r="D185" s="6">
        <v>3112.56</v>
      </c>
      <c r="E185" s="6">
        <f t="shared" si="3"/>
        <v>3442.4913600000004</v>
      </c>
      <c r="F185" s="10">
        <f t="shared" si="4"/>
        <v>88.137894636</v>
      </c>
      <c r="G185" s="10">
        <f t="shared" si="5"/>
        <v>3374.01504</v>
      </c>
      <c r="H185" s="10">
        <v>3431.1</v>
      </c>
      <c r="I185" s="32"/>
      <c r="J185" s="20"/>
      <c r="K185" s="11"/>
      <c r="L185" s="30"/>
    </row>
    <row r="186" spans="1:12" ht="12.75">
      <c r="A186" s="5">
        <v>37384</v>
      </c>
      <c r="B186" s="9">
        <v>1349</v>
      </c>
      <c r="C186" s="19">
        <f>128+(13+49/60)/24</f>
        <v>128.57569444444445</v>
      </c>
      <c r="D186" s="6">
        <v>3101.58</v>
      </c>
      <c r="E186" s="6">
        <f t="shared" si="3"/>
        <v>3430.3474800000004</v>
      </c>
      <c r="F186" s="10">
        <f t="shared" si="4"/>
        <v>87.826975623</v>
      </c>
      <c r="G186" s="10">
        <f t="shared" si="5"/>
        <v>3362.11272</v>
      </c>
      <c r="H186" s="10">
        <v>3411.68</v>
      </c>
      <c r="I186" s="32"/>
      <c r="J186" s="20"/>
      <c r="K186" s="11"/>
      <c r="L186" s="30"/>
    </row>
    <row r="187" spans="1:12" ht="12.75">
      <c r="A187" s="5">
        <v>37391</v>
      </c>
      <c r="B187" s="9">
        <v>1127</v>
      </c>
      <c r="C187" s="19">
        <f>135+(11+27/60)/24</f>
        <v>135.47708333333333</v>
      </c>
      <c r="D187" s="6">
        <v>2743.53</v>
      </c>
      <c r="E187" s="6">
        <f t="shared" si="3"/>
        <v>3034.3441800000005</v>
      </c>
      <c r="F187" s="10">
        <f t="shared" si="4"/>
        <v>77.68812748050001</v>
      </c>
      <c r="G187" s="10">
        <f t="shared" si="5"/>
        <v>2973.9865200000004</v>
      </c>
      <c r="H187" s="10">
        <v>3046.08</v>
      </c>
      <c r="I187" s="33"/>
      <c r="J187" s="20"/>
      <c r="K187" s="11"/>
      <c r="L187" s="30"/>
    </row>
    <row r="188" spans="1:12" ht="12.75">
      <c r="A188" s="5">
        <v>37391</v>
      </c>
      <c r="B188" s="9">
        <v>1447</v>
      </c>
      <c r="C188" s="19">
        <f>135+(14+47/60)/24</f>
        <v>135.6159722222222</v>
      </c>
      <c r="D188" s="6">
        <v>2706.83</v>
      </c>
      <c r="E188" s="6">
        <f t="shared" si="3"/>
        <v>2993.75398</v>
      </c>
      <c r="F188" s="10">
        <f t="shared" si="4"/>
        <v>76.6488990855</v>
      </c>
      <c r="G188" s="10">
        <f t="shared" si="5"/>
        <v>2934.20372</v>
      </c>
      <c r="H188" s="10">
        <v>2897.47</v>
      </c>
      <c r="I188" s="32"/>
      <c r="J188" s="20"/>
      <c r="K188" s="11"/>
      <c r="L188" s="30"/>
    </row>
    <row r="189" spans="1:12" ht="12.75">
      <c r="A189" s="5">
        <v>37392</v>
      </c>
      <c r="B189" s="9">
        <v>1012</v>
      </c>
      <c r="C189" s="19">
        <f>136+(10+12/60)/24</f>
        <v>136.425</v>
      </c>
      <c r="D189" s="6">
        <v>2607.74</v>
      </c>
      <c r="E189" s="6">
        <f t="shared" si="3"/>
        <v>2884.16044</v>
      </c>
      <c r="F189" s="10">
        <f t="shared" si="4"/>
        <v>73.842982419</v>
      </c>
      <c r="G189" s="10">
        <f t="shared" si="5"/>
        <v>2826.79016</v>
      </c>
      <c r="H189" s="10">
        <v>2927.78</v>
      </c>
      <c r="I189" s="32"/>
      <c r="J189" s="20"/>
      <c r="K189" s="11"/>
      <c r="L189" s="30"/>
    </row>
    <row r="190" spans="1:12" ht="12.75">
      <c r="A190" s="5">
        <v>37392</v>
      </c>
      <c r="B190" s="9">
        <v>1515</v>
      </c>
      <c r="C190" s="19">
        <f>136+(15+15/60)/24</f>
        <v>136.63541666666666</v>
      </c>
      <c r="D190" s="6">
        <v>2582.77</v>
      </c>
      <c r="E190" s="6">
        <f t="shared" si="3"/>
        <v>2856.5436200000004</v>
      </c>
      <c r="F190" s="10">
        <f t="shared" si="4"/>
        <v>73.1359106745</v>
      </c>
      <c r="G190" s="10">
        <f t="shared" si="5"/>
        <v>2799.7226800000003</v>
      </c>
      <c r="H190" s="10">
        <v>2811.02</v>
      </c>
      <c r="I190" s="33"/>
      <c r="J190" s="20"/>
      <c r="K190" s="11"/>
      <c r="L190" s="30"/>
    </row>
    <row r="191" spans="1:12" ht="12.75">
      <c r="A191" s="5">
        <v>37393</v>
      </c>
      <c r="B191" s="9">
        <v>1040</v>
      </c>
      <c r="C191" s="19">
        <f>137+(10+40/60)/24</f>
        <v>137.44444444444446</v>
      </c>
      <c r="D191" s="6">
        <v>2451.76</v>
      </c>
      <c r="E191" s="6">
        <f t="shared" si="3"/>
        <v>2711.6465600000006</v>
      </c>
      <c r="F191" s="10">
        <f t="shared" si="4"/>
        <v>69.42612015600001</v>
      </c>
      <c r="G191" s="10">
        <f t="shared" si="5"/>
        <v>2657.7078400000005</v>
      </c>
      <c r="H191" s="10">
        <v>2648.71</v>
      </c>
      <c r="I191" s="33"/>
      <c r="J191" s="20"/>
      <c r="K191" s="11"/>
      <c r="L191" s="30"/>
    </row>
    <row r="192" spans="1:12" ht="12.75">
      <c r="A192" s="5">
        <v>37334</v>
      </c>
      <c r="B192" s="9">
        <v>1120</v>
      </c>
      <c r="C192" s="19">
        <f>78+(11+20/60)/24</f>
        <v>78.47222222222223</v>
      </c>
      <c r="D192" s="6">
        <v>2056.06</v>
      </c>
      <c r="E192" s="6">
        <f t="shared" si="3"/>
        <v>2274.00236</v>
      </c>
      <c r="F192" s="10">
        <f t="shared" si="4"/>
        <v>58.221142611</v>
      </c>
      <c r="G192" s="10">
        <f t="shared" si="5"/>
        <v>2228.76904</v>
      </c>
      <c r="H192" s="10">
        <v>2174.97</v>
      </c>
      <c r="I192" s="33"/>
      <c r="J192" s="20"/>
      <c r="K192" s="11"/>
      <c r="L192" s="30"/>
    </row>
    <row r="193" spans="1:12" ht="12.75">
      <c r="A193" s="2"/>
      <c r="B193" s="2"/>
      <c r="C193" s="2"/>
      <c r="D193" s="2"/>
      <c r="E193" s="2"/>
      <c r="F193" s="2"/>
      <c r="J193" s="20"/>
      <c r="K193" s="11"/>
      <c r="L193" s="30"/>
    </row>
    <row r="194" spans="1:6" ht="18" thickBot="1">
      <c r="A194" s="3" t="s">
        <v>14</v>
      </c>
      <c r="C194" s="27"/>
      <c r="D194" s="29"/>
      <c r="E194" s="29"/>
      <c r="F194" s="2"/>
    </row>
    <row r="195" spans="1:6" ht="12.75">
      <c r="A195" s="45" t="s">
        <v>0</v>
      </c>
      <c r="B195" s="46" t="s">
        <v>15</v>
      </c>
      <c r="C195" s="46" t="s">
        <v>8</v>
      </c>
      <c r="D195" s="47" t="s">
        <v>3</v>
      </c>
      <c r="E195" s="2"/>
      <c r="F195" s="2"/>
    </row>
    <row r="196" spans="1:6" ht="13.5" thickBot="1">
      <c r="A196" s="48"/>
      <c r="B196" s="49" t="s">
        <v>16</v>
      </c>
      <c r="C196" s="49" t="s">
        <v>0</v>
      </c>
      <c r="D196" s="50" t="s">
        <v>33</v>
      </c>
      <c r="E196" s="2"/>
      <c r="F196" s="2"/>
    </row>
    <row r="197" spans="1:6" ht="12.75">
      <c r="A197" s="44">
        <v>37361</v>
      </c>
      <c r="B197" s="43">
        <v>1828</v>
      </c>
      <c r="C197" s="43">
        <v>105.7694</v>
      </c>
      <c r="D197" s="43">
        <v>3255.26</v>
      </c>
      <c r="E197" s="2"/>
      <c r="F197" s="2"/>
    </row>
    <row r="198" spans="1:6" ht="12.75">
      <c r="A198" s="41">
        <v>37362</v>
      </c>
      <c r="B198" s="40">
        <v>943</v>
      </c>
      <c r="C198" s="40">
        <v>106.4049</v>
      </c>
      <c r="D198" s="40">
        <v>3268.26</v>
      </c>
      <c r="E198" s="2"/>
      <c r="F198" s="2"/>
    </row>
    <row r="199" spans="1:6" ht="12.75">
      <c r="A199" s="41">
        <v>37362</v>
      </c>
      <c r="B199" s="40">
        <v>1559</v>
      </c>
      <c r="C199" s="40">
        <v>106.6665</v>
      </c>
      <c r="D199" s="40">
        <v>3416.71</v>
      </c>
      <c r="E199" s="2"/>
      <c r="F199" s="2"/>
    </row>
    <row r="200" spans="1:6" ht="12.75">
      <c r="A200" s="41">
        <v>37363</v>
      </c>
      <c r="B200" s="40">
        <v>924</v>
      </c>
      <c r="C200" s="40">
        <v>107.3917</v>
      </c>
      <c r="D200" s="40">
        <v>3772.82</v>
      </c>
      <c r="E200" s="2"/>
      <c r="F200" s="2"/>
    </row>
    <row r="201" spans="1:6" ht="12.75">
      <c r="A201" s="41">
        <v>37363</v>
      </c>
      <c r="B201" s="40">
        <v>1330</v>
      </c>
      <c r="C201" s="40">
        <v>107.5625</v>
      </c>
      <c r="D201" s="40">
        <v>3536.18</v>
      </c>
      <c r="E201" s="2"/>
      <c r="F201" s="2"/>
    </row>
    <row r="202" spans="1:6" ht="12.75">
      <c r="A202" s="41">
        <v>37363</v>
      </c>
      <c r="B202" s="40">
        <v>1400</v>
      </c>
      <c r="C202" s="40">
        <v>107.5833</v>
      </c>
      <c r="D202" s="40">
        <v>3643.15</v>
      </c>
      <c r="E202" s="2"/>
      <c r="F202" s="2"/>
    </row>
    <row r="203" spans="1:6" ht="12.75">
      <c r="A203" s="41">
        <v>37363</v>
      </c>
      <c r="B203" s="40">
        <v>1634</v>
      </c>
      <c r="C203" s="40">
        <v>107.6903</v>
      </c>
      <c r="D203" s="40">
        <v>3893.69</v>
      </c>
      <c r="E203" s="2"/>
      <c r="F203" s="2"/>
    </row>
    <row r="204" spans="1:6" ht="12.75">
      <c r="A204" s="42">
        <v>37364</v>
      </c>
      <c r="B204" s="40">
        <v>930</v>
      </c>
      <c r="C204" s="40">
        <v>108.3958</v>
      </c>
      <c r="D204" s="40">
        <v>3302.29</v>
      </c>
      <c r="E204" s="2"/>
      <c r="F204" s="2"/>
    </row>
    <row r="205" spans="1:6" ht="12.75">
      <c r="A205" s="42">
        <v>37370</v>
      </c>
      <c r="B205" s="40">
        <v>1221</v>
      </c>
      <c r="C205" s="40">
        <v>114.5146</v>
      </c>
      <c r="D205" s="40">
        <v>3227.98</v>
      </c>
      <c r="E205" s="2"/>
      <c r="F205" s="2"/>
    </row>
    <row r="206" spans="1:6" ht="12.75">
      <c r="A206" s="42">
        <v>37370</v>
      </c>
      <c r="B206" s="40">
        <v>1535</v>
      </c>
      <c r="C206" s="40">
        <v>114.6493</v>
      </c>
      <c r="D206" s="40">
        <v>3068.89</v>
      </c>
      <c r="E206" s="2"/>
      <c r="F206" s="2"/>
    </row>
    <row r="207" spans="1:6" ht="12.75">
      <c r="A207" s="42">
        <v>37377</v>
      </c>
      <c r="B207" s="40">
        <v>1143</v>
      </c>
      <c r="C207" s="40">
        <v>121.4882</v>
      </c>
      <c r="D207" s="40">
        <v>3367.81</v>
      </c>
      <c r="E207" s="2"/>
      <c r="F207" s="2"/>
    </row>
    <row r="208" spans="1:6" ht="12.75">
      <c r="A208" s="42">
        <v>37384</v>
      </c>
      <c r="B208" s="40">
        <v>1101</v>
      </c>
      <c r="C208" s="40">
        <v>128.459</v>
      </c>
      <c r="D208" s="40">
        <v>3191.87</v>
      </c>
      <c r="E208" s="2"/>
      <c r="F208" s="2"/>
    </row>
    <row r="209" spans="1:6" ht="12.75">
      <c r="A209" s="42">
        <v>37384</v>
      </c>
      <c r="B209" s="40">
        <v>1518</v>
      </c>
      <c r="C209" s="40">
        <v>128.6375</v>
      </c>
      <c r="D209" s="40">
        <v>3055.83</v>
      </c>
      <c r="E209" s="2"/>
      <c r="F209" s="2"/>
    </row>
    <row r="210" spans="1:6" ht="12.75">
      <c r="A210" s="42">
        <v>37386</v>
      </c>
      <c r="B210" s="40">
        <v>913</v>
      </c>
      <c r="C210" s="40">
        <v>130.384</v>
      </c>
      <c r="D210" s="40">
        <v>3094.65</v>
      </c>
      <c r="E210" s="2"/>
      <c r="F210" s="2"/>
    </row>
    <row r="211" spans="1:6" ht="12.75">
      <c r="A211" s="42">
        <v>37390</v>
      </c>
      <c r="B211" s="40">
        <v>1146</v>
      </c>
      <c r="C211" s="40">
        <v>134.4903</v>
      </c>
      <c r="D211" s="40">
        <v>2964.55</v>
      </c>
      <c r="E211" s="2"/>
      <c r="F211" s="2"/>
    </row>
    <row r="212" spans="1:6" ht="12.75">
      <c r="A212" s="42">
        <v>37390</v>
      </c>
      <c r="B212" s="40">
        <v>1511</v>
      </c>
      <c r="C212" s="40">
        <v>134.6326</v>
      </c>
      <c r="D212" s="40">
        <v>2986.81</v>
      </c>
      <c r="E212" s="2"/>
      <c r="F212" s="2"/>
    </row>
    <row r="213" spans="1:6" ht="12.75">
      <c r="A213" s="42">
        <v>37391</v>
      </c>
      <c r="B213" s="40">
        <v>833</v>
      </c>
      <c r="C213" s="40">
        <v>135.3563</v>
      </c>
      <c r="D213" s="40">
        <v>2885.87</v>
      </c>
      <c r="E213" s="2"/>
      <c r="F213" s="2"/>
    </row>
    <row r="214" spans="1:6" ht="12.75">
      <c r="A214" s="42">
        <v>37391</v>
      </c>
      <c r="B214" s="40">
        <v>1227</v>
      </c>
      <c r="C214" s="40">
        <v>135.5188</v>
      </c>
      <c r="D214" s="40">
        <v>2793.57</v>
      </c>
      <c r="E214" s="2"/>
      <c r="F214" s="2"/>
    </row>
    <row r="215" spans="1:6" ht="12.75">
      <c r="A215" s="42">
        <v>37391</v>
      </c>
      <c r="B215" s="40">
        <v>1548</v>
      </c>
      <c r="C215" s="40">
        <v>135.6583</v>
      </c>
      <c r="D215" s="40">
        <v>2579.3</v>
      </c>
      <c r="E215" s="2"/>
      <c r="F215" s="2"/>
    </row>
    <row r="216" spans="1:6" ht="12.75">
      <c r="A216" s="42">
        <v>37392</v>
      </c>
      <c r="B216" s="40">
        <v>746</v>
      </c>
      <c r="C216" s="40">
        <v>136.3236</v>
      </c>
      <c r="D216" s="40">
        <v>2617.24</v>
      </c>
      <c r="E216" s="2"/>
      <c r="F216" s="2"/>
    </row>
    <row r="217" spans="1:6" ht="12.75">
      <c r="A217" s="42">
        <v>37392</v>
      </c>
      <c r="B217" s="40">
        <v>1654</v>
      </c>
      <c r="C217" s="40">
        <v>136.7042</v>
      </c>
      <c r="D217" s="40">
        <v>2672.19</v>
      </c>
      <c r="E217" s="2"/>
      <c r="F217" s="2"/>
    </row>
    <row r="218" spans="1:6" ht="12.75">
      <c r="A218" s="42">
        <v>37393</v>
      </c>
      <c r="B218" s="40">
        <v>747</v>
      </c>
      <c r="C218" s="40">
        <v>137.3243</v>
      </c>
      <c r="D218" s="40">
        <v>2613.88</v>
      </c>
      <c r="E218" s="2"/>
      <c r="F218" s="2"/>
    </row>
    <row r="219" spans="1:6" ht="12.75">
      <c r="A219" s="42">
        <v>37393</v>
      </c>
      <c r="B219" s="40">
        <v>1135</v>
      </c>
      <c r="C219" s="40">
        <v>137.4826</v>
      </c>
      <c r="D219" s="40">
        <v>2596.07</v>
      </c>
      <c r="E219" s="2"/>
      <c r="F219" s="2"/>
    </row>
    <row r="220" spans="5:6" ht="12.75">
      <c r="E220" s="2"/>
      <c r="F220" s="2"/>
    </row>
    <row r="221" spans="5:6" ht="12.75">
      <c r="E221" s="2"/>
      <c r="F221" s="2"/>
    </row>
    <row r="222" spans="1:6" ht="18" thickBot="1">
      <c r="A222" s="3" t="s">
        <v>20</v>
      </c>
      <c r="E222" s="2"/>
      <c r="F222" s="2"/>
    </row>
    <row r="223" spans="1:6" ht="12.75">
      <c r="A223" s="38" t="s">
        <v>28</v>
      </c>
      <c r="B223" s="38" t="s">
        <v>15</v>
      </c>
      <c r="C223" s="38" t="s">
        <v>29</v>
      </c>
      <c r="D223" s="38" t="s">
        <v>8</v>
      </c>
      <c r="E223" s="60" t="s">
        <v>30</v>
      </c>
      <c r="F223" s="2"/>
    </row>
    <row r="224" spans="1:6" ht="12.75">
      <c r="A224" s="37"/>
      <c r="B224" s="37"/>
      <c r="C224" s="37"/>
      <c r="D224" s="37" t="s">
        <v>0</v>
      </c>
      <c r="E224" s="61" t="s">
        <v>33</v>
      </c>
      <c r="F224" s="2"/>
    </row>
    <row r="225" spans="1:8" ht="12.75">
      <c r="A225" s="42">
        <v>37320</v>
      </c>
      <c r="B225" s="6" t="s">
        <v>21</v>
      </c>
      <c r="C225" s="6">
        <v>1023</v>
      </c>
      <c r="D225" s="6">
        <v>64.4326</v>
      </c>
      <c r="E225" s="40">
        <v>1990</v>
      </c>
      <c r="G225" s="2"/>
      <c r="H225" s="2"/>
    </row>
    <row r="226" spans="1:8" ht="12.75">
      <c r="A226" s="42">
        <v>37342</v>
      </c>
      <c r="B226" s="6" t="s">
        <v>22</v>
      </c>
      <c r="C226" s="6">
        <v>937</v>
      </c>
      <c r="D226" s="6">
        <v>86.4007</v>
      </c>
      <c r="E226" s="40">
        <v>2120</v>
      </c>
      <c r="G226" s="2"/>
      <c r="H226" s="2"/>
    </row>
    <row r="227" spans="1:8" ht="12.75">
      <c r="A227" s="42">
        <v>37349</v>
      </c>
      <c r="B227" s="6" t="s">
        <v>23</v>
      </c>
      <c r="C227" s="6">
        <v>1105</v>
      </c>
      <c r="D227" s="6">
        <v>93.4618</v>
      </c>
      <c r="E227" s="40">
        <v>1670</v>
      </c>
      <c r="G227" s="2"/>
      <c r="H227" s="2"/>
    </row>
    <row r="228" spans="1:8" ht="12.75">
      <c r="A228" s="42">
        <v>37356</v>
      </c>
      <c r="B228" s="6" t="s">
        <v>24</v>
      </c>
      <c r="C228" s="6">
        <v>1004</v>
      </c>
      <c r="D228" s="6">
        <v>100.4194</v>
      </c>
      <c r="E228" s="40">
        <v>1810</v>
      </c>
      <c r="G228" s="2"/>
      <c r="H228" s="2"/>
    </row>
    <row r="229" spans="1:8" ht="12.75">
      <c r="A229" s="42">
        <v>37363</v>
      </c>
      <c r="B229" s="6" t="s">
        <v>25</v>
      </c>
      <c r="C229" s="6">
        <v>943</v>
      </c>
      <c r="D229" s="6">
        <v>107.4049</v>
      </c>
      <c r="E229" s="40">
        <v>2990</v>
      </c>
      <c r="G229" s="2"/>
      <c r="H229" s="2"/>
    </row>
    <row r="230" spans="1:8" ht="12.75">
      <c r="A230" s="42">
        <v>37391</v>
      </c>
      <c r="B230" s="6" t="s">
        <v>26</v>
      </c>
      <c r="C230" s="6">
        <v>1016</v>
      </c>
      <c r="D230" s="6">
        <v>135.4278</v>
      </c>
      <c r="E230" s="40">
        <v>3016</v>
      </c>
      <c r="G230" s="2"/>
      <c r="H230" s="2"/>
    </row>
    <row r="231" spans="1:8" ht="12.75">
      <c r="A231" s="42">
        <v>37392</v>
      </c>
      <c r="B231" s="6" t="s">
        <v>27</v>
      </c>
      <c r="C231" s="6">
        <v>849</v>
      </c>
      <c r="D231" s="6">
        <v>136.3674</v>
      </c>
      <c r="E231" s="40">
        <v>2710</v>
      </c>
      <c r="G231" s="2"/>
      <c r="H231" s="2"/>
    </row>
    <row r="232" spans="1:8" ht="12.75">
      <c r="A232" s="42">
        <v>37393</v>
      </c>
      <c r="B232" s="6" t="s">
        <v>31</v>
      </c>
      <c r="C232" s="6">
        <v>1454</v>
      </c>
      <c r="D232" s="6">
        <v>137.6208</v>
      </c>
      <c r="E232" s="40">
        <v>2420</v>
      </c>
      <c r="G232" s="2"/>
      <c r="H232" s="2"/>
    </row>
    <row r="233" spans="5:6" ht="12.75">
      <c r="E233" s="2"/>
      <c r="F233" s="2"/>
    </row>
    <row r="234" spans="5:6" ht="12.75">
      <c r="E234" s="2"/>
      <c r="F234" s="2"/>
    </row>
    <row r="235" spans="5:6" ht="12.75">
      <c r="E235" s="2"/>
      <c r="F235" s="2"/>
    </row>
    <row r="236" spans="5:6" ht="12.75">
      <c r="E236" s="2"/>
      <c r="F236" s="2"/>
    </row>
    <row r="237" spans="5:6" ht="12.75">
      <c r="E237" s="2"/>
      <c r="F237" s="2"/>
    </row>
    <row r="238" spans="5:6" ht="12.75">
      <c r="E238" s="2"/>
      <c r="F238" s="2"/>
    </row>
    <row r="239" spans="5:6" ht="12.75">
      <c r="E239" s="2"/>
      <c r="F239" s="2"/>
    </row>
    <row r="240" spans="5:6" ht="12.75">
      <c r="E240" s="2"/>
      <c r="F240" s="2"/>
    </row>
    <row r="241" spans="5:6" ht="12.75">
      <c r="E241" s="2"/>
      <c r="F241" s="2"/>
    </row>
    <row r="242" spans="5:6" ht="12.75">
      <c r="E242" s="2"/>
      <c r="F242" s="2"/>
    </row>
    <row r="243" spans="5:6" ht="12.75">
      <c r="E243" s="2"/>
      <c r="F243" s="2"/>
    </row>
    <row r="244" spans="5:6" ht="12.75">
      <c r="E244" s="2"/>
      <c r="F244" s="2"/>
    </row>
    <row r="245" spans="5:6" ht="12.75">
      <c r="E245" s="2"/>
      <c r="F245" s="2"/>
    </row>
    <row r="246" spans="5:6" ht="12.75">
      <c r="E246" s="2"/>
      <c r="F246" s="2"/>
    </row>
    <row r="247" spans="5:6" ht="12.75">
      <c r="E247" s="2"/>
      <c r="F247" s="2"/>
    </row>
    <row r="248" spans="5:6" ht="12.75">
      <c r="E248" s="2"/>
      <c r="F248" s="2"/>
    </row>
    <row r="249" spans="5:6" ht="12.75">
      <c r="E249" s="2"/>
      <c r="F249" s="2"/>
    </row>
    <row r="250" spans="5:6" ht="12.75">
      <c r="E250" s="2"/>
      <c r="F250" s="2"/>
    </row>
    <row r="251" spans="5:6" ht="12.75">
      <c r="E251" s="2"/>
      <c r="F251" s="2"/>
    </row>
    <row r="252" spans="5:6" ht="12.75">
      <c r="E252" s="2"/>
      <c r="F252" s="2"/>
    </row>
    <row r="253" spans="5:6" ht="12.75">
      <c r="E253" s="2"/>
      <c r="F253" s="2"/>
    </row>
    <row r="254" spans="5:6" ht="12.75">
      <c r="E254" s="2"/>
      <c r="F254" s="2"/>
    </row>
    <row r="255" spans="5:6" ht="12.75">
      <c r="E255" s="2"/>
      <c r="F255" s="2"/>
    </row>
    <row r="256" spans="5:6" ht="12.75">
      <c r="E256" s="2"/>
      <c r="F256" s="2"/>
    </row>
    <row r="257" spans="5:6" ht="12.75">
      <c r="E257" s="2"/>
      <c r="F257" s="2"/>
    </row>
    <row r="258" spans="5:6" ht="12.75">
      <c r="E258" s="2"/>
      <c r="F258" s="2"/>
    </row>
    <row r="259" spans="5:6" ht="12.75">
      <c r="E259" s="2"/>
      <c r="F259" s="2"/>
    </row>
    <row r="260" spans="5:6" ht="12.75">
      <c r="E260" s="2"/>
      <c r="F260" s="2"/>
    </row>
    <row r="261" spans="5:6" ht="12.75">
      <c r="E261" s="2"/>
      <c r="F261" s="2"/>
    </row>
    <row r="262" spans="5:6" ht="12.75">
      <c r="E262" s="2"/>
      <c r="F262" s="2"/>
    </row>
    <row r="263" spans="5:6" ht="12.75">
      <c r="E263" s="2"/>
      <c r="F263" s="2"/>
    </row>
    <row r="264" spans="5:6" ht="12.75">
      <c r="E264" s="2"/>
      <c r="F264" s="2"/>
    </row>
    <row r="265" spans="5:6" ht="12.75">
      <c r="E265" s="2"/>
      <c r="F265" s="2"/>
    </row>
    <row r="266" spans="5:6" ht="12.75">
      <c r="E266" s="2"/>
      <c r="F266" s="2"/>
    </row>
    <row r="267" spans="5:6" ht="12.75">
      <c r="E267" s="2"/>
      <c r="F267" s="2"/>
    </row>
    <row r="268" spans="5:6" ht="12.75">
      <c r="E268" s="2"/>
      <c r="F268" s="2"/>
    </row>
    <row r="269" spans="5:6" ht="12.75">
      <c r="E269" s="2"/>
      <c r="F269" s="2"/>
    </row>
    <row r="270" spans="5:6" ht="12.75">
      <c r="E270" s="2"/>
      <c r="F270" s="2"/>
    </row>
    <row r="271" spans="5:6" ht="12.75">
      <c r="E271" s="2"/>
      <c r="F271" s="2"/>
    </row>
    <row r="272" spans="5:6" ht="12.75">
      <c r="E272" s="2"/>
      <c r="F272" s="2"/>
    </row>
    <row r="273" spans="5:6" ht="12.75">
      <c r="E273" s="2"/>
      <c r="F273" s="2"/>
    </row>
    <row r="274" spans="5:6" ht="12.75">
      <c r="E274" s="2"/>
      <c r="F274" s="2"/>
    </row>
    <row r="275" spans="5:6" ht="12.75">
      <c r="E275" s="2"/>
      <c r="F275" s="2"/>
    </row>
    <row r="276" spans="5:6" ht="12.75">
      <c r="E276" s="2"/>
      <c r="F276" s="2"/>
    </row>
    <row r="277" spans="5:6" ht="12.75">
      <c r="E277" s="2"/>
      <c r="F277" s="2"/>
    </row>
    <row r="278" spans="5:6" ht="12.75">
      <c r="E278" s="2"/>
      <c r="F278" s="2"/>
    </row>
    <row r="279" spans="5:6" ht="12.75">
      <c r="E279" s="2"/>
      <c r="F279" s="2"/>
    </row>
    <row r="280" spans="5:6" ht="12.75">
      <c r="E280" s="2"/>
      <c r="F280" s="2"/>
    </row>
    <row r="281" spans="5:6" ht="12.75">
      <c r="E281" s="2"/>
      <c r="F281" s="2"/>
    </row>
    <row r="282" spans="5:6" ht="12.75">
      <c r="E282" s="2"/>
      <c r="F282" s="2"/>
    </row>
    <row r="283" spans="5:6" ht="12.75">
      <c r="E283" s="2"/>
      <c r="F283" s="2"/>
    </row>
    <row r="284" spans="5:6" ht="12.75">
      <c r="E284" s="2"/>
      <c r="F284" s="2"/>
    </row>
    <row r="285" spans="5:6" ht="12.75">
      <c r="E285" s="2"/>
      <c r="F285" s="2"/>
    </row>
    <row r="286" spans="5:6" ht="12.75">
      <c r="E286" s="2"/>
      <c r="F286" s="2"/>
    </row>
    <row r="287" spans="5:6" ht="12.75">
      <c r="E287" s="2"/>
      <c r="F287" s="2"/>
    </row>
    <row r="288" spans="5:6" ht="12.75">
      <c r="E288" s="2"/>
      <c r="F288" s="2"/>
    </row>
    <row r="289" spans="5:6" ht="12.75">
      <c r="E289" s="2"/>
      <c r="F289" s="2"/>
    </row>
    <row r="290" spans="5:6" ht="12.75">
      <c r="E290" s="2"/>
      <c r="F290" s="2"/>
    </row>
    <row r="291" spans="5:6" ht="12.75">
      <c r="E291" s="2"/>
      <c r="F291" s="2"/>
    </row>
    <row r="292" spans="5:6" ht="12.75">
      <c r="E292" s="2"/>
      <c r="F292" s="2"/>
    </row>
    <row r="293" spans="5:6" ht="12.75">
      <c r="E293" s="2"/>
      <c r="F293" s="2"/>
    </row>
    <row r="294" spans="5:6" ht="12.75">
      <c r="E294" s="2"/>
      <c r="F294" s="2"/>
    </row>
    <row r="295" spans="5:6" ht="12.75">
      <c r="E295" s="2"/>
      <c r="F295" s="2"/>
    </row>
    <row r="296" spans="5:6" ht="12.75">
      <c r="E296" s="2"/>
      <c r="F296" s="2"/>
    </row>
    <row r="297" spans="5:6" ht="12.75">
      <c r="E297" s="2"/>
      <c r="F297" s="2"/>
    </row>
    <row r="298" spans="5:6" ht="12.75">
      <c r="E298" s="2"/>
      <c r="F298" s="2"/>
    </row>
    <row r="299" spans="5:6" ht="12.75">
      <c r="E299" s="2"/>
      <c r="F299" s="2"/>
    </row>
    <row r="300" spans="5:6" ht="12.75">
      <c r="E300" s="2"/>
      <c r="F300" s="2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A7" sqref="A7:IV7"/>
    </sheetView>
  </sheetViews>
  <sheetFormatPr defaultColWidth="9.140625" defaultRowHeight="12.75"/>
  <cols>
    <col min="7" max="7" width="10.421875" style="0" customWidth="1"/>
  </cols>
  <sheetData>
    <row r="1" ht="12.75">
      <c r="B1" s="18"/>
    </row>
    <row r="2" ht="12.75">
      <c r="B2" s="18"/>
    </row>
    <row r="3" ht="12.75">
      <c r="B3" s="18"/>
    </row>
    <row r="4" spans="2:6" ht="12.75">
      <c r="B4" s="11"/>
      <c r="C4" s="18"/>
      <c r="F4" s="11"/>
    </row>
    <row r="5" ht="13.5" thickBot="1">
      <c r="F5" s="11"/>
    </row>
    <row r="6" spans="6:8" ht="13.5" thickBot="1">
      <c r="F6" s="57" t="s">
        <v>19</v>
      </c>
      <c r="G6" s="58" t="s">
        <v>17</v>
      </c>
      <c r="H6" s="59" t="s">
        <v>18</v>
      </c>
    </row>
    <row r="7" spans="6:8" ht="12.75">
      <c r="F7" s="52">
        <f>AVERAGE(Sheet1!E6:E7)</f>
        <v>66.898558125</v>
      </c>
      <c r="G7" s="51">
        <f>AVERAGE(Sheet1!C2:C7)</f>
        <v>104.7357638888889</v>
      </c>
      <c r="H7" s="53">
        <f aca="true" t="shared" si="0" ref="H7:H37">F7*35.31466</f>
        <v>2362.4998346746124</v>
      </c>
    </row>
    <row r="8" spans="6:8" ht="12.75">
      <c r="F8" s="52">
        <f>AVERAGE(Sheet1!E9:E12)</f>
        <v>67.2171226875</v>
      </c>
      <c r="G8" s="51">
        <f>AVERAGE(Sheet1!C9:C12)</f>
        <v>104.80156250000002</v>
      </c>
      <c r="H8" s="53">
        <f t="shared" si="0"/>
        <v>2373.749833887349</v>
      </c>
    </row>
    <row r="9" spans="6:8" ht="12.75">
      <c r="F9" s="52">
        <f>AVERAGE(Sheet1!E14:E17)</f>
        <v>74.8768306125</v>
      </c>
      <c r="G9" s="51">
        <f>AVERAGE(Sheet1!C14:C17)</f>
        <v>105.40677083333334</v>
      </c>
      <c r="H9" s="53">
        <f t="shared" si="0"/>
        <v>2644.2498149580297</v>
      </c>
    </row>
    <row r="10" spans="6:8" ht="12.75">
      <c r="F10" s="52">
        <f>AVERAGE(Sheet1!E19:E24)</f>
        <v>77.7203143</v>
      </c>
      <c r="G10" s="51">
        <f>AVERAGE(Sheet1!C19:C24)</f>
        <v>106.37314814814813</v>
      </c>
      <c r="H10" s="53">
        <f t="shared" si="0"/>
        <v>2744.666474597638</v>
      </c>
    </row>
    <row r="11" spans="6:8" ht="12.75">
      <c r="F11" s="52">
        <f>AVERAGE(Sheet1!E26:E29)</f>
        <v>81.99143917500001</v>
      </c>
      <c r="G11" s="51">
        <f>AVERAGE(Sheet1!C26:C29)</f>
        <v>106.42326388888888</v>
      </c>
      <c r="H11" s="53">
        <f t="shared" si="0"/>
        <v>2895.4997973758063</v>
      </c>
    </row>
    <row r="12" spans="6:8" ht="12.75">
      <c r="F12" s="52">
        <f>AVERAGE(Sheet1!E31:E34)</f>
        <v>82.15426106250001</v>
      </c>
      <c r="G12" s="51">
        <f>AVERAGE(Sheet1!C31:C34)</f>
        <v>106.56909722222223</v>
      </c>
      <c r="H12" s="53">
        <f t="shared" si="0"/>
        <v>2901.249796973427</v>
      </c>
    </row>
    <row r="13" spans="6:8" ht="12.75">
      <c r="F13" s="52">
        <f>AVERAGE(Sheet1!E36:E39)</f>
        <v>80.688864075</v>
      </c>
      <c r="G13" s="51">
        <f>AVERAGE(Sheet1!C36:C39)</f>
        <v>106.70902777777778</v>
      </c>
      <c r="H13" s="53">
        <f t="shared" si="0"/>
        <v>2849.4998005948396</v>
      </c>
    </row>
    <row r="14" spans="6:8" ht="12.75">
      <c r="F14" s="52">
        <f>AVERAGE(Sheet1!E41:E44)</f>
        <v>79.5915861375</v>
      </c>
      <c r="G14" s="51">
        <f>AVERAGE(Sheet1!C41:C44)</f>
        <v>107.35659722222223</v>
      </c>
      <c r="H14" s="53">
        <f t="shared" si="0"/>
        <v>2810.7498033065262</v>
      </c>
    </row>
    <row r="15" spans="6:8" ht="12.75">
      <c r="F15" s="52">
        <f>AVERAGE(Sheet1!E46:E49)</f>
        <v>81.4888150875</v>
      </c>
      <c r="G15" s="51">
        <f>AVERAGE(Sheet1!C46:C49)</f>
        <v>107.50486111111113</v>
      </c>
      <c r="H15" s="53">
        <f t="shared" si="0"/>
        <v>2877.7497986179333</v>
      </c>
    </row>
    <row r="16" spans="6:8" ht="12.75">
      <c r="F16" s="52">
        <f>AVERAGE(Sheet1!E51:E54)</f>
        <v>82.81970703750001</v>
      </c>
      <c r="G16" s="51">
        <f>AVERAGE(Sheet1!C51:C54)</f>
        <v>107.74340277777779</v>
      </c>
      <c r="H16" s="53">
        <f t="shared" si="0"/>
        <v>2924.7497953289203</v>
      </c>
    </row>
    <row r="17" spans="6:8" ht="12.75">
      <c r="F17" s="52">
        <f>AVERAGE(Sheet1!E56:E59)</f>
        <v>84.5328764625</v>
      </c>
      <c r="G17" s="51">
        <f>AVERAGE(Sheet1!C56:C59)</f>
        <v>108.36788194444445</v>
      </c>
      <c r="H17" s="53">
        <f t="shared" si="0"/>
        <v>2985.2497910951906</v>
      </c>
    </row>
    <row r="18" spans="6:8" ht="12.75">
      <c r="F18" s="52">
        <f>AVERAGE(Sheet1!E61:E66)</f>
        <v>85.9888345</v>
      </c>
      <c r="G18" s="51">
        <f>AVERAGE(Sheet1!C61:C66)</f>
        <v>114.42430555555556</v>
      </c>
      <c r="H18" s="53">
        <f t="shared" si="0"/>
        <v>3036.66645416377</v>
      </c>
    </row>
    <row r="19" spans="6:8" ht="12.75">
      <c r="F19" s="52">
        <f>AVERAGE(Sheet1!E68:E71)</f>
        <v>89.9697116625</v>
      </c>
      <c r="G19" s="51">
        <f>AVERAGE(Sheet1!C68:C71)</f>
        <v>121.55694444444444</v>
      </c>
      <c r="H19" s="53">
        <f t="shared" si="0"/>
        <v>3177.2497776592227</v>
      </c>
    </row>
    <row r="20" spans="6:8" ht="12.75">
      <c r="F20" s="52">
        <f>AVERAGE(Sheet1!E73:E82)</f>
        <v>92.49982221</v>
      </c>
      <c r="G20" s="51">
        <f>AVERAGE(Sheet1!C73:C82)</f>
        <v>127.36715277777778</v>
      </c>
      <c r="H20" s="53">
        <f t="shared" si="0"/>
        <v>3266.5997714065993</v>
      </c>
    </row>
    <row r="21" spans="6:8" ht="12.75">
      <c r="F21" s="52">
        <f>AVERAGE(Sheet1!E83:E87)</f>
        <v>92.3908023375</v>
      </c>
      <c r="G21" s="51">
        <f>AVERAGE(Sheet1!C84:C88)</f>
        <v>127.60958333333333</v>
      </c>
      <c r="H21" s="53">
        <f t="shared" si="0"/>
        <v>3262.749771676018</v>
      </c>
    </row>
    <row r="22" spans="6:8" ht="12.75">
      <c r="F22" s="52">
        <f>AVERAGE(Sheet1!E90:E94)</f>
        <v>91.16893026</v>
      </c>
      <c r="G22" s="51">
        <f>AVERAGE(Sheet1!C90:C94)</f>
        <v>128.42930555555554</v>
      </c>
      <c r="H22" s="53">
        <f t="shared" si="0"/>
        <v>3219.599774695612</v>
      </c>
    </row>
    <row r="23" spans="6:8" ht="12.75">
      <c r="F23" s="52">
        <f>AVERAGE(Sheet1!E97:E100)</f>
        <v>88.77332475</v>
      </c>
      <c r="G23" s="51">
        <f>AVERAGE(Sheet1!C97:C100)</f>
        <v>128.53819444444446</v>
      </c>
      <c r="H23" s="53">
        <f t="shared" si="0"/>
        <v>3134.9997806158353</v>
      </c>
    </row>
    <row r="24" spans="6:8" ht="12.75">
      <c r="F24" s="52">
        <f>AVERAGE(Sheet1!E102:E105)</f>
        <v>87.6760468125</v>
      </c>
      <c r="G24" s="51">
        <f>AVERAGE(Sheet1!C102:C105)</f>
        <v>128.65538194444443</v>
      </c>
      <c r="H24" s="53">
        <f t="shared" si="0"/>
        <v>3096.2497833275215</v>
      </c>
    </row>
    <row r="25" spans="6:13" ht="12.75">
      <c r="F25" s="52">
        <f>Sheet1!F110</f>
        <v>74.94054352500001</v>
      </c>
      <c r="G25" s="51">
        <f>AVERAGE(Sheet1!C107:C110)</f>
        <v>135.36979166666666</v>
      </c>
      <c r="H25" s="53">
        <f t="shared" si="0"/>
        <v>2646.499814800577</v>
      </c>
      <c r="J25" s="20"/>
      <c r="K25" s="11"/>
      <c r="M25" s="20"/>
    </row>
    <row r="26" spans="6:13" ht="12.75">
      <c r="F26" s="52">
        <f>Sheet1!F115</f>
        <v>80.858765175</v>
      </c>
      <c r="G26" s="10">
        <f>AVERAGE(Sheet1!C112:C115)</f>
        <v>135.41979166666667</v>
      </c>
      <c r="H26" s="53">
        <f t="shared" si="0"/>
        <v>2855.499800174966</v>
      </c>
      <c r="J26" s="20"/>
      <c r="K26" s="11"/>
      <c r="M26" s="20"/>
    </row>
    <row r="27" spans="6:13" ht="12.75">
      <c r="F27" s="52">
        <f>Sheet1!F120</f>
        <v>78.6854469375</v>
      </c>
      <c r="G27" s="10">
        <f>AVERAGE(Sheet1!C117:C120)</f>
        <v>135.57725694444443</v>
      </c>
      <c r="H27" s="53">
        <f t="shared" si="0"/>
        <v>2778.749805545854</v>
      </c>
      <c r="J27" s="20"/>
      <c r="K27" s="11"/>
      <c r="M27" s="20"/>
    </row>
    <row r="28" spans="6:13" ht="12.75">
      <c r="F28" s="52">
        <f>Sheet1!F125</f>
        <v>76.61831688749999</v>
      </c>
      <c r="G28" s="10">
        <f>AVERAGE(Sheet1!C122:C125)</f>
        <v>135.67708333333334</v>
      </c>
      <c r="H28" s="53">
        <f t="shared" si="0"/>
        <v>2705.7498106543208</v>
      </c>
      <c r="J28" s="20"/>
      <c r="K28" s="11"/>
      <c r="M28" s="20"/>
    </row>
    <row r="29" spans="6:13" ht="12.75">
      <c r="F29" s="52">
        <f>Sheet1!F130</f>
        <v>77.0997033375</v>
      </c>
      <c r="G29" s="10">
        <f>AVERAGE(Sheet1!C127:C130)</f>
        <v>136.38229166666667</v>
      </c>
      <c r="H29" s="53">
        <f t="shared" si="0"/>
        <v>2722.749809464678</v>
      </c>
      <c r="J29" s="20"/>
      <c r="K29" s="11"/>
      <c r="M29" s="20"/>
    </row>
    <row r="30" spans="6:8" ht="12.75">
      <c r="F30" s="52">
        <f>AVERAGE(Sheet1!E132:E135)</f>
        <v>75.0042564375</v>
      </c>
      <c r="G30" s="51">
        <f>AVERAGE(Sheet1!C132:C135)</f>
        <v>136.57430555555555</v>
      </c>
      <c r="H30" s="53">
        <f t="shared" si="0"/>
        <v>2648.749814643124</v>
      </c>
    </row>
    <row r="31" spans="6:8" ht="12.75">
      <c r="F31" s="52">
        <f>AVERAGE(Sheet1!E137:E141)</f>
        <v>75.20389023</v>
      </c>
      <c r="G31" s="51">
        <f>AVERAGE(Sheet1!C137:C141)</f>
        <v>136.59305555555557</v>
      </c>
      <c r="H31" s="53">
        <f t="shared" si="0"/>
        <v>2655.799814149772</v>
      </c>
    </row>
    <row r="32" spans="6:8" ht="12.75">
      <c r="F32" s="52">
        <f>AVERAGE(Sheet1!E143:E146)</f>
        <v>74.0414835375</v>
      </c>
      <c r="G32" s="51">
        <f>AVERAGE(Sheet1!C143:C146)</f>
        <v>136.67378472222222</v>
      </c>
      <c r="H32" s="53">
        <f t="shared" si="0"/>
        <v>2614.74981702241</v>
      </c>
    </row>
    <row r="33" spans="6:8" ht="12.75">
      <c r="F33" s="52">
        <f>AVERAGE(Sheet1!E148:E151)</f>
        <v>74.13351329999999</v>
      </c>
      <c r="G33" s="51">
        <f>AVERAGE(Sheet1!C148:C151)</f>
        <v>136.68541666666667</v>
      </c>
      <c r="H33" s="53">
        <f t="shared" si="0"/>
        <v>2617.999816794978</v>
      </c>
    </row>
    <row r="34" spans="6:8" ht="12.75">
      <c r="F34" s="52">
        <f>AVERAGE(Sheet1!E153:E156)</f>
        <v>70.0346492625</v>
      </c>
      <c r="G34" s="51">
        <f>AVERAGE(Sheet1!C153:C156)</f>
        <v>137.38680555555555</v>
      </c>
      <c r="H34" s="53">
        <f t="shared" si="0"/>
        <v>2473.2498269244384</v>
      </c>
    </row>
    <row r="35" spans="6:8" ht="12.75">
      <c r="F35" s="52">
        <f>AVERAGE(Sheet1!E158:E161)</f>
        <v>70.10544138750001</v>
      </c>
      <c r="G35" s="51">
        <f>AVERAGE(Sheet1!C158:C161)</f>
        <v>137.40225694444445</v>
      </c>
      <c r="H35" s="53">
        <f t="shared" si="0"/>
        <v>2475.749826749491</v>
      </c>
    </row>
    <row r="36" spans="6:8" ht="12.75">
      <c r="F36" s="52">
        <f>AVERAGE(Sheet1!E163:E166)</f>
        <v>71.882323725</v>
      </c>
      <c r="G36" s="51">
        <f>AVERAGE(Sheet1!C163:C166)</f>
        <v>137.50815972222222</v>
      </c>
      <c r="H36" s="53">
        <f t="shared" si="0"/>
        <v>2538.499822358309</v>
      </c>
    </row>
    <row r="37" spans="6:8" ht="13.5" thickBot="1">
      <c r="F37" s="54">
        <f>AVERAGE(Sheet1!E168:E171)</f>
        <v>69.85766895</v>
      </c>
      <c r="G37" s="55">
        <f>AVERAGE(Sheet1!C168:C171)</f>
        <v>137.52083333333334</v>
      </c>
      <c r="H37" s="56">
        <f t="shared" si="0"/>
        <v>2466.9998273618075</v>
      </c>
    </row>
    <row r="38" ht="12.75">
      <c r="G38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cp:lastPrinted>2002-08-12T17:10:48Z</cp:lastPrinted>
  <dcterms:created xsi:type="dcterms:W3CDTF">2002-06-17T20:11:11Z</dcterms:created>
  <dcterms:modified xsi:type="dcterms:W3CDTF">2004-04-12T14:07:23Z</dcterms:modified>
  <cp:category/>
  <cp:version/>
  <cp:contentType/>
  <cp:contentStatus/>
</cp:coreProperties>
</file>