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9.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1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1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1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1.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2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2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3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33.xml" ContentType="application/vnd.openxmlformats-officedocument.drawing+xml"/>
  <Override PartName="/xl/worksheets/sheet15.xml" ContentType="application/vnd.openxmlformats-officedocument.spreadsheetml.worksheet+xml"/>
  <Override PartName="/xl/drawings/drawing3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1205" windowHeight="11265" activeTab="0"/>
  </bookViews>
  <sheets>
    <sheet name="Instructions" sheetId="1" r:id="rId1"/>
    <sheet name="Payload" sheetId="2" r:id="rId2"/>
    <sheet name="Conversions" sheetId="3" r:id="rId3"/>
    <sheet name="99885 W &amp; B" sheetId="4" r:id="rId4"/>
    <sheet name="99832 W &amp; B" sheetId="5" r:id="rId5"/>
    <sheet name="7389T W &amp; B" sheetId="6" r:id="rId6"/>
    <sheet name="6429T W &amp; B" sheetId="7" r:id="rId7"/>
    <sheet name="6006C W &amp; B" sheetId="8" r:id="rId8"/>
    <sheet name="1951F W &amp; B" sheetId="9" r:id="rId9"/>
    <sheet name="916CP W &amp; B" sheetId="10" r:id="rId10"/>
    <sheet name="738NH W &amp; B" sheetId="11" r:id="rId11"/>
    <sheet name="716CP W &amp; B" sheetId="12" r:id="rId12"/>
    <sheet name="991CP W &amp; B" sheetId="13" r:id="rId13"/>
    <sheet name="99700 W &amp; B" sheetId="14" r:id="rId14"/>
    <sheet name="MISC INFO" sheetId="15" state="hidden" r:id="rId15"/>
    <sheet name="Chart Data 916CP" sheetId="16" state="hidden" r:id="rId16"/>
    <sheet name="Chart Data 99885" sheetId="17" state="hidden" r:id="rId17"/>
    <sheet name="Chart Data 1951F" sheetId="18" state="hidden" r:id="rId18"/>
    <sheet name="Chart Data 99832" sheetId="19" state="hidden" r:id="rId19"/>
    <sheet name="Chart Data 7389T" sheetId="20" state="hidden" r:id="rId20"/>
    <sheet name="Chart Data 716CP" sheetId="21" state="hidden" r:id="rId21"/>
    <sheet name="Chart Data 6429T" sheetId="22" state="hidden" r:id="rId22"/>
    <sheet name="Chart Data 6006C" sheetId="23" state="hidden" r:id="rId23"/>
    <sheet name="Chart Data 738NH" sheetId="24" state="hidden" r:id="rId24"/>
    <sheet name="Chart Data 99700" sheetId="25" state="hidden" r:id="rId25"/>
    <sheet name="Chart Data 991CP" sheetId="26" state="hidden" r:id="rId26"/>
  </sheets>
  <definedNames>
    <definedName name="_xlnm.Print_Area" localSheetId="12">'991CP W &amp; B'!$A$1:$R$51</definedName>
  </definedNames>
  <calcPr fullCalcOnLoad="1"/>
</workbook>
</file>

<file path=xl/comments10.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11.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12.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13.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14.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4.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5.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6.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7.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8.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comments9.xml><?xml version="1.0" encoding="utf-8"?>
<comments xmlns="http://schemas.openxmlformats.org/spreadsheetml/2006/main">
  <authors>
    <author>Jim Broumley</author>
  </authors>
  <commentList>
    <comment ref="A6" authorId="0">
      <text>
        <r>
          <rPr>
            <b/>
            <sz val="8"/>
            <rFont val="Tahoma"/>
            <family val="0"/>
          </rPr>
          <t>Thunderhorse Aviation:</t>
        </r>
        <r>
          <rPr>
            <sz val="8"/>
            <rFont val="Tahoma"/>
            <family val="0"/>
          </rPr>
          <t xml:space="preserve">
Station 37 is used for caclulations assuming and average height occupant as per the POH.</t>
        </r>
      </text>
    </comment>
  </commentList>
</comments>
</file>

<file path=xl/sharedStrings.xml><?xml version="1.0" encoding="utf-8"?>
<sst xmlns="http://schemas.openxmlformats.org/spreadsheetml/2006/main" count="355" uniqueCount="112">
  <si>
    <t>Description</t>
  </si>
  <si>
    <t>Weight (lbs.)</t>
  </si>
  <si>
    <t>Sample Airplane</t>
  </si>
  <si>
    <t>Your Airplane</t>
  </si>
  <si>
    <t>Moment         (lb.-ins./1000)</t>
  </si>
  <si>
    <t>Prepared:</t>
  </si>
  <si>
    <t>Gallons</t>
  </si>
  <si>
    <t>Pilot and Front Passenger (Station 34 to 46)</t>
  </si>
  <si>
    <t>Rear Passengers</t>
  </si>
  <si>
    <t>*Baggage Area 1  120 lbs Max</t>
  </si>
  <si>
    <t>*Baggage Area 2  50 lbs Max</t>
  </si>
  <si>
    <t>Take-Off Weight and Moment</t>
  </si>
  <si>
    <t>Less Fuel for Flight in Gallons</t>
  </si>
  <si>
    <t>Landing Weight and Moment</t>
  </si>
  <si>
    <t>Gallons Used</t>
  </si>
  <si>
    <t>Loaded Aircraft Weight (Pounds)</t>
  </si>
  <si>
    <t>Loaded Aircraft Moment/1000 (Pound-Inches)</t>
  </si>
  <si>
    <t>Notes: Ensure that takeoff and landing weight and moment fall inside the Center of Gravity Moment Envelope on the chart below.</t>
  </si>
  <si>
    <t>Usable Fuel (at 6 lbs/Gal), Enter Gallons, 53 Gal. Maximum</t>
  </si>
  <si>
    <r>
      <t xml:space="preserve">Basic Empty Weight (Use the data pertaining to your airplane as it is presently equipped.  Includes unusable fuel and full oil)       </t>
    </r>
    <r>
      <rPr>
        <b/>
        <sz val="9"/>
        <color indexed="10"/>
        <rFont val="Arial"/>
        <family val="2"/>
      </rPr>
      <t>W&amp;B 31 Mar 2000</t>
    </r>
  </si>
  <si>
    <t>* Max allowable combined weight for baggage areas 1 and 2 is 120 lbs.</t>
  </si>
  <si>
    <t>N991CP Weight and Balance Loading Problem for 1997 C-172R</t>
  </si>
  <si>
    <t>Max Useful with Full Fuel</t>
  </si>
  <si>
    <t>Usable Fuel (at 6 lbs/Gal), Enter Gallons, 75 Gal. Maximum</t>
  </si>
  <si>
    <t>*Baggage Area 2  80 lbs Max</t>
  </si>
  <si>
    <t>* Max allowable combined weight for baggage areas 1 and 2 is 200 lbs.</t>
  </si>
  <si>
    <t>Take-Off Weight and Moment (MAX RAMP 3112)</t>
  </si>
  <si>
    <t>Instructions For Use</t>
  </si>
  <si>
    <t>- Fill in all values in yellow shaded squares as are applicable to your flight.</t>
  </si>
  <si>
    <t>- Enter your aircraft's empty weight and moment from appropriate weight and balance records carried in your aircraft</t>
  </si>
  <si>
    <t>- Spreadsheet is designed to compliment the charts for CAP Cessna aircraft of NC Wing.  This form is for training purposes only and is not an authorized tool approved by the aircraft manufacturer.</t>
  </si>
  <si>
    <t>in</t>
  </si>
  <si>
    <t>cm</t>
  </si>
  <si>
    <t>Liters</t>
  </si>
  <si>
    <t>Centimeters to Inches</t>
  </si>
  <si>
    <t>Liters to Gallons</t>
  </si>
  <si>
    <t xml:space="preserve">Gallons </t>
  </si>
  <si>
    <t>Inches to Centimeters</t>
  </si>
  <si>
    <t>Gallons to Liters</t>
  </si>
  <si>
    <t>(F)</t>
  </si>
  <si>
    <t>(C)</t>
  </si>
  <si>
    <t>Pounds</t>
  </si>
  <si>
    <t>Kilos</t>
  </si>
  <si>
    <t>Celsius to Fahrenheit</t>
  </si>
  <si>
    <t>Kilograms to Pounds</t>
  </si>
  <si>
    <t>Fahrenheit to Celsius</t>
  </si>
  <si>
    <t>Pounds to Kilograms</t>
  </si>
  <si>
    <t>Enter the value in the yellow box and press Enter to get the conversion in the grey box.</t>
  </si>
  <si>
    <t>N99700 Weight and Balance Loading Problem for 1985 C-172P</t>
  </si>
  <si>
    <t>Usable Fuel (at 6 lbs/Gal), Enter Gallons, 40 Gal. Maximum</t>
  </si>
  <si>
    <r>
      <t xml:space="preserve">Basic Empty Weight (Use the data pertaining to your airplane as it is presently equipped.  Includes unusable fuel and full oil)       </t>
    </r>
    <r>
      <rPr>
        <b/>
        <sz val="9"/>
        <color indexed="10"/>
        <rFont val="Arial"/>
        <family val="2"/>
      </rPr>
      <t>W&amp;B 2 Jan 2003</t>
    </r>
  </si>
  <si>
    <t>Aircraft</t>
  </si>
  <si>
    <t>EOW</t>
  </si>
  <si>
    <t>Fuel Load</t>
  </si>
  <si>
    <t>Gal Fuel</t>
  </si>
  <si>
    <t>N738NH</t>
  </si>
  <si>
    <t>N916CP</t>
  </si>
  <si>
    <t>N991CP</t>
  </si>
  <si>
    <t>N1951F</t>
  </si>
  <si>
    <t>N6006C</t>
  </si>
  <si>
    <t>N7389T</t>
  </si>
  <si>
    <t>N99700</t>
  </si>
  <si>
    <t>N99832</t>
  </si>
  <si>
    <t>N99885</t>
  </si>
  <si>
    <t>Type</t>
  </si>
  <si>
    <t>C-172N</t>
  </si>
  <si>
    <t>C-172P</t>
  </si>
  <si>
    <t>C-172S</t>
  </si>
  <si>
    <t>C-172R</t>
  </si>
  <si>
    <t>CR-182</t>
  </si>
  <si>
    <t>MTOW</t>
  </si>
  <si>
    <t>N916CP Weight and Balance Loading Problem for 1999 C-172S</t>
  </si>
  <si>
    <t>N1951F Weight and Balance Loading Problem for 1980 C-172N</t>
  </si>
  <si>
    <r>
      <t xml:space="preserve">Basic Empty Weight (Use the data pertaining to your airplane as it is presently equipped.  Includes unusable fuel and full oil)       </t>
    </r>
    <r>
      <rPr>
        <b/>
        <sz val="9"/>
        <color indexed="10"/>
        <rFont val="Arial"/>
        <family val="2"/>
      </rPr>
      <t>W&amp;B 16 Aug 1999</t>
    </r>
  </si>
  <si>
    <t>N6006C Weight and Balance Loading Problem for 1978 CR-182</t>
  </si>
  <si>
    <r>
      <t xml:space="preserve">Basic Empty Weight (Use the data pertaining to your airplane as it is presently equipped.  Includes unusable fuel and full oil)       </t>
    </r>
    <r>
      <rPr>
        <b/>
        <sz val="9"/>
        <color indexed="10"/>
        <rFont val="Arial"/>
        <family val="2"/>
      </rPr>
      <t>W&amp;B 13 Oct 2001</t>
    </r>
  </si>
  <si>
    <r>
      <t xml:space="preserve">Basic Empty Weight (Use the data pertaining to your airplane as it is presently equipped.  Includes unusable fuel and full oil)       </t>
    </r>
    <r>
      <rPr>
        <b/>
        <sz val="9"/>
        <color indexed="10"/>
        <rFont val="Arial"/>
        <family val="2"/>
      </rPr>
      <t>W&amp;B 16 May 2002</t>
    </r>
  </si>
  <si>
    <t>N7389T Weight and Balance Loading Problem for 1978 CR-182</t>
  </si>
  <si>
    <t>N99832 Weight and Balance Loading Problem for 1985 C-172P</t>
  </si>
  <si>
    <r>
      <t xml:space="preserve">Basic Empty Weight (Use the data pertaining to your airplane as it is presently equipped.  Includes unusable fuel and full oil)       </t>
    </r>
    <r>
      <rPr>
        <b/>
        <sz val="9"/>
        <color indexed="10"/>
        <rFont val="Arial"/>
        <family val="2"/>
      </rPr>
      <t>W&amp;B 22 Feb 2003</t>
    </r>
  </si>
  <si>
    <t>N99885 Weight and Balance Loading Problem for 1986 C-172P</t>
  </si>
  <si>
    <r>
      <t xml:space="preserve">Basic Empty Weight (Use the data pertaining to your airplane as it is presently equipped.  Includes unusable fuel and full oil)       </t>
    </r>
    <r>
      <rPr>
        <b/>
        <sz val="9"/>
        <color indexed="10"/>
        <rFont val="Arial"/>
        <family val="2"/>
      </rPr>
      <t>W&amp;B 18 Nov 2001</t>
    </r>
  </si>
  <si>
    <t>Payload</t>
  </si>
  <si>
    <t>Return to Payload</t>
  </si>
  <si>
    <t>- Worksheet is formatted to print on two sheets for a record of the flight you are calculating.</t>
  </si>
  <si>
    <t>N738NH Weight and Balance Loading Problem for 1978 C-172P</t>
  </si>
  <si>
    <r>
      <t xml:space="preserve">Basic Empty Weight (Use the data pertaining to your airplane as it is presently equipped.  Includes unusable fuel and full oil)       </t>
    </r>
    <r>
      <rPr>
        <b/>
        <sz val="9"/>
        <color indexed="10"/>
        <rFont val="Arial"/>
        <family val="2"/>
      </rPr>
      <t>W&amp;B 9 Feb 1998</t>
    </r>
  </si>
  <si>
    <t>N6429T Weight and Balance Loading Problem for 1985 CR-182</t>
  </si>
  <si>
    <r>
      <t xml:space="preserve">Basic Empty Weight (Use the data pertaining to your airplane as it is presently equipped.  Includes unusable fuel and full oil)       </t>
    </r>
    <r>
      <rPr>
        <b/>
        <sz val="9"/>
        <color indexed="10"/>
        <rFont val="Arial"/>
        <family val="2"/>
      </rPr>
      <t>W&amp;B 11 Dec 2003</t>
    </r>
  </si>
  <si>
    <t>Usable Fuel (at 6 lbs/Gal), Enter Gallons, 80 Gal. Maximum</t>
  </si>
  <si>
    <t>Take-Off Weight and Moment (MAX RAMP 3110)</t>
  </si>
  <si>
    <t>N6429T</t>
  </si>
  <si>
    <t>MD CR-182</t>
  </si>
  <si>
    <t>Usable Fuel (at 6 lbs/Gal), Enter Gallons, 87 Gal. Maximum</t>
  </si>
  <si>
    <t>*Baggage Area A  120 lbs Max</t>
  </si>
  <si>
    <t>*Baggage Area B  80 lbs Max</t>
  </si>
  <si>
    <t>* Max allowable combined weight for baggage areas A, B &amp; C is 200 lbs. Max combined wt of areas B &amp; C is 80 lbs.</t>
  </si>
  <si>
    <t>716CP Weight and Balance Loading Problem for 2005 C-182T</t>
  </si>
  <si>
    <t>N716CP</t>
  </si>
  <si>
    <t>MAXIMUM LANDING WEIGHT IS 2950 LBS--MUST BURN 25 GAL OF FUEL AT MAX TAKEOFF WEIGHT!</t>
  </si>
  <si>
    <t>NC Wing Aircraft</t>
  </si>
  <si>
    <r>
      <t xml:space="preserve">Basic Empty Weight (Use the data pertaining to your airplane as it is presently equipped.  Includes unusable fuel and full oil)       </t>
    </r>
    <r>
      <rPr>
        <b/>
        <sz val="9"/>
        <color indexed="10"/>
        <rFont val="Arial"/>
        <family val="2"/>
      </rPr>
      <t>W&amp;B 1 Dec 2005</t>
    </r>
  </si>
  <si>
    <t>C-182T Nav III</t>
  </si>
  <si>
    <r>
      <t xml:space="preserve">Basic Empty Weight (Use the data pertaining to your airplane as it is presently equipped.  Includes unusable fuel and full oil)       </t>
    </r>
    <r>
      <rPr>
        <b/>
        <sz val="9"/>
        <color indexed="10"/>
        <rFont val="Arial"/>
        <family val="2"/>
      </rPr>
      <t>W&amp;B 3 Dec 2003</t>
    </r>
  </si>
  <si>
    <t>Compiled/Adapted for CAP by:  Dominic A Strug, Lt Col, CAP  20 Mar 06</t>
  </si>
  <si>
    <t>Base Spreadsheet Written by Jim Broumley of Thunder Horse Aviation</t>
  </si>
  <si>
    <t>Contact-Primary:  dstrug@nc.rr.com</t>
  </si>
  <si>
    <t>Phone - C:  919-656-9945</t>
  </si>
  <si>
    <t>- Ensure that the plot for both the takeoff and landing weight moments fall inside the Center of Gravity Moment Envelope on the chart.</t>
  </si>
  <si>
    <t>Gallons to be Burned</t>
  </si>
  <si>
    <t>991CP</t>
  </si>
  <si>
    <t>w/ 64 Gal Fuel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</si>
</sst>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mm/dd/yyyy"/>
    <numFmt numFmtId="167" formatCode="0.0"/>
  </numFmts>
  <fonts count="23">
    <font>
      <sz val="10"/>
      <name val="Arial"/>
      <family val="0"/>
    </font>
    <font>
      <b/>
      <sz val="10"/>
      <name val="Arial"/>
      <family val="2"/>
    </font>
    <font>
      <b/>
      <sz val="12"/>
      <name val="Arial"/>
      <family val="2"/>
    </font>
    <font>
      <b/>
      <sz val="8"/>
      <name val="Arial"/>
      <family val="2"/>
    </font>
    <font>
      <sz val="8"/>
      <name val="Arial"/>
      <family val="2"/>
    </font>
    <font>
      <b/>
      <u val="single"/>
      <sz val="10"/>
      <name val="Arial"/>
      <family val="2"/>
    </font>
    <font>
      <sz val="8"/>
      <name val="Tahoma"/>
      <family val="0"/>
    </font>
    <font>
      <b/>
      <sz val="8"/>
      <name val="Tahoma"/>
      <family val="0"/>
    </font>
    <font>
      <b/>
      <sz val="9"/>
      <name val="Arial"/>
      <family val="2"/>
    </font>
    <font>
      <b/>
      <sz val="9"/>
      <color indexed="10"/>
      <name val="Arial"/>
      <family val="2"/>
    </font>
    <font>
      <sz val="10"/>
      <color indexed="9"/>
      <name val="Arial"/>
      <family val="0"/>
    </font>
    <font>
      <b/>
      <sz val="11"/>
      <name val="Arial"/>
      <family val="0"/>
    </font>
    <font>
      <b/>
      <sz val="14"/>
      <name val="Arial"/>
      <family val="2"/>
    </font>
    <font>
      <sz val="12"/>
      <name val="Arial"/>
      <family val="2"/>
    </font>
    <font>
      <b/>
      <sz val="10"/>
      <name val="Times New Roman"/>
      <family val="1"/>
    </font>
    <font>
      <u val="single"/>
      <sz val="10"/>
      <color indexed="12"/>
      <name val="Arial"/>
      <family val="0"/>
    </font>
    <font>
      <u val="single"/>
      <sz val="10"/>
      <color indexed="36"/>
      <name val="Arial"/>
      <family val="0"/>
    </font>
    <font>
      <b/>
      <u val="single"/>
      <sz val="10"/>
      <color indexed="12"/>
      <name val="Arial"/>
      <family val="2"/>
    </font>
    <font>
      <i/>
      <u val="single"/>
      <sz val="10"/>
      <color indexed="9"/>
      <name val="Arial"/>
      <family val="0"/>
    </font>
    <font>
      <b/>
      <sz val="9"/>
      <color indexed="9"/>
      <name val="Arial"/>
      <family val="0"/>
    </font>
    <font>
      <b/>
      <sz val="12"/>
      <color indexed="9"/>
      <name val="Arial"/>
      <family val="0"/>
    </font>
    <font>
      <b/>
      <sz val="7"/>
      <name val="Arial"/>
      <family val="2"/>
    </font>
    <font>
      <i/>
      <sz val="10"/>
      <name val="Arial"/>
      <family val="0"/>
    </font>
  </fonts>
  <fills count="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2" borderId="1" xfId="0" applyFont="1" applyFill="1" applyBorder="1" applyAlignment="1" applyProtection="1">
      <alignment horizontal="center" vertical="center"/>
      <protection hidden="1"/>
    </xf>
    <xf numFmtId="167" fontId="4" fillId="2" borderId="1" xfId="0" applyNumberFormat="1" applyFont="1" applyFill="1" applyBorder="1" applyAlignment="1" applyProtection="1">
      <alignment horizontal="center" vertical="center"/>
      <protection hidden="1"/>
    </xf>
    <xf numFmtId="167" fontId="3" fillId="2" borderId="1"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0" fillId="0" borderId="0" xfId="0" applyAlignment="1">
      <alignment wrapText="1"/>
    </xf>
    <xf numFmtId="0" fontId="10" fillId="0" borderId="0" xfId="0" applyFont="1" applyAlignment="1" applyProtection="1">
      <alignment/>
      <protection hidden="1"/>
    </xf>
    <xf numFmtId="0" fontId="13" fillId="0" borderId="0" xfId="0" applyFont="1" applyAlignment="1" quotePrefix="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wrapText="1"/>
    </xf>
    <xf numFmtId="0" fontId="2" fillId="0" borderId="0" xfId="0" applyFont="1" applyAlignment="1">
      <alignment horizontal="center" wrapText="1"/>
    </xf>
    <xf numFmtId="0" fontId="13" fillId="0" borderId="0" xfId="0" applyFont="1" applyAlignment="1">
      <alignment wrapText="1"/>
    </xf>
    <xf numFmtId="4" fontId="0" fillId="2" borderId="0" xfId="0" applyNumberFormat="1" applyFill="1" applyAlignment="1" applyProtection="1">
      <alignment horizontal="center" vertical="center"/>
      <protection hidden="1"/>
    </xf>
    <xf numFmtId="0" fontId="14" fillId="0" borderId="0" xfId="0" applyFont="1" applyAlignment="1" applyProtection="1">
      <alignment horizontal="center"/>
      <protection hidden="1"/>
    </xf>
    <xf numFmtId="3" fontId="0" fillId="2" borderId="0" xfId="0" applyNumberFormat="1" applyFill="1" applyAlignment="1" applyProtection="1">
      <alignment horizontal="center" vertical="center"/>
      <protection hidden="1"/>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xf>
    <xf numFmtId="0" fontId="2" fillId="0" borderId="1" xfId="0" applyFont="1" applyBorder="1" applyAlignment="1" applyProtection="1">
      <alignment horizontal="center"/>
      <protection hidden="1"/>
    </xf>
    <xf numFmtId="2" fontId="2" fillId="0" borderId="1" xfId="0" applyNumberFormat="1" applyFont="1" applyBorder="1" applyAlignment="1" applyProtection="1">
      <alignment horizontal="center"/>
      <protection hidden="1"/>
    </xf>
    <xf numFmtId="0" fontId="17" fillId="0" borderId="1" xfId="20" applyFont="1" applyBorder="1" applyAlignment="1" applyProtection="1">
      <alignment horizontal="center"/>
      <protection hidden="1"/>
    </xf>
    <xf numFmtId="0" fontId="0" fillId="0" borderId="1" xfId="0" applyBorder="1" applyAlignment="1" applyProtection="1">
      <alignment horizontal="center"/>
      <protection hidden="1"/>
    </xf>
    <xf numFmtId="2" fontId="0" fillId="0" borderId="1" xfId="0" applyNumberFormat="1" applyBorder="1" applyAlignment="1" applyProtection="1">
      <alignment horizontal="center"/>
      <protection hidden="1"/>
    </xf>
    <xf numFmtId="0" fontId="17" fillId="3" borderId="1" xfId="2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2" fontId="0" fillId="3" borderId="1" xfId="0" applyNumberFormat="1" applyFill="1" applyBorder="1" applyAlignment="1" applyProtection="1">
      <alignment horizontal="center"/>
      <protection hidden="1"/>
    </xf>
    <xf numFmtId="2" fontId="2" fillId="3" borderId="1" xfId="0" applyNumberFormat="1" applyFont="1" applyFill="1" applyBorder="1" applyAlignment="1" applyProtection="1">
      <alignment horizontal="center"/>
      <protection hidden="1"/>
    </xf>
    <xf numFmtId="0" fontId="4" fillId="0" borderId="1" xfId="0" applyFont="1" applyBorder="1" applyAlignment="1" applyProtection="1">
      <alignment horizontal="left" vertical="center" wrapText="1"/>
      <protection hidden="1"/>
    </xf>
    <xf numFmtId="165" fontId="15" fillId="0" borderId="0" xfId="20" applyNumberFormat="1" applyAlignment="1" applyProtection="1">
      <alignment horizontal="center" vertical="top"/>
      <protection hidden="1"/>
    </xf>
    <xf numFmtId="0" fontId="0" fillId="0" borderId="0" xfId="0" applyAlignment="1" applyProtection="1">
      <alignment/>
      <protection hidden="1"/>
    </xf>
    <xf numFmtId="164" fontId="2" fillId="0" borderId="1" xfId="0" applyNumberFormat="1"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8" fillId="0" borderId="1" xfId="0" applyFont="1" applyBorder="1" applyAlignment="1" applyProtection="1">
      <alignment horizontal="left" vertical="center" wrapText="1"/>
      <protection hidden="1"/>
    </xf>
    <xf numFmtId="0" fontId="4" fillId="0" borderId="0" xfId="0" applyFont="1" applyAlignment="1" applyProtection="1">
      <alignment horizontal="left" indent="1"/>
      <protection hidden="1"/>
    </xf>
    <xf numFmtId="167" fontId="11" fillId="5" borderId="0" xfId="0" applyNumberFormat="1" applyFont="1" applyFill="1" applyAlignment="1" applyProtection="1">
      <alignment/>
      <protection hidden="1"/>
    </xf>
    <xf numFmtId="0" fontId="4" fillId="0" borderId="0" xfId="0" applyFont="1" applyAlignment="1" applyProtection="1">
      <alignment/>
      <protection hidden="1"/>
    </xf>
    <xf numFmtId="0" fontId="4" fillId="4" borderId="1" xfId="0" applyFont="1" applyFill="1" applyBorder="1" applyAlignment="1" applyProtection="1">
      <alignment horizontal="center" vertical="center"/>
      <protection hidden="1" locked="0"/>
    </xf>
    <xf numFmtId="4" fontId="0" fillId="4" borderId="0" xfId="0" applyNumberFormat="1" applyFill="1" applyAlignment="1" applyProtection="1">
      <alignment horizontal="center" vertical="center"/>
      <protection hidden="1" locked="0"/>
    </xf>
    <xf numFmtId="3" fontId="0" fillId="4" borderId="0" xfId="0" applyNumberFormat="1" applyFill="1" applyAlignment="1" applyProtection="1">
      <alignment horizontal="center" vertical="center"/>
      <protection hidden="1" locked="0"/>
    </xf>
    <xf numFmtId="0" fontId="4" fillId="4" borderId="1" xfId="0" applyFont="1" applyFill="1" applyBorder="1" applyAlignment="1" applyProtection="1">
      <alignment horizontal="center" vertical="center"/>
      <protection locked="0"/>
    </xf>
    <xf numFmtId="0" fontId="17" fillId="3" borderId="1" xfId="20" applyFont="1" applyFill="1" applyBorder="1" applyAlignment="1" applyProtection="1">
      <alignment horizontal="center"/>
      <protection hidden="1"/>
    </xf>
    <xf numFmtId="0" fontId="0" fillId="0" borderId="0" xfId="0" applyAlignment="1">
      <alignment/>
    </xf>
    <xf numFmtId="165" fontId="15" fillId="0" borderId="0" xfId="20" applyNumberFormat="1" applyFont="1" applyAlignment="1" applyProtection="1">
      <alignment horizontal="center" vertical="top"/>
      <protection hidden="1"/>
    </xf>
    <xf numFmtId="1" fontId="0" fillId="0" borderId="0" xfId="0" applyNumberFormat="1" applyAlignment="1" applyProtection="1">
      <alignment/>
      <protection hidden="1"/>
    </xf>
    <xf numFmtId="1" fontId="18" fillId="0" borderId="0" xfId="0" applyNumberFormat="1" applyFont="1" applyAlignment="1" applyProtection="1">
      <alignment/>
      <protection hidden="1"/>
    </xf>
    <xf numFmtId="1" fontId="10" fillId="0" borderId="0" xfId="0" applyNumberFormat="1" applyFont="1" applyAlignment="1" applyProtection="1">
      <alignment/>
      <protection hidden="1"/>
    </xf>
    <xf numFmtId="0" fontId="0" fillId="4" borderId="1" xfId="0" applyFont="1" applyFill="1" applyBorder="1" applyAlignment="1" applyProtection="1">
      <alignment horizontal="center" vertical="center"/>
      <protection hidden="1"/>
    </xf>
    <xf numFmtId="0" fontId="21" fillId="0" borderId="1" xfId="0" applyFont="1" applyBorder="1" applyAlignment="1" applyProtection="1">
      <alignment horizontal="center" wrapText="1"/>
      <protection hidden="1"/>
    </xf>
    <xf numFmtId="0" fontId="12" fillId="0" borderId="2" xfId="0" applyFont="1" applyBorder="1" applyAlignment="1">
      <alignment horizontal="center"/>
    </xf>
    <xf numFmtId="2" fontId="12" fillId="0" borderId="2" xfId="0" applyNumberFormat="1" applyFont="1" applyBorder="1" applyAlignment="1">
      <alignment horizontal="center"/>
    </xf>
    <xf numFmtId="0" fontId="5" fillId="0" borderId="0" xfId="0" applyFont="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0" fontId="8" fillId="0" borderId="0" xfId="0" applyFont="1" applyFill="1" applyBorder="1" applyAlignment="1" applyProtection="1">
      <alignment horizontal="left" wrapText="1"/>
      <protection hidden="1"/>
    </xf>
    <xf numFmtId="0" fontId="0" fillId="0" borderId="0" xfId="0" applyAlignment="1" applyProtection="1">
      <alignment/>
      <protection hidden="1"/>
    </xf>
    <xf numFmtId="0" fontId="4" fillId="0" borderId="0" xfId="0" applyFont="1" applyAlignment="1" applyProtection="1">
      <alignment/>
      <protection hidden="1"/>
    </xf>
    <xf numFmtId="0" fontId="0" fillId="0" borderId="0" xfId="0" applyAlignment="1" applyProtection="1">
      <alignment/>
      <protection hidden="1"/>
    </xf>
    <xf numFmtId="0" fontId="0" fillId="5" borderId="0" xfId="0" applyFill="1" applyAlignment="1" applyProtection="1">
      <alignment/>
      <protection hidden="1"/>
    </xf>
    <xf numFmtId="0" fontId="1" fillId="0" borderId="2" xfId="0" applyFont="1" applyBorder="1" applyAlignment="1" applyProtection="1">
      <alignment horizontal="right" vertical="top"/>
      <protection hidden="1"/>
    </xf>
    <xf numFmtId="166" fontId="5" fillId="0" borderId="2" xfId="0" applyNumberFormat="1" applyFont="1" applyBorder="1" applyAlignment="1" applyProtection="1">
      <alignment horizontal="left" vertical="top" indent="1"/>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20" fillId="6" borderId="0" xfId="0" applyFont="1" applyFill="1" applyAlignment="1" applyProtection="1">
      <alignment/>
      <protection hidden="1"/>
    </xf>
    <xf numFmtId="0" fontId="20" fillId="6" borderId="0" xfId="0" applyFont="1" applyFill="1" applyAlignment="1">
      <alignment/>
    </xf>
    <xf numFmtId="0" fontId="0" fillId="0" borderId="0" xfId="0" applyAlignment="1">
      <alignment wrapText="1"/>
    </xf>
    <xf numFmtId="0" fontId="0" fillId="0" borderId="0" xfId="0" applyAlignment="1">
      <alignment/>
    </xf>
    <xf numFmtId="1" fontId="19" fillId="0" borderId="5" xfId="0" applyNumberFormat="1" applyFont="1" applyBorder="1" applyAlignment="1" applyProtection="1">
      <alignment wrapText="1"/>
      <protection hidden="1"/>
    </xf>
    <xf numFmtId="0" fontId="19" fillId="0" borderId="6" xfId="0" applyFont="1" applyBorder="1" applyAlignment="1">
      <alignment wrapText="1"/>
    </xf>
    <xf numFmtId="0" fontId="19" fillId="0" borderId="7" xfId="0" applyFont="1" applyBorder="1" applyAlignment="1">
      <alignment wrapText="1"/>
    </xf>
    <xf numFmtId="0" fontId="22"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u val="single"/>
        <strike val="0"/>
        <color rgb="FFFFFFFF"/>
      </font>
      <fill>
        <patternFill>
          <bgColor rgb="FF339966"/>
        </patternFill>
      </fill>
      <border/>
    </dxf>
    <dxf>
      <font>
        <b/>
        <i val="0"/>
        <u val="single"/>
        <strike val="0"/>
        <color rgb="FFFFFFFF"/>
      </font>
      <fill>
        <patternFill>
          <bgColor rgb="FFFF0000"/>
        </patternFill>
      </fill>
      <border/>
    </dxf>
    <dxf>
      <font>
        <strike val="0"/>
        <color rgb="FFC0C0C0"/>
      </font>
      <border/>
    </dxf>
    <dxf>
      <fill>
        <patternFill patternType="none">
          <bgColor indexed="65"/>
        </patternFill>
      </fill>
      <border/>
    </dxf>
    <dxf>
      <font>
        <color rgb="FFFFFFFF"/>
      </font>
      <fill>
        <patternFill>
          <bgColor rgb="FFFF0000"/>
        </patternFill>
      </fill>
      <border/>
    </dxf>
    <dxf>
      <font>
        <color rgb="FFFFFFFF"/>
      </font>
      <fill>
        <patternFill patternType="none">
          <bgColor indexed="65"/>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99885'!$B$2:$B$26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99885'!$A$2:$A$26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'99885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'99885 W &amp; B'!$E$10</c:f>
              <c:numCache>
                <c:ptCount val="1"/>
                <c:pt idx="0">
                  <c:v>101.989</c:v>
                </c:pt>
              </c:numCache>
            </c:numRef>
          </c:xVal>
          <c:yVal>
            <c:numRef>
              <c:f>'99885 W &amp; B'!$D$10</c:f>
              <c:numCache>
                <c:ptCount val="1"/>
                <c:pt idx="0">
                  <c:v>2402.4</c:v>
                </c:pt>
              </c:numCache>
            </c:numRef>
          </c:yVal>
          <c:smooth val="0"/>
        </c:ser>
        <c:ser>
          <c:idx val="2"/>
          <c:order val="2"/>
          <c:tx>
            <c:strRef>
              <c:f>'99885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'99885 W &amp; B'!$E$12</c:f>
              <c:numCache>
                <c:ptCount val="1"/>
                <c:pt idx="0">
                  <c:v>96.229</c:v>
                </c:pt>
              </c:numCache>
            </c:numRef>
          </c:xVal>
          <c:yVal>
            <c:numRef>
              <c:f>'99885 W &amp; B'!$D$12</c:f>
              <c:numCache>
                <c:ptCount val="1"/>
                <c:pt idx="0">
                  <c:v>2282.4</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99885'!$E$2:$E$4</c:f>
              <c:numCache>
                <c:ptCount val="3"/>
                <c:pt idx="0">
                  <c:v>82.5</c:v>
                </c:pt>
                <c:pt idx="1">
                  <c:v>89</c:v>
                </c:pt>
                <c:pt idx="2">
                  <c:v>60.5</c:v>
                </c:pt>
              </c:numCache>
            </c:numRef>
          </c:xVal>
          <c:yVal>
            <c:numRef>
              <c:f>'Chart Data 99885'!$D$2:$D$4</c:f>
              <c:numCache>
                <c:ptCount val="3"/>
                <c:pt idx="0">
                  <c:v>2200</c:v>
                </c:pt>
                <c:pt idx="1">
                  <c:v>2200</c:v>
                </c:pt>
                <c:pt idx="2">
                  <c:v>1500</c:v>
                </c:pt>
              </c:numCache>
            </c:numRef>
          </c:yVal>
          <c:smooth val="0"/>
        </c:ser>
        <c:axId val="19405565"/>
        <c:axId val="40432358"/>
      </c:scatterChart>
      <c:valAx>
        <c:axId val="19405565"/>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40432358"/>
        <c:crossesAt val="1500"/>
        <c:crossBetween val="midCat"/>
        <c:dispUnits/>
        <c:majorUnit val="5"/>
        <c:minorUnit val="1"/>
      </c:valAx>
      <c:valAx>
        <c:axId val="40432358"/>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9405565"/>
        <c:crossesAt val="45"/>
        <c:crossBetween val="midCat"/>
        <c:dispUnits/>
        <c:majorUnit val="100"/>
        <c:minorUnit val="20"/>
      </c:valAx>
      <c:spPr>
        <a:solidFill>
          <a:srgbClr val="C0C0C0"/>
        </a:solidFill>
        <a:ln w="12700">
          <a:solidFill/>
        </a:ln>
      </c:spPr>
    </c:plotArea>
    <c:legend>
      <c:legendPos val="t"/>
      <c:layout/>
      <c:overlay val="0"/>
      <c:spPr>
        <a:noFill/>
      </c:sp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6006C'!$H$2:$H$16</c:f>
              <c:numCache>
                <c:ptCount val="15"/>
                <c:pt idx="0">
                  <c:v>33</c:v>
                </c:pt>
                <c:pt idx="1">
                  <c:v>33</c:v>
                </c:pt>
                <c:pt idx="2">
                  <c:v>35.5</c:v>
                </c:pt>
                <c:pt idx="3">
                  <c:v>41</c:v>
                </c:pt>
                <c:pt idx="4">
                  <c:v>47</c:v>
                </c:pt>
                <c:pt idx="5">
                  <c:v>47</c:v>
                </c:pt>
              </c:numCache>
            </c:numRef>
          </c:xVal>
          <c:yVal>
            <c:numRef>
              <c:f>'Chart Data 6006C'!$G$2:$G$16</c:f>
              <c:numCache>
                <c:ptCount val="15"/>
                <c:pt idx="0">
                  <c:v>1800</c:v>
                </c:pt>
                <c:pt idx="1">
                  <c:v>2250</c:v>
                </c:pt>
                <c:pt idx="2">
                  <c:v>2700</c:v>
                </c:pt>
                <c:pt idx="3">
                  <c:v>3100</c:v>
                </c:pt>
                <c:pt idx="4">
                  <c:v>3100</c:v>
                </c:pt>
                <c:pt idx="5">
                  <c:v>1800</c:v>
                </c:pt>
              </c:numCache>
            </c:numRef>
          </c:yVal>
          <c:smooth val="0"/>
        </c:ser>
        <c:ser>
          <c:idx val="1"/>
          <c:order val="1"/>
          <c:tx>
            <c:strRef>
              <c:f>'6006C W &amp; B'!$A$10</c:f>
              <c:strCache>
                <c:ptCount val="1"/>
                <c:pt idx="0">
                  <c:v>Take-Off Weight and Moment (MAX RAMP 3112)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'6006C W &amp; B'!$H$10</c:f>
              <c:numCache>
                <c:ptCount val="1"/>
                <c:pt idx="0">
                  <c:v>0</c:v>
                </c:pt>
              </c:numCache>
            </c:numRef>
          </c:xVal>
          <c:yVal>
            <c:numRef>
              <c:f>'6006C W &amp; B'!$D$10</c:f>
              <c:numCache>
                <c:ptCount val="1"/>
                <c:pt idx="0">
                  <c:v>0</c:v>
                </c:pt>
              </c:numCache>
            </c:numRef>
          </c:yVal>
          <c:smooth val="0"/>
        </c:ser>
        <c:ser>
          <c:idx val="2"/>
          <c:order val="2"/>
          <c:tx>
            <c:strRef>
              <c:f>'6006C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'6006C W &amp; B'!$H$12</c:f>
              <c:numCache>
                <c:ptCount val="1"/>
                <c:pt idx="0">
                  <c:v>0</c:v>
                </c:pt>
              </c:numCache>
            </c:numRef>
          </c:xVal>
          <c:yVal>
            <c:numRef>
              <c:f>'6006C W &amp; B'!$D$12</c:f>
              <c:numCache>
                <c:ptCount val="1"/>
                <c:pt idx="0">
                  <c:v>0</c:v>
                </c:pt>
              </c:numCache>
            </c:numRef>
          </c:yVal>
          <c:smooth val="0"/>
        </c:ser>
        <c:axId val="6090599"/>
        <c:axId val="54815392"/>
      </c:scatterChart>
      <c:valAx>
        <c:axId val="6090599"/>
        <c:scaling>
          <c:orientation val="minMax"/>
          <c:max val="48"/>
          <c:min val="32"/>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54815392"/>
        <c:crossesAt val="1800"/>
        <c:crossBetween val="midCat"/>
        <c:dispUnits/>
        <c:majorUnit val="1"/>
        <c:minorUnit val="0.2"/>
      </c:valAx>
      <c:valAx>
        <c:axId val="54815392"/>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6090599"/>
        <c:crossesAt val="32"/>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1951F'!$B$2:$B$26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1951F'!$A$2:$A$26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'1951F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'1951F W &amp; B'!$E$10</c:f>
              <c:numCache>
                <c:ptCount val="1"/>
                <c:pt idx="0">
                  <c:v>0</c:v>
                </c:pt>
              </c:numCache>
            </c:numRef>
          </c:xVal>
          <c:yVal>
            <c:numRef>
              <c:f>'1951F W &amp; B'!$D$10</c:f>
              <c:numCache>
                <c:ptCount val="1"/>
                <c:pt idx="0">
                  <c:v>0</c:v>
                </c:pt>
              </c:numCache>
            </c:numRef>
          </c:yVal>
          <c:smooth val="0"/>
        </c:ser>
        <c:ser>
          <c:idx val="2"/>
          <c:order val="2"/>
          <c:tx>
            <c:strRef>
              <c:f>'1951F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'1951F W &amp; B'!$E$12</c:f>
              <c:numCache>
                <c:ptCount val="1"/>
                <c:pt idx="0">
                  <c:v>0</c:v>
                </c:pt>
              </c:numCache>
            </c:numRef>
          </c:xVal>
          <c:yVal>
            <c:numRef>
              <c:f>'1951F W &amp; B'!$D$12</c:f>
              <c:numCache>
                <c:ptCount val="1"/>
                <c:pt idx="0">
                  <c:v>0</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1951F'!$E$2:$E$4</c:f>
              <c:numCache>
                <c:ptCount val="3"/>
                <c:pt idx="0">
                  <c:v>82.5</c:v>
                </c:pt>
                <c:pt idx="1">
                  <c:v>89</c:v>
                </c:pt>
                <c:pt idx="2">
                  <c:v>60.5</c:v>
                </c:pt>
              </c:numCache>
            </c:numRef>
          </c:xVal>
          <c:yVal>
            <c:numRef>
              <c:f>'Chart Data 1951F'!$D$2:$D$4</c:f>
              <c:numCache>
                <c:ptCount val="3"/>
                <c:pt idx="0">
                  <c:v>2200</c:v>
                </c:pt>
                <c:pt idx="1">
                  <c:v>2200</c:v>
                </c:pt>
                <c:pt idx="2">
                  <c:v>1500</c:v>
                </c:pt>
              </c:numCache>
            </c:numRef>
          </c:yVal>
          <c:smooth val="0"/>
        </c:ser>
        <c:axId val="23576481"/>
        <c:axId val="10861738"/>
      </c:scatterChart>
      <c:valAx>
        <c:axId val="23576481"/>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10861738"/>
        <c:crossesAt val="1500"/>
        <c:crossBetween val="midCat"/>
        <c:dispUnits/>
        <c:majorUnit val="5"/>
        <c:minorUnit val="1"/>
      </c:valAx>
      <c:valAx>
        <c:axId val="10861738"/>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23576481"/>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1951F'!$H$2:$H$16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1951F'!$G$2:$G$16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'1951F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'1951F W &amp; B'!$H$10</c:f>
              <c:numCache>
                <c:ptCount val="1"/>
                <c:pt idx="0">
                  <c:v>0</c:v>
                </c:pt>
              </c:numCache>
            </c:numRef>
          </c:xVal>
          <c:yVal>
            <c:numRef>
              <c:f>'1951F W &amp; B'!$D$10</c:f>
              <c:numCache>
                <c:ptCount val="1"/>
                <c:pt idx="0">
                  <c:v>0</c:v>
                </c:pt>
              </c:numCache>
            </c:numRef>
          </c:yVal>
          <c:smooth val="0"/>
        </c:ser>
        <c:ser>
          <c:idx val="2"/>
          <c:order val="2"/>
          <c:tx>
            <c:strRef>
              <c:f>'1951F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'1951F W &amp; B'!$H$12</c:f>
              <c:numCache>
                <c:ptCount val="1"/>
                <c:pt idx="0">
                  <c:v>0</c:v>
                </c:pt>
              </c:numCache>
            </c:numRef>
          </c:xVal>
          <c:yVal>
            <c:numRef>
              <c:f>'1951F W &amp; B'!$D$12</c:f>
              <c:numCache>
                <c:ptCount val="1"/>
                <c:pt idx="0">
                  <c:v>0</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1951F'!$K$2:$K$6</c:f>
              <c:numCache>
                <c:ptCount val="5"/>
                <c:pt idx="0">
                  <c:v>35</c:v>
                </c:pt>
                <c:pt idx="1">
                  <c:v>35</c:v>
                </c:pt>
                <c:pt idx="2">
                  <c:v>37.5</c:v>
                </c:pt>
                <c:pt idx="3">
                  <c:v>40.5</c:v>
                </c:pt>
                <c:pt idx="4">
                  <c:v>40.5</c:v>
                </c:pt>
              </c:numCache>
            </c:numRef>
          </c:xVal>
          <c:yVal>
            <c:numRef>
              <c:f>'Chart Data 1951F'!$J$2:$J$6</c:f>
              <c:numCache>
                <c:ptCount val="5"/>
                <c:pt idx="0">
                  <c:v>1500</c:v>
                </c:pt>
                <c:pt idx="1">
                  <c:v>1950</c:v>
                </c:pt>
                <c:pt idx="2">
                  <c:v>2200</c:v>
                </c:pt>
                <c:pt idx="3">
                  <c:v>2200</c:v>
                </c:pt>
                <c:pt idx="4">
                  <c:v>1500</c:v>
                </c:pt>
              </c:numCache>
            </c:numRef>
          </c:yVal>
          <c:smooth val="0"/>
        </c:ser>
        <c:axId val="30646779"/>
        <c:axId val="7385556"/>
      </c:scatterChart>
      <c:valAx>
        <c:axId val="30646779"/>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7385556"/>
        <c:crossesAt val="1500"/>
        <c:crossBetween val="midCat"/>
        <c:dispUnits/>
        <c:majorUnit val="1"/>
        <c:minorUnit val="0.2"/>
      </c:valAx>
      <c:valAx>
        <c:axId val="7385556"/>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30646779"/>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916CP'!$B$2:$B$26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916CP'!$A$2:$A$26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'916CP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'916CP W &amp; B'!$E$10</c:f>
              <c:numCache>
                <c:ptCount val="1"/>
                <c:pt idx="0">
                  <c:v>106.039</c:v>
                </c:pt>
              </c:numCache>
            </c:numRef>
          </c:xVal>
          <c:yVal>
            <c:numRef>
              <c:f>'916CP W &amp; B'!$D$10</c:f>
              <c:numCache>
                <c:ptCount val="1"/>
                <c:pt idx="0">
                  <c:v>2430.1</c:v>
                </c:pt>
              </c:numCache>
            </c:numRef>
          </c:yVal>
          <c:smooth val="0"/>
        </c:ser>
        <c:ser>
          <c:idx val="2"/>
          <c:order val="2"/>
          <c:tx>
            <c:strRef>
              <c:f>'916CP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'916CP W &amp; B'!$E$12</c:f>
              <c:numCache>
                <c:ptCount val="1"/>
                <c:pt idx="0">
                  <c:v>105.607</c:v>
                </c:pt>
              </c:numCache>
            </c:numRef>
          </c:xVal>
          <c:yVal>
            <c:numRef>
              <c:f>'916CP W &amp; B'!$D$12</c:f>
              <c:numCache>
                <c:ptCount val="1"/>
                <c:pt idx="0">
                  <c:v>2421.1</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916CP'!$E$2:$E$4</c:f>
              <c:numCache>
                <c:ptCount val="3"/>
                <c:pt idx="0">
                  <c:v>82.5</c:v>
                </c:pt>
                <c:pt idx="1">
                  <c:v>89</c:v>
                </c:pt>
                <c:pt idx="2">
                  <c:v>60.5</c:v>
                </c:pt>
              </c:numCache>
            </c:numRef>
          </c:xVal>
          <c:yVal>
            <c:numRef>
              <c:f>'Chart Data 916CP'!$D$2:$D$4</c:f>
              <c:numCache>
                <c:ptCount val="3"/>
                <c:pt idx="0">
                  <c:v>2200</c:v>
                </c:pt>
                <c:pt idx="1">
                  <c:v>2200</c:v>
                </c:pt>
                <c:pt idx="2">
                  <c:v>1500</c:v>
                </c:pt>
              </c:numCache>
            </c:numRef>
          </c:yVal>
          <c:smooth val="0"/>
        </c:ser>
        <c:axId val="66470005"/>
        <c:axId val="61359134"/>
      </c:scatterChart>
      <c:valAx>
        <c:axId val="66470005"/>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61359134"/>
        <c:crossesAt val="1500"/>
        <c:crossBetween val="midCat"/>
        <c:dispUnits/>
        <c:majorUnit val="5"/>
        <c:minorUnit val="1"/>
      </c:valAx>
      <c:valAx>
        <c:axId val="61359134"/>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66470005"/>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916CP'!$H$2:$H$16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916CP'!$G$2:$G$16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'916CP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'916CP W &amp; B'!$H$10</c:f>
              <c:numCache>
                <c:ptCount val="1"/>
                <c:pt idx="0">
                  <c:v>43.635652853792024</c:v>
                </c:pt>
              </c:numCache>
            </c:numRef>
          </c:xVal>
          <c:yVal>
            <c:numRef>
              <c:f>'916CP W &amp; B'!$D$10</c:f>
              <c:numCache>
                <c:ptCount val="1"/>
                <c:pt idx="0">
                  <c:v>2430.1</c:v>
                </c:pt>
              </c:numCache>
            </c:numRef>
          </c:yVal>
          <c:smooth val="0"/>
        </c:ser>
        <c:ser>
          <c:idx val="2"/>
          <c:order val="2"/>
          <c:tx>
            <c:strRef>
              <c:f>'916CP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'916CP W &amp; B'!$H$12</c:f>
              <c:numCache>
                <c:ptCount val="1"/>
                <c:pt idx="0">
                  <c:v>43.61942918508117</c:v>
                </c:pt>
              </c:numCache>
            </c:numRef>
          </c:xVal>
          <c:yVal>
            <c:numRef>
              <c:f>'916CP W &amp; B'!$D$12</c:f>
              <c:numCache>
                <c:ptCount val="1"/>
                <c:pt idx="0">
                  <c:v>2421.1</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916CP'!$K$2:$K$6</c:f>
              <c:numCache>
                <c:ptCount val="5"/>
                <c:pt idx="0">
                  <c:v>35</c:v>
                </c:pt>
                <c:pt idx="1">
                  <c:v>35</c:v>
                </c:pt>
                <c:pt idx="2">
                  <c:v>37.5</c:v>
                </c:pt>
                <c:pt idx="3">
                  <c:v>40.5</c:v>
                </c:pt>
                <c:pt idx="4">
                  <c:v>40.5</c:v>
                </c:pt>
              </c:numCache>
            </c:numRef>
          </c:xVal>
          <c:yVal>
            <c:numRef>
              <c:f>'Chart Data 916CP'!$J$2:$J$6</c:f>
              <c:numCache>
                <c:ptCount val="5"/>
                <c:pt idx="0">
                  <c:v>1500</c:v>
                </c:pt>
                <c:pt idx="1">
                  <c:v>1950</c:v>
                </c:pt>
                <c:pt idx="2">
                  <c:v>2200</c:v>
                </c:pt>
                <c:pt idx="3">
                  <c:v>2200</c:v>
                </c:pt>
                <c:pt idx="4">
                  <c:v>1500</c:v>
                </c:pt>
              </c:numCache>
            </c:numRef>
          </c:yVal>
          <c:smooth val="0"/>
        </c:ser>
        <c:axId val="15361295"/>
        <c:axId val="4033928"/>
      </c:scatterChart>
      <c:valAx>
        <c:axId val="15361295"/>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4033928"/>
        <c:crossesAt val="1500"/>
        <c:crossBetween val="midCat"/>
        <c:dispUnits/>
        <c:majorUnit val="1"/>
        <c:minorUnit val="0.2"/>
      </c:valAx>
      <c:valAx>
        <c:axId val="4033928"/>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5361295"/>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738NH'!$B$2:$B$26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738NH'!$A$2:$A$26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'738NH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'738NH W &amp; B'!$E$10</c:f>
              <c:numCache>
                <c:ptCount val="1"/>
                <c:pt idx="0">
                  <c:v>0</c:v>
                </c:pt>
              </c:numCache>
            </c:numRef>
          </c:xVal>
          <c:yVal>
            <c:numRef>
              <c:f>'738NH W &amp; B'!$D$10</c:f>
              <c:numCache>
                <c:ptCount val="1"/>
                <c:pt idx="0">
                  <c:v>0</c:v>
                </c:pt>
              </c:numCache>
            </c:numRef>
          </c:yVal>
          <c:smooth val="0"/>
        </c:ser>
        <c:ser>
          <c:idx val="2"/>
          <c:order val="2"/>
          <c:tx>
            <c:strRef>
              <c:f>'738NH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'738NH W &amp; B'!$E$12</c:f>
              <c:numCache>
                <c:ptCount val="1"/>
                <c:pt idx="0">
                  <c:v>0</c:v>
                </c:pt>
              </c:numCache>
            </c:numRef>
          </c:xVal>
          <c:yVal>
            <c:numRef>
              <c:f>'738NH W &amp; B'!$D$12</c:f>
              <c:numCache>
                <c:ptCount val="1"/>
                <c:pt idx="0">
                  <c:v>0</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738NH'!$E$2:$E$4</c:f>
              <c:numCache>
                <c:ptCount val="3"/>
                <c:pt idx="0">
                  <c:v>82.5</c:v>
                </c:pt>
                <c:pt idx="1">
                  <c:v>89</c:v>
                </c:pt>
                <c:pt idx="2">
                  <c:v>60.5</c:v>
                </c:pt>
              </c:numCache>
            </c:numRef>
          </c:xVal>
          <c:yVal>
            <c:numRef>
              <c:f>'Chart Data 738NH'!$D$2:$D$4</c:f>
              <c:numCache>
                <c:ptCount val="3"/>
                <c:pt idx="0">
                  <c:v>2200</c:v>
                </c:pt>
                <c:pt idx="1">
                  <c:v>2200</c:v>
                </c:pt>
                <c:pt idx="2">
                  <c:v>1500</c:v>
                </c:pt>
              </c:numCache>
            </c:numRef>
          </c:yVal>
          <c:smooth val="0"/>
        </c:ser>
        <c:axId val="36305353"/>
        <c:axId val="58312722"/>
      </c:scatterChart>
      <c:valAx>
        <c:axId val="36305353"/>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58312722"/>
        <c:crossesAt val="1500"/>
        <c:crossBetween val="midCat"/>
        <c:dispUnits/>
        <c:majorUnit val="5"/>
        <c:minorUnit val="1"/>
      </c:valAx>
      <c:valAx>
        <c:axId val="58312722"/>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36305353"/>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738NH'!$H$2:$H$16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738NH'!$G$2:$G$16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'738NH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'738NH W &amp; B'!$H$10</c:f>
              <c:numCache>
                <c:ptCount val="1"/>
                <c:pt idx="0">
                  <c:v>0</c:v>
                </c:pt>
              </c:numCache>
            </c:numRef>
          </c:xVal>
          <c:yVal>
            <c:numRef>
              <c:f>'738NH W &amp; B'!$D$10</c:f>
              <c:numCache>
                <c:ptCount val="1"/>
                <c:pt idx="0">
                  <c:v>0</c:v>
                </c:pt>
              </c:numCache>
            </c:numRef>
          </c:yVal>
          <c:smooth val="0"/>
        </c:ser>
        <c:ser>
          <c:idx val="2"/>
          <c:order val="2"/>
          <c:tx>
            <c:strRef>
              <c:f>'738NH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'738NH W &amp; B'!$H$12</c:f>
              <c:numCache>
                <c:ptCount val="1"/>
                <c:pt idx="0">
                  <c:v>0</c:v>
                </c:pt>
              </c:numCache>
            </c:numRef>
          </c:xVal>
          <c:yVal>
            <c:numRef>
              <c:f>'738NH W &amp; B'!$D$12</c:f>
              <c:numCache>
                <c:ptCount val="1"/>
                <c:pt idx="0">
                  <c:v>0</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738NH'!$K$2:$K$6</c:f>
              <c:numCache>
                <c:ptCount val="5"/>
                <c:pt idx="0">
                  <c:v>35</c:v>
                </c:pt>
                <c:pt idx="1">
                  <c:v>35</c:v>
                </c:pt>
                <c:pt idx="2">
                  <c:v>37.5</c:v>
                </c:pt>
                <c:pt idx="3">
                  <c:v>40.5</c:v>
                </c:pt>
                <c:pt idx="4">
                  <c:v>40.5</c:v>
                </c:pt>
              </c:numCache>
            </c:numRef>
          </c:xVal>
          <c:yVal>
            <c:numRef>
              <c:f>'Chart Data 738NH'!$J$2:$J$6</c:f>
              <c:numCache>
                <c:ptCount val="5"/>
                <c:pt idx="0">
                  <c:v>1500</c:v>
                </c:pt>
                <c:pt idx="1">
                  <c:v>1950</c:v>
                </c:pt>
                <c:pt idx="2">
                  <c:v>2200</c:v>
                </c:pt>
                <c:pt idx="3">
                  <c:v>2200</c:v>
                </c:pt>
                <c:pt idx="4">
                  <c:v>1500</c:v>
                </c:pt>
              </c:numCache>
            </c:numRef>
          </c:yVal>
          <c:smooth val="0"/>
        </c:ser>
        <c:axId val="55052451"/>
        <c:axId val="25710012"/>
      </c:scatterChart>
      <c:valAx>
        <c:axId val="55052451"/>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5710012"/>
        <c:crossesAt val="1500"/>
        <c:crossBetween val="midCat"/>
        <c:dispUnits/>
        <c:majorUnit val="1"/>
        <c:minorUnit val="0.2"/>
      </c:valAx>
      <c:valAx>
        <c:axId val="25710012"/>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55052451"/>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Landing Envelope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716CP'!$B$2:$B$8</c:f>
              <c:numCache>
                <c:ptCount val="7"/>
                <c:pt idx="0">
                  <c:v>59.5</c:v>
                </c:pt>
                <c:pt idx="1">
                  <c:v>74</c:v>
                </c:pt>
                <c:pt idx="2">
                  <c:v>95.5</c:v>
                </c:pt>
                <c:pt idx="3">
                  <c:v>115.5</c:v>
                </c:pt>
                <c:pt idx="4">
                  <c:v>136</c:v>
                </c:pt>
                <c:pt idx="5">
                  <c:v>122</c:v>
                </c:pt>
                <c:pt idx="6">
                  <c:v>83</c:v>
                </c:pt>
              </c:numCache>
            </c:numRef>
          </c:xVal>
          <c:yVal>
            <c:numRef>
              <c:f>'Chart Data 716CP'!$A$2:$A$8</c:f>
              <c:numCache>
                <c:ptCount val="7"/>
                <c:pt idx="0">
                  <c:v>1800</c:v>
                </c:pt>
                <c:pt idx="1">
                  <c:v>2260</c:v>
                </c:pt>
                <c:pt idx="2">
                  <c:v>2680</c:v>
                </c:pt>
                <c:pt idx="3">
                  <c:v>2950</c:v>
                </c:pt>
                <c:pt idx="4">
                  <c:v>2950</c:v>
                </c:pt>
                <c:pt idx="5">
                  <c:v>2650</c:v>
                </c:pt>
                <c:pt idx="6">
                  <c:v>1800</c:v>
                </c:pt>
              </c:numCache>
            </c:numRef>
          </c:yVal>
          <c:smooth val="0"/>
        </c:ser>
        <c:ser>
          <c:idx val="1"/>
          <c:order val="1"/>
          <c:tx>
            <c:strRef>
              <c:f>'716CP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'716CP W &amp; B'!$E$10</c:f>
              <c:numCache>
                <c:ptCount val="1"/>
                <c:pt idx="0">
                  <c:v>134.68252</c:v>
                </c:pt>
              </c:numCache>
            </c:numRef>
          </c:xVal>
          <c:yVal>
            <c:numRef>
              <c:f>'716CP W &amp; B'!$D$10</c:f>
              <c:numCache>
                <c:ptCount val="1"/>
                <c:pt idx="0">
                  <c:v>3099.86</c:v>
                </c:pt>
              </c:numCache>
            </c:numRef>
          </c:yVal>
          <c:smooth val="0"/>
        </c:ser>
        <c:ser>
          <c:idx val="2"/>
          <c:order val="2"/>
          <c:tx>
            <c:strRef>
              <c:f>'716CP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'716CP W &amp; B'!$E$12</c:f>
              <c:numCache>
                <c:ptCount val="1"/>
                <c:pt idx="0">
                  <c:v>127.48252000000001</c:v>
                </c:pt>
              </c:numCache>
            </c:numRef>
          </c:xVal>
          <c:yVal>
            <c:numRef>
              <c:f>'716CP W &amp; B'!$D$12</c:f>
              <c:numCache>
                <c:ptCount val="1"/>
                <c:pt idx="0">
                  <c:v>2949.86</c:v>
                </c:pt>
              </c:numCache>
            </c:numRef>
          </c:yVal>
          <c:smooth val="0"/>
        </c:ser>
        <c:ser>
          <c:idx val="3"/>
          <c:order val="3"/>
          <c:tx>
            <c:v>Take-Off Envelope</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716CP'!$E$2:$E$5</c:f>
              <c:numCache>
                <c:ptCount val="4"/>
                <c:pt idx="0">
                  <c:v>115.5</c:v>
                </c:pt>
                <c:pt idx="1">
                  <c:v>127</c:v>
                </c:pt>
                <c:pt idx="2">
                  <c:v>143</c:v>
                </c:pt>
                <c:pt idx="3">
                  <c:v>136</c:v>
                </c:pt>
              </c:numCache>
            </c:numRef>
          </c:xVal>
          <c:yVal>
            <c:numRef>
              <c:f>'Chart Data 716CP'!$D$2:$D$5</c:f>
              <c:numCache>
                <c:ptCount val="4"/>
                <c:pt idx="0">
                  <c:v>2950</c:v>
                </c:pt>
                <c:pt idx="1">
                  <c:v>3100</c:v>
                </c:pt>
                <c:pt idx="2">
                  <c:v>3100</c:v>
                </c:pt>
                <c:pt idx="3">
                  <c:v>2950</c:v>
                </c:pt>
              </c:numCache>
            </c:numRef>
          </c:yVal>
          <c:smooth val="0"/>
        </c:ser>
        <c:axId val="30063517"/>
        <c:axId val="2136198"/>
      </c:scatterChart>
      <c:valAx>
        <c:axId val="30063517"/>
        <c:scaling>
          <c:orientation val="minMax"/>
          <c:max val="145"/>
          <c:min val="55"/>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136198"/>
        <c:crossesAt val="1500"/>
        <c:crossBetween val="midCat"/>
        <c:dispUnits/>
        <c:majorUnit val="10"/>
        <c:minorUnit val="1"/>
      </c:valAx>
      <c:valAx>
        <c:axId val="2136198"/>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30063517"/>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Landing Envelope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716CP'!$H$2:$H$7</c:f>
              <c:numCache>
                <c:ptCount val="6"/>
                <c:pt idx="0">
                  <c:v>33</c:v>
                </c:pt>
                <c:pt idx="1">
                  <c:v>33</c:v>
                </c:pt>
                <c:pt idx="2">
                  <c:v>35.8</c:v>
                </c:pt>
                <c:pt idx="3">
                  <c:v>39</c:v>
                </c:pt>
                <c:pt idx="4">
                  <c:v>46</c:v>
                </c:pt>
                <c:pt idx="5">
                  <c:v>46</c:v>
                </c:pt>
              </c:numCache>
            </c:numRef>
          </c:xVal>
          <c:yVal>
            <c:numRef>
              <c:f>'Chart Data 716CP'!$G$2:$G$7</c:f>
              <c:numCache>
                <c:ptCount val="6"/>
                <c:pt idx="0">
                  <c:v>1800</c:v>
                </c:pt>
                <c:pt idx="1">
                  <c:v>2300</c:v>
                </c:pt>
                <c:pt idx="2">
                  <c:v>2700</c:v>
                </c:pt>
                <c:pt idx="3">
                  <c:v>2950</c:v>
                </c:pt>
                <c:pt idx="4">
                  <c:v>2950</c:v>
                </c:pt>
                <c:pt idx="5">
                  <c:v>1800</c:v>
                </c:pt>
              </c:numCache>
            </c:numRef>
          </c:yVal>
          <c:smooth val="0"/>
        </c:ser>
        <c:ser>
          <c:idx val="1"/>
          <c:order val="1"/>
          <c:tx>
            <c:strRef>
              <c:f>'716CP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'716CP W &amp; B'!$H$10</c:f>
              <c:numCache>
                <c:ptCount val="1"/>
                <c:pt idx="0">
                  <c:v>43.44793635841619</c:v>
                </c:pt>
              </c:numCache>
            </c:numRef>
          </c:xVal>
          <c:yVal>
            <c:numRef>
              <c:f>'716CP W &amp; B'!$D$10</c:f>
              <c:numCache>
                <c:ptCount val="1"/>
                <c:pt idx="0">
                  <c:v>3099.86</c:v>
                </c:pt>
              </c:numCache>
            </c:numRef>
          </c:yVal>
          <c:smooth val="0"/>
        </c:ser>
        <c:ser>
          <c:idx val="2"/>
          <c:order val="2"/>
          <c:tx>
            <c:strRef>
              <c:f>'716CP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'716CP W &amp; B'!$H$12</c:f>
              <c:numCache>
                <c:ptCount val="1"/>
                <c:pt idx="0">
                  <c:v>43.216464510180145</c:v>
                </c:pt>
              </c:numCache>
            </c:numRef>
          </c:xVal>
          <c:yVal>
            <c:numRef>
              <c:f>'716CP W &amp; B'!$D$12</c:f>
              <c:numCache>
                <c:ptCount val="1"/>
                <c:pt idx="0">
                  <c:v>2949.86</c:v>
                </c:pt>
              </c:numCache>
            </c:numRef>
          </c:yVal>
          <c:smooth val="0"/>
        </c:ser>
        <c:ser>
          <c:idx val="3"/>
          <c:order val="3"/>
          <c:tx>
            <c:v>Take-Off Envelope</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716CP'!$K$2:$K$5</c:f>
              <c:numCache>
                <c:ptCount val="4"/>
                <c:pt idx="0">
                  <c:v>39</c:v>
                </c:pt>
                <c:pt idx="1">
                  <c:v>40.8</c:v>
                </c:pt>
                <c:pt idx="2">
                  <c:v>46</c:v>
                </c:pt>
                <c:pt idx="3">
                  <c:v>46</c:v>
                </c:pt>
              </c:numCache>
            </c:numRef>
          </c:xVal>
          <c:yVal>
            <c:numRef>
              <c:f>'Chart Data 716CP'!$J$2:$J$5</c:f>
              <c:numCache>
                <c:ptCount val="4"/>
                <c:pt idx="0">
                  <c:v>2950</c:v>
                </c:pt>
                <c:pt idx="1">
                  <c:v>3100</c:v>
                </c:pt>
                <c:pt idx="2">
                  <c:v>3100</c:v>
                </c:pt>
                <c:pt idx="3">
                  <c:v>2950</c:v>
                </c:pt>
              </c:numCache>
            </c:numRef>
          </c:yVal>
          <c:smooth val="0"/>
        </c:ser>
        <c:axId val="19225783"/>
        <c:axId val="38814320"/>
      </c:scatterChart>
      <c:valAx>
        <c:axId val="19225783"/>
        <c:scaling>
          <c:orientation val="minMax"/>
          <c:max val="50"/>
          <c:min val="32"/>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38814320"/>
        <c:crossesAt val="1500"/>
        <c:crossBetween val="midCat"/>
        <c:dispUnits/>
        <c:majorUnit val="2"/>
        <c:minorUnit val="0.2"/>
      </c:valAx>
      <c:valAx>
        <c:axId val="38814320"/>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9225783"/>
        <c:crossesAt val="32"/>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991CP'!$A$2:$A$26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'991CP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'991CP W &amp; B'!$E$10</c:f>
              <c:numCache>
                <c:ptCount val="1"/>
                <c:pt idx="0">
                  <c:v>99.782</c:v>
                </c:pt>
              </c:numCache>
            </c:numRef>
          </c:xVal>
          <c:yVal>
            <c:numRef>
              <c:f>'991CP W &amp; B'!$D$10</c:f>
              <c:numCache>
                <c:ptCount val="1"/>
                <c:pt idx="0">
                  <c:v>2437</c:v>
                </c:pt>
              </c:numCache>
            </c:numRef>
          </c:yVal>
          <c:smooth val="0"/>
        </c:ser>
        <c:ser>
          <c:idx val="2"/>
          <c:order val="2"/>
          <c:tx>
            <c:strRef>
              <c:f>'991CP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'991CP W &amp; B'!$E$12</c:f>
              <c:numCache>
                <c:ptCount val="1"/>
                <c:pt idx="0">
                  <c:v>99.35</c:v>
                </c:pt>
              </c:numCache>
            </c:numRef>
          </c:xVal>
          <c:yVal>
            <c:numRef>
              <c:f>'991CP W &amp; B'!$D$12</c:f>
              <c:numCache>
                <c:ptCount val="1"/>
                <c:pt idx="0">
                  <c:v>2428</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991CP'!$E$2:$E$4</c:f>
              <c:numCache>
                <c:ptCount val="3"/>
                <c:pt idx="0">
                  <c:v>82.5</c:v>
                </c:pt>
                <c:pt idx="1">
                  <c:v>89</c:v>
                </c:pt>
                <c:pt idx="2">
                  <c:v>60.5</c:v>
                </c:pt>
              </c:numCache>
            </c:numRef>
          </c:xVal>
          <c:yVal>
            <c:numRef>
              <c:f>'Chart Data 991CP'!$D$2:$D$4</c:f>
              <c:numCache>
                <c:ptCount val="3"/>
                <c:pt idx="0">
                  <c:v>2200</c:v>
                </c:pt>
                <c:pt idx="1">
                  <c:v>2200</c:v>
                </c:pt>
                <c:pt idx="2">
                  <c:v>1500</c:v>
                </c:pt>
              </c:numCache>
            </c:numRef>
          </c:yVal>
          <c:smooth val="0"/>
        </c:ser>
        <c:axId val="13784561"/>
        <c:axId val="56952186"/>
      </c:scatterChart>
      <c:valAx>
        <c:axId val="13784561"/>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56952186"/>
        <c:crossesAt val="1500"/>
        <c:crossBetween val="midCat"/>
        <c:dispUnits/>
        <c:majorUnit val="5"/>
        <c:minorUnit val="1"/>
      </c:valAx>
      <c:valAx>
        <c:axId val="56952186"/>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3784561"/>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99885'!$H$2:$H$16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99885'!$G$2:$G$16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'99885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'99885 W &amp; B'!$H$10</c:f>
              <c:numCache>
                <c:ptCount val="1"/>
                <c:pt idx="0">
                  <c:v>42.4529637029637</c:v>
                </c:pt>
              </c:numCache>
            </c:numRef>
          </c:xVal>
          <c:yVal>
            <c:numRef>
              <c:f>'99885 W &amp; B'!$D$10</c:f>
              <c:numCache>
                <c:ptCount val="1"/>
                <c:pt idx="0">
                  <c:v>2402.4</c:v>
                </c:pt>
              </c:numCache>
            </c:numRef>
          </c:yVal>
          <c:smooth val="0"/>
        </c:ser>
        <c:ser>
          <c:idx val="2"/>
          <c:order val="2"/>
          <c:tx>
            <c:strRef>
              <c:f>'99885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'99885 W &amp; B'!$H$12</c:f>
              <c:numCache>
                <c:ptCount val="1"/>
                <c:pt idx="0">
                  <c:v>42.161321416053276</c:v>
                </c:pt>
              </c:numCache>
            </c:numRef>
          </c:xVal>
          <c:yVal>
            <c:numRef>
              <c:f>'99885 W &amp; B'!$D$12</c:f>
              <c:numCache>
                <c:ptCount val="1"/>
                <c:pt idx="0">
                  <c:v>2282.4</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99885'!$K$2:$K$6</c:f>
              <c:numCache>
                <c:ptCount val="5"/>
                <c:pt idx="0">
                  <c:v>35</c:v>
                </c:pt>
                <c:pt idx="1">
                  <c:v>35</c:v>
                </c:pt>
                <c:pt idx="2">
                  <c:v>37.5</c:v>
                </c:pt>
                <c:pt idx="3">
                  <c:v>40.5</c:v>
                </c:pt>
                <c:pt idx="4">
                  <c:v>40.5</c:v>
                </c:pt>
              </c:numCache>
            </c:numRef>
          </c:xVal>
          <c:yVal>
            <c:numRef>
              <c:f>'Chart Data 99885'!$J$2:$J$6</c:f>
              <c:numCache>
                <c:ptCount val="5"/>
                <c:pt idx="0">
                  <c:v>1500</c:v>
                </c:pt>
                <c:pt idx="1">
                  <c:v>1950</c:v>
                </c:pt>
                <c:pt idx="2">
                  <c:v>2200</c:v>
                </c:pt>
                <c:pt idx="3">
                  <c:v>2200</c:v>
                </c:pt>
                <c:pt idx="4">
                  <c:v>1500</c:v>
                </c:pt>
              </c:numCache>
            </c:numRef>
          </c:yVal>
          <c:smooth val="0"/>
        </c:ser>
        <c:axId val="28346903"/>
        <c:axId val="53795536"/>
      </c:scatterChart>
      <c:valAx>
        <c:axId val="28346903"/>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53795536"/>
        <c:crossesAt val="1500"/>
        <c:crossBetween val="midCat"/>
        <c:dispUnits/>
        <c:majorUnit val="1"/>
        <c:minorUnit val="0.2"/>
      </c:valAx>
      <c:valAx>
        <c:axId val="53795536"/>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28346903"/>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991CP'!$G$2:$G$16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'991CP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'991CP W &amp; B'!$H$10</c:f>
              <c:numCache>
                <c:ptCount val="1"/>
                <c:pt idx="0">
                  <c:v>40.94460402133771</c:v>
                </c:pt>
              </c:numCache>
            </c:numRef>
          </c:xVal>
          <c:yVal>
            <c:numRef>
              <c:f>'991CP W &amp; B'!$D$10</c:f>
              <c:numCache>
                <c:ptCount val="1"/>
                <c:pt idx="0">
                  <c:v>2437</c:v>
                </c:pt>
              </c:numCache>
            </c:numRef>
          </c:yVal>
          <c:smooth val="0"/>
        </c:ser>
        <c:ser>
          <c:idx val="2"/>
          <c:order val="2"/>
          <c:tx>
            <c:strRef>
              <c:f>'991CP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'991CP W &amp; B'!$H$12</c:f>
              <c:numCache>
                <c:ptCount val="1"/>
                <c:pt idx="0">
                  <c:v>40.91845140032949</c:v>
                </c:pt>
              </c:numCache>
            </c:numRef>
          </c:xVal>
          <c:yVal>
            <c:numRef>
              <c:f>'991CP W &amp; B'!$D$12</c:f>
              <c:numCache>
                <c:ptCount val="1"/>
                <c:pt idx="0">
                  <c:v>2428</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991CP'!$K$2:$K$6</c:f>
              <c:numCache>
                <c:ptCount val="5"/>
                <c:pt idx="0">
                  <c:v>35</c:v>
                </c:pt>
                <c:pt idx="1">
                  <c:v>35</c:v>
                </c:pt>
                <c:pt idx="2">
                  <c:v>37.5</c:v>
                </c:pt>
                <c:pt idx="3">
                  <c:v>40.5</c:v>
                </c:pt>
                <c:pt idx="4">
                  <c:v>40.5</c:v>
                </c:pt>
              </c:numCache>
            </c:numRef>
          </c:xVal>
          <c:yVal>
            <c:numRef>
              <c:f>'Chart Data 991CP'!$J$2:$J$6</c:f>
              <c:numCache>
                <c:ptCount val="5"/>
                <c:pt idx="0">
                  <c:v>1500</c:v>
                </c:pt>
                <c:pt idx="1">
                  <c:v>1950</c:v>
                </c:pt>
                <c:pt idx="2">
                  <c:v>2200</c:v>
                </c:pt>
                <c:pt idx="3">
                  <c:v>2200</c:v>
                </c:pt>
                <c:pt idx="4">
                  <c:v>1500</c:v>
                </c:pt>
              </c:numCache>
            </c:numRef>
          </c:yVal>
          <c:smooth val="0"/>
        </c:ser>
        <c:axId val="42807627"/>
        <c:axId val="49724324"/>
      </c:scatterChart>
      <c:valAx>
        <c:axId val="42807627"/>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49724324"/>
        <c:crossesAt val="1500"/>
        <c:crossBetween val="midCat"/>
        <c:dispUnits/>
        <c:majorUnit val="1"/>
        <c:minorUnit val="0.2"/>
      </c:valAx>
      <c:valAx>
        <c:axId val="49724324"/>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42807627"/>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99700'!$B$2:$B$26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99700'!$A$2:$A$26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'99700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'99700 W &amp; B'!$E$10</c:f>
              <c:numCache>
                <c:ptCount val="1"/>
                <c:pt idx="0">
                  <c:v>104.67500000000001</c:v>
                </c:pt>
              </c:numCache>
            </c:numRef>
          </c:xVal>
          <c:yVal>
            <c:numRef>
              <c:f>'99700 W &amp; B'!$D$10</c:f>
              <c:numCache>
                <c:ptCount val="1"/>
                <c:pt idx="0">
                  <c:v>2438</c:v>
                </c:pt>
              </c:numCache>
            </c:numRef>
          </c:yVal>
          <c:smooth val="0"/>
        </c:ser>
        <c:ser>
          <c:idx val="2"/>
          <c:order val="2"/>
          <c:tx>
            <c:strRef>
              <c:f>'99700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'99700 W &amp; B'!$E$12</c:f>
              <c:numCache>
                <c:ptCount val="1"/>
                <c:pt idx="0">
                  <c:v>104.24300000000001</c:v>
                </c:pt>
              </c:numCache>
            </c:numRef>
          </c:xVal>
          <c:yVal>
            <c:numRef>
              <c:f>'99700 W &amp; B'!$D$12</c:f>
              <c:numCache>
                <c:ptCount val="1"/>
                <c:pt idx="0">
                  <c:v>2429</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99700'!$E$2:$E$4</c:f>
              <c:numCache>
                <c:ptCount val="3"/>
                <c:pt idx="0">
                  <c:v>82.5</c:v>
                </c:pt>
                <c:pt idx="1">
                  <c:v>89</c:v>
                </c:pt>
                <c:pt idx="2">
                  <c:v>60.5</c:v>
                </c:pt>
              </c:numCache>
            </c:numRef>
          </c:xVal>
          <c:yVal>
            <c:numRef>
              <c:f>'Chart Data 99700'!$D$2:$D$4</c:f>
              <c:numCache>
                <c:ptCount val="3"/>
                <c:pt idx="0">
                  <c:v>2200</c:v>
                </c:pt>
                <c:pt idx="1">
                  <c:v>2200</c:v>
                </c:pt>
                <c:pt idx="2">
                  <c:v>1500</c:v>
                </c:pt>
              </c:numCache>
            </c:numRef>
          </c:yVal>
          <c:smooth val="0"/>
        </c:ser>
        <c:axId val="44865733"/>
        <c:axId val="1138414"/>
      </c:scatterChart>
      <c:valAx>
        <c:axId val="44865733"/>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1138414"/>
        <c:crossesAt val="1500"/>
        <c:crossBetween val="midCat"/>
        <c:dispUnits/>
        <c:majorUnit val="5"/>
        <c:minorUnit val="1"/>
      </c:valAx>
      <c:valAx>
        <c:axId val="1138414"/>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44865733"/>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99700'!$H$2:$H$16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99700'!$G$2:$G$16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'99700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'99700 W &amp; B'!$H$10</c:f>
              <c:numCache>
                <c:ptCount val="1"/>
                <c:pt idx="0">
                  <c:v>42.934782608695656</c:v>
                </c:pt>
              </c:numCache>
            </c:numRef>
          </c:xVal>
          <c:yVal>
            <c:numRef>
              <c:f>'99700 W &amp; B'!$D$10</c:f>
              <c:numCache>
                <c:ptCount val="1"/>
                <c:pt idx="0">
                  <c:v>2438</c:v>
                </c:pt>
              </c:numCache>
            </c:numRef>
          </c:yVal>
          <c:smooth val="0"/>
        </c:ser>
        <c:ser>
          <c:idx val="2"/>
          <c:order val="2"/>
          <c:tx>
            <c:strRef>
              <c:f>'99700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'99700 W &amp; B'!$H$12</c:f>
              <c:numCache>
                <c:ptCount val="1"/>
                <c:pt idx="0">
                  <c:v>42.916014820913965</c:v>
                </c:pt>
              </c:numCache>
            </c:numRef>
          </c:xVal>
          <c:yVal>
            <c:numRef>
              <c:f>'99700 W &amp; B'!$D$12</c:f>
              <c:numCache>
                <c:ptCount val="1"/>
                <c:pt idx="0">
                  <c:v>2429</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99700'!$K$2:$K$6</c:f>
              <c:numCache>
                <c:ptCount val="5"/>
                <c:pt idx="0">
                  <c:v>35</c:v>
                </c:pt>
                <c:pt idx="1">
                  <c:v>35</c:v>
                </c:pt>
                <c:pt idx="2">
                  <c:v>37.5</c:v>
                </c:pt>
                <c:pt idx="3">
                  <c:v>40.5</c:v>
                </c:pt>
                <c:pt idx="4">
                  <c:v>40.5</c:v>
                </c:pt>
              </c:numCache>
            </c:numRef>
          </c:xVal>
          <c:yVal>
            <c:numRef>
              <c:f>'Chart Data 99700'!$J$2:$J$6</c:f>
              <c:numCache>
                <c:ptCount val="5"/>
                <c:pt idx="0">
                  <c:v>1500</c:v>
                </c:pt>
                <c:pt idx="1">
                  <c:v>1950</c:v>
                </c:pt>
                <c:pt idx="2">
                  <c:v>2200</c:v>
                </c:pt>
                <c:pt idx="3">
                  <c:v>2200</c:v>
                </c:pt>
                <c:pt idx="4">
                  <c:v>1500</c:v>
                </c:pt>
              </c:numCache>
            </c:numRef>
          </c:yVal>
          <c:smooth val="0"/>
        </c:ser>
        <c:axId val="10245727"/>
        <c:axId val="25102680"/>
      </c:scatterChart>
      <c:valAx>
        <c:axId val="10245727"/>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5102680"/>
        <c:crossesAt val="1500"/>
        <c:crossBetween val="midCat"/>
        <c:dispUnits/>
        <c:majorUnit val="1"/>
        <c:minorUnit val="0.2"/>
      </c:valAx>
      <c:valAx>
        <c:axId val="25102680"/>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0245727"/>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991CP'!$A$2:$A$26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'991CP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'991CP W &amp; B'!$E$10</c:f>
              <c:numCache>
                <c:ptCount val="1"/>
                <c:pt idx="0">
                  <c:v>99.782</c:v>
                </c:pt>
              </c:numCache>
            </c:numRef>
          </c:xVal>
          <c:yVal>
            <c:numRef>
              <c:f>'991CP W &amp; B'!$D$10</c:f>
              <c:numCache>
                <c:ptCount val="1"/>
                <c:pt idx="0">
                  <c:v>2437</c:v>
                </c:pt>
              </c:numCache>
            </c:numRef>
          </c:yVal>
          <c:smooth val="0"/>
        </c:ser>
        <c:ser>
          <c:idx val="2"/>
          <c:order val="2"/>
          <c:tx>
            <c:strRef>
              <c:f>'991CP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'991CP W &amp; B'!$E$12</c:f>
              <c:numCache>
                <c:ptCount val="1"/>
                <c:pt idx="0">
                  <c:v>99.35</c:v>
                </c:pt>
              </c:numCache>
            </c:numRef>
          </c:xVal>
          <c:yVal>
            <c:numRef>
              <c:f>'991CP W &amp; B'!$D$12</c:f>
              <c:numCache>
                <c:ptCount val="1"/>
                <c:pt idx="0">
                  <c:v>2428</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991CP'!$E$2:$E$4</c:f>
              <c:numCache>
                <c:ptCount val="3"/>
                <c:pt idx="0">
                  <c:v>82.5</c:v>
                </c:pt>
                <c:pt idx="1">
                  <c:v>89</c:v>
                </c:pt>
                <c:pt idx="2">
                  <c:v>60.5</c:v>
                </c:pt>
              </c:numCache>
            </c:numRef>
          </c:xVal>
          <c:yVal>
            <c:numRef>
              <c:f>'Chart Data 991CP'!$D$2:$D$4</c:f>
              <c:numCache>
                <c:ptCount val="3"/>
                <c:pt idx="0">
                  <c:v>2200</c:v>
                </c:pt>
                <c:pt idx="1">
                  <c:v>2200</c:v>
                </c:pt>
                <c:pt idx="2">
                  <c:v>1500</c:v>
                </c:pt>
              </c:numCache>
            </c:numRef>
          </c:yVal>
          <c:smooth val="0"/>
        </c:ser>
        <c:axId val="24597529"/>
        <c:axId val="20051170"/>
      </c:scatterChart>
      <c:valAx>
        <c:axId val="24597529"/>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0051170"/>
        <c:crossesAt val="1500"/>
        <c:crossBetween val="midCat"/>
        <c:dispUnits/>
        <c:majorUnit val="5"/>
        <c:minorUnit val="1"/>
      </c:valAx>
      <c:valAx>
        <c:axId val="20051170"/>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24597529"/>
        <c:crossesAt val="45"/>
        <c:crossBetween val="midCat"/>
        <c:dispUnits/>
        <c:majorUnit val="100"/>
        <c:minorUnit val="20"/>
      </c:valAx>
      <c:spPr>
        <a:solidFill>
          <a:srgbClr val="C0C0C0"/>
        </a:solid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Aircraft CG Loacation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991CP'!$G$2:$G$16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'991CP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'991CP W &amp; B'!$H$10</c:f>
              <c:numCache>
                <c:ptCount val="1"/>
                <c:pt idx="0">
                  <c:v>40.94460402133771</c:v>
                </c:pt>
              </c:numCache>
            </c:numRef>
          </c:xVal>
          <c:yVal>
            <c:numRef>
              <c:f>'991CP W &amp; B'!$D$10</c:f>
              <c:numCache>
                <c:ptCount val="1"/>
                <c:pt idx="0">
                  <c:v>2437</c:v>
                </c:pt>
              </c:numCache>
            </c:numRef>
          </c:yVal>
          <c:smooth val="0"/>
        </c:ser>
        <c:ser>
          <c:idx val="2"/>
          <c:order val="2"/>
          <c:tx>
            <c:strRef>
              <c:f>'991CP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'991CP W &amp; B'!$H$12</c:f>
              <c:numCache>
                <c:ptCount val="1"/>
                <c:pt idx="0">
                  <c:v>40.91845140032949</c:v>
                </c:pt>
              </c:numCache>
            </c:numRef>
          </c:xVal>
          <c:yVal>
            <c:numRef>
              <c:f>'991CP W &amp; B'!$D$12</c:f>
              <c:numCache>
                <c:ptCount val="1"/>
                <c:pt idx="0">
                  <c:v>2428</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991CP'!$K$2:$K$6</c:f>
              <c:numCache>
                <c:ptCount val="5"/>
                <c:pt idx="0">
                  <c:v>35</c:v>
                </c:pt>
                <c:pt idx="1">
                  <c:v>35</c:v>
                </c:pt>
                <c:pt idx="2">
                  <c:v>37.5</c:v>
                </c:pt>
                <c:pt idx="3">
                  <c:v>40.5</c:v>
                </c:pt>
                <c:pt idx="4">
                  <c:v>40.5</c:v>
                </c:pt>
              </c:numCache>
            </c:numRef>
          </c:xVal>
          <c:yVal>
            <c:numRef>
              <c:f>'Chart Data 991CP'!$J$2:$J$6</c:f>
              <c:numCache>
                <c:ptCount val="5"/>
                <c:pt idx="0">
                  <c:v>1500</c:v>
                </c:pt>
                <c:pt idx="1">
                  <c:v>1950</c:v>
                </c:pt>
                <c:pt idx="2">
                  <c:v>2200</c:v>
                </c:pt>
                <c:pt idx="3">
                  <c:v>2200</c:v>
                </c:pt>
                <c:pt idx="4">
                  <c:v>1500</c:v>
                </c:pt>
              </c:numCache>
            </c:numRef>
          </c:yVal>
          <c:smooth val="0"/>
        </c:ser>
        <c:axId val="46242803"/>
        <c:axId val="13532044"/>
      </c:scatterChart>
      <c:valAx>
        <c:axId val="46242803"/>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13532044"/>
        <c:crossesAt val="1500"/>
        <c:crossBetween val="midCat"/>
        <c:dispUnits/>
        <c:majorUnit val="1"/>
        <c:minorUnit val="0.2"/>
      </c:valAx>
      <c:valAx>
        <c:axId val="13532044"/>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46242803"/>
        <c:crossesAt val="34"/>
        <c:crossBetween val="midCat"/>
        <c:dispUnits/>
        <c:majorUnit val="100"/>
        <c:minorUnit val="20"/>
      </c:valAx>
      <c:spPr>
        <a:solidFill>
          <a:srgbClr val="C0C0C0"/>
        </a:solid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99832'!$B$2:$B$26</c:f>
              <c:numCache>
                <c:ptCount val="25"/>
                <c:pt idx="0">
                  <c:v>52</c:v>
                </c:pt>
                <c:pt idx="1">
                  <c:v>56</c:v>
                </c:pt>
                <c:pt idx="2">
                  <c:v>59.5</c:v>
                </c:pt>
                <c:pt idx="3">
                  <c:v>63</c:v>
                </c:pt>
                <c:pt idx="4">
                  <c:v>66.4</c:v>
                </c:pt>
                <c:pt idx="5">
                  <c:v>68</c:v>
                </c:pt>
                <c:pt idx="6">
                  <c:v>71</c:v>
                </c:pt>
                <c:pt idx="7">
                  <c:v>76.8</c:v>
                </c:pt>
                <c:pt idx="8">
                  <c:v>82.5</c:v>
                </c:pt>
                <c:pt idx="9">
                  <c:v>88.5</c:v>
                </c:pt>
                <c:pt idx="10">
                  <c:v>94.7</c:v>
                </c:pt>
                <c:pt idx="11">
                  <c:v>101</c:v>
                </c:pt>
                <c:pt idx="12">
                  <c:v>104.2</c:v>
                </c:pt>
                <c:pt idx="13">
                  <c:v>120.8</c:v>
                </c:pt>
                <c:pt idx="14">
                  <c:v>118</c:v>
                </c:pt>
                <c:pt idx="15">
                  <c:v>113.5</c:v>
                </c:pt>
                <c:pt idx="16">
                  <c:v>108.8</c:v>
                </c:pt>
                <c:pt idx="17">
                  <c:v>104</c:v>
                </c:pt>
                <c:pt idx="18">
                  <c:v>99.2</c:v>
                </c:pt>
                <c:pt idx="19">
                  <c:v>94.8</c:v>
                </c:pt>
                <c:pt idx="20">
                  <c:v>90</c:v>
                </c:pt>
                <c:pt idx="21">
                  <c:v>85.1</c:v>
                </c:pt>
                <c:pt idx="22">
                  <c:v>80.2</c:v>
                </c:pt>
                <c:pt idx="23">
                  <c:v>75.8</c:v>
                </c:pt>
                <c:pt idx="24">
                  <c:v>70.5</c:v>
                </c:pt>
              </c:numCache>
            </c:numRef>
          </c:xVal>
          <c:yVal>
            <c:numRef>
              <c:f>'Chart Data 99832'!$A$2:$A$26</c:f>
              <c:numCache>
                <c:ptCount val="2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2500</c:v>
                </c:pt>
                <c:pt idx="15">
                  <c:v>2400</c:v>
                </c:pt>
                <c:pt idx="16">
                  <c:v>2300</c:v>
                </c:pt>
                <c:pt idx="17">
                  <c:v>2200</c:v>
                </c:pt>
                <c:pt idx="18">
                  <c:v>2100</c:v>
                </c:pt>
                <c:pt idx="19">
                  <c:v>2000</c:v>
                </c:pt>
                <c:pt idx="20">
                  <c:v>1900</c:v>
                </c:pt>
                <c:pt idx="21">
                  <c:v>1800</c:v>
                </c:pt>
                <c:pt idx="22">
                  <c:v>1700</c:v>
                </c:pt>
                <c:pt idx="23">
                  <c:v>1600</c:v>
                </c:pt>
                <c:pt idx="24">
                  <c:v>1500</c:v>
                </c:pt>
              </c:numCache>
            </c:numRef>
          </c:yVal>
          <c:smooth val="0"/>
        </c:ser>
        <c:ser>
          <c:idx val="1"/>
          <c:order val="1"/>
          <c:tx>
            <c:strRef>
              <c:f>'99832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'99832 W &amp; B'!$E$10</c:f>
              <c:numCache>
                <c:ptCount val="1"/>
                <c:pt idx="0">
                  <c:v>98.64899999999999</c:v>
                </c:pt>
              </c:numCache>
            </c:numRef>
          </c:xVal>
          <c:yVal>
            <c:numRef>
              <c:f>'99832 W &amp; B'!$D$10</c:f>
              <c:numCache>
                <c:ptCount val="1"/>
                <c:pt idx="0">
                  <c:v>2324.75</c:v>
                </c:pt>
              </c:numCache>
            </c:numRef>
          </c:yVal>
          <c:smooth val="0"/>
        </c:ser>
        <c:ser>
          <c:idx val="2"/>
          <c:order val="2"/>
          <c:tx>
            <c:strRef>
              <c:f>'99832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'99832 W &amp; B'!$E$12</c:f>
              <c:numCache>
                <c:ptCount val="1"/>
                <c:pt idx="0">
                  <c:v>92.88899999999998</c:v>
                </c:pt>
              </c:numCache>
            </c:numRef>
          </c:xVal>
          <c:yVal>
            <c:numRef>
              <c:f>'99832 W &amp; B'!$D$12</c:f>
              <c:numCache>
                <c:ptCount val="1"/>
                <c:pt idx="0">
                  <c:v>2204.75</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99832'!$E$2:$E$4</c:f>
              <c:numCache>
                <c:ptCount val="3"/>
                <c:pt idx="0">
                  <c:v>82.5</c:v>
                </c:pt>
                <c:pt idx="1">
                  <c:v>89</c:v>
                </c:pt>
                <c:pt idx="2">
                  <c:v>60.5</c:v>
                </c:pt>
              </c:numCache>
            </c:numRef>
          </c:xVal>
          <c:yVal>
            <c:numRef>
              <c:f>'Chart Data 99832'!$D$2:$D$4</c:f>
              <c:numCache>
                <c:ptCount val="3"/>
                <c:pt idx="0">
                  <c:v>2200</c:v>
                </c:pt>
                <c:pt idx="1">
                  <c:v>2200</c:v>
                </c:pt>
                <c:pt idx="2">
                  <c:v>1500</c:v>
                </c:pt>
              </c:numCache>
            </c:numRef>
          </c:yVal>
          <c:smooth val="0"/>
        </c:ser>
        <c:axId val="14397777"/>
        <c:axId val="62471130"/>
      </c:scatterChart>
      <c:valAx>
        <c:axId val="14397777"/>
        <c:scaling>
          <c:orientation val="minMax"/>
          <c:max val="130"/>
          <c:min val="50"/>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62471130"/>
        <c:crossesAt val="1500"/>
        <c:crossBetween val="midCat"/>
        <c:dispUnits/>
        <c:majorUnit val="5"/>
        <c:minorUnit val="1"/>
      </c:valAx>
      <c:valAx>
        <c:axId val="62471130"/>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4397777"/>
        <c:crossesAt val="4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99832'!$H$2:$H$16</c:f>
              <c:numCache>
                <c:ptCount val="15"/>
                <c:pt idx="0">
                  <c:v>35</c:v>
                </c:pt>
                <c:pt idx="1">
                  <c:v>35</c:v>
                </c:pt>
                <c:pt idx="2">
                  <c:v>35</c:v>
                </c:pt>
                <c:pt idx="3">
                  <c:v>35</c:v>
                </c:pt>
                <c:pt idx="4">
                  <c:v>35</c:v>
                </c:pt>
                <c:pt idx="5">
                  <c:v>35</c:v>
                </c:pt>
                <c:pt idx="6">
                  <c:v>35.5</c:v>
                </c:pt>
                <c:pt idx="7">
                  <c:v>36.5</c:v>
                </c:pt>
                <c:pt idx="8">
                  <c:v>37.5</c:v>
                </c:pt>
                <c:pt idx="9">
                  <c:v>38.5</c:v>
                </c:pt>
                <c:pt idx="10">
                  <c:v>39.5</c:v>
                </c:pt>
                <c:pt idx="11">
                  <c:v>40.5</c:v>
                </c:pt>
                <c:pt idx="12">
                  <c:v>41</c:v>
                </c:pt>
                <c:pt idx="13">
                  <c:v>47.3</c:v>
                </c:pt>
                <c:pt idx="14">
                  <c:v>47.3</c:v>
                </c:pt>
              </c:numCache>
            </c:numRef>
          </c:xVal>
          <c:yVal>
            <c:numRef>
              <c:f>'Chart Data 99832'!$G$2:$G$16</c:f>
              <c:numCache>
                <c:ptCount val="15"/>
                <c:pt idx="0">
                  <c:v>1500</c:v>
                </c:pt>
                <c:pt idx="1">
                  <c:v>1600</c:v>
                </c:pt>
                <c:pt idx="2">
                  <c:v>1700</c:v>
                </c:pt>
                <c:pt idx="3">
                  <c:v>1800</c:v>
                </c:pt>
                <c:pt idx="4">
                  <c:v>1900</c:v>
                </c:pt>
                <c:pt idx="5">
                  <c:v>1950</c:v>
                </c:pt>
                <c:pt idx="6">
                  <c:v>2000</c:v>
                </c:pt>
                <c:pt idx="7">
                  <c:v>2100</c:v>
                </c:pt>
                <c:pt idx="8">
                  <c:v>2200</c:v>
                </c:pt>
                <c:pt idx="9">
                  <c:v>2300</c:v>
                </c:pt>
                <c:pt idx="10">
                  <c:v>2400</c:v>
                </c:pt>
                <c:pt idx="11">
                  <c:v>2500</c:v>
                </c:pt>
                <c:pt idx="12">
                  <c:v>2550</c:v>
                </c:pt>
                <c:pt idx="13">
                  <c:v>2550</c:v>
                </c:pt>
                <c:pt idx="14">
                  <c:v>1500</c:v>
                </c:pt>
              </c:numCache>
            </c:numRef>
          </c:yVal>
          <c:smooth val="0"/>
        </c:ser>
        <c:ser>
          <c:idx val="1"/>
          <c:order val="1"/>
          <c:tx>
            <c:strRef>
              <c:f>'99832 W &amp; B'!$A$10</c:f>
              <c:strCache>
                <c:ptCount val="1"/>
                <c:pt idx="0">
                  <c:v>Take-Off Weight and Moment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'99832 W &amp; B'!$H$10</c:f>
              <c:numCache>
                <c:ptCount val="1"/>
                <c:pt idx="0">
                  <c:v>42.43424024088611</c:v>
                </c:pt>
              </c:numCache>
            </c:numRef>
          </c:xVal>
          <c:yVal>
            <c:numRef>
              <c:f>'99832 W &amp; B'!$D$10</c:f>
              <c:numCache>
                <c:ptCount val="1"/>
                <c:pt idx="0">
                  <c:v>2324.75</c:v>
                </c:pt>
              </c:numCache>
            </c:numRef>
          </c:yVal>
          <c:smooth val="0"/>
        </c:ser>
        <c:ser>
          <c:idx val="2"/>
          <c:order val="2"/>
          <c:tx>
            <c:strRef>
              <c:f>'99832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'99832 W &amp; B'!$H$12</c:f>
              <c:numCache>
                <c:ptCount val="1"/>
                <c:pt idx="0">
                  <c:v>42.13130740446762</c:v>
                </c:pt>
              </c:numCache>
            </c:numRef>
          </c:xVal>
          <c:yVal>
            <c:numRef>
              <c:f>'99832 W &amp; B'!$D$12</c:f>
              <c:numCache>
                <c:ptCount val="1"/>
                <c:pt idx="0">
                  <c:v>2204.75</c:v>
                </c:pt>
              </c:numCache>
            </c:numRef>
          </c:yVal>
          <c:smooth val="0"/>
        </c:ser>
        <c:ser>
          <c:idx val="3"/>
          <c:order val="3"/>
          <c:tx>
            <c:v>Utility Category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99832'!$K$2:$K$6</c:f>
              <c:numCache>
                <c:ptCount val="5"/>
                <c:pt idx="0">
                  <c:v>35</c:v>
                </c:pt>
                <c:pt idx="1">
                  <c:v>35</c:v>
                </c:pt>
                <c:pt idx="2">
                  <c:v>37.5</c:v>
                </c:pt>
                <c:pt idx="3">
                  <c:v>40.5</c:v>
                </c:pt>
                <c:pt idx="4">
                  <c:v>40.5</c:v>
                </c:pt>
              </c:numCache>
            </c:numRef>
          </c:xVal>
          <c:yVal>
            <c:numRef>
              <c:f>'Chart Data 99832'!$J$2:$J$6</c:f>
              <c:numCache>
                <c:ptCount val="5"/>
                <c:pt idx="0">
                  <c:v>1500</c:v>
                </c:pt>
                <c:pt idx="1">
                  <c:v>1950</c:v>
                </c:pt>
                <c:pt idx="2">
                  <c:v>2200</c:v>
                </c:pt>
                <c:pt idx="3">
                  <c:v>2200</c:v>
                </c:pt>
                <c:pt idx="4">
                  <c:v>1500</c:v>
                </c:pt>
              </c:numCache>
            </c:numRef>
          </c:yVal>
          <c:smooth val="0"/>
        </c:ser>
        <c:axId val="25369259"/>
        <c:axId val="26996740"/>
      </c:scatterChart>
      <c:valAx>
        <c:axId val="25369259"/>
        <c:scaling>
          <c:orientation val="minMax"/>
          <c:max val="48"/>
          <c:min val="34"/>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6996740"/>
        <c:crossesAt val="1500"/>
        <c:crossBetween val="midCat"/>
        <c:dispUnits/>
        <c:majorUnit val="1"/>
        <c:minorUnit val="0.2"/>
      </c:valAx>
      <c:valAx>
        <c:axId val="26996740"/>
        <c:scaling>
          <c:orientation val="minMax"/>
          <c:max val="2600"/>
          <c:min val="15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25369259"/>
        <c:crossesAt val="34"/>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7389T'!$B$2:$B$7</c:f>
              <c:numCache>
                <c:ptCount val="6"/>
                <c:pt idx="0">
                  <c:v>59.5</c:v>
                </c:pt>
                <c:pt idx="1">
                  <c:v>74</c:v>
                </c:pt>
                <c:pt idx="2">
                  <c:v>95.5</c:v>
                </c:pt>
                <c:pt idx="3">
                  <c:v>126</c:v>
                </c:pt>
                <c:pt idx="4">
                  <c:v>146</c:v>
                </c:pt>
                <c:pt idx="5">
                  <c:v>84.5</c:v>
                </c:pt>
              </c:numCache>
            </c:numRef>
          </c:xVal>
          <c:yVal>
            <c:numRef>
              <c:f>'Chart Data 7389T'!$A$2:$A$7</c:f>
              <c:numCache>
                <c:ptCount val="6"/>
                <c:pt idx="0">
                  <c:v>1800</c:v>
                </c:pt>
                <c:pt idx="1">
                  <c:v>2250</c:v>
                </c:pt>
                <c:pt idx="2">
                  <c:v>2700</c:v>
                </c:pt>
                <c:pt idx="3">
                  <c:v>3100</c:v>
                </c:pt>
                <c:pt idx="4">
                  <c:v>3100</c:v>
                </c:pt>
                <c:pt idx="5">
                  <c:v>1800</c:v>
                </c:pt>
              </c:numCache>
            </c:numRef>
          </c:yVal>
          <c:smooth val="0"/>
        </c:ser>
        <c:ser>
          <c:idx val="1"/>
          <c:order val="1"/>
          <c:tx>
            <c:strRef>
              <c:f>'7389T W &amp; B'!$A$10</c:f>
              <c:strCache>
                <c:ptCount val="1"/>
                <c:pt idx="0">
                  <c:v>Take-Off Weight and Moment (MAX RAMP 3112)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'7389T W &amp; B'!$E$10</c:f>
              <c:numCache>
                <c:ptCount val="1"/>
                <c:pt idx="0">
                  <c:v>130.357</c:v>
                </c:pt>
              </c:numCache>
            </c:numRef>
          </c:xVal>
          <c:yVal>
            <c:numRef>
              <c:f>'7389T W &amp; B'!$D$10</c:f>
              <c:numCache>
                <c:ptCount val="1"/>
                <c:pt idx="0">
                  <c:v>3098.8</c:v>
                </c:pt>
              </c:numCache>
            </c:numRef>
          </c:yVal>
          <c:smooth val="0"/>
        </c:ser>
        <c:ser>
          <c:idx val="2"/>
          <c:order val="2"/>
          <c:tx>
            <c:strRef>
              <c:f>'7389T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'7389T W &amp; B'!$E$12</c:f>
              <c:numCache>
                <c:ptCount val="1"/>
                <c:pt idx="0">
                  <c:v>126.037</c:v>
                </c:pt>
              </c:numCache>
            </c:numRef>
          </c:xVal>
          <c:yVal>
            <c:numRef>
              <c:f>'7389T W &amp; B'!$D$12</c:f>
              <c:numCache>
                <c:ptCount val="1"/>
                <c:pt idx="0">
                  <c:v>3008.8</c:v>
                </c:pt>
              </c:numCache>
            </c:numRef>
          </c:yVal>
          <c:smooth val="0"/>
        </c:ser>
        <c:axId val="41644069"/>
        <c:axId val="39252302"/>
      </c:scatterChart>
      <c:valAx>
        <c:axId val="41644069"/>
        <c:scaling>
          <c:orientation val="minMax"/>
          <c:max val="150"/>
          <c:min val="55"/>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39252302"/>
        <c:crossesAt val="1800"/>
        <c:crossBetween val="midCat"/>
        <c:dispUnits/>
        <c:majorUnit val="5"/>
        <c:minorUnit val="1"/>
      </c:valAx>
      <c:valAx>
        <c:axId val="39252302"/>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41644069"/>
        <c:crossesAt val="5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7389T'!$H$2:$H$16</c:f>
              <c:numCache>
                <c:ptCount val="15"/>
                <c:pt idx="0">
                  <c:v>33</c:v>
                </c:pt>
                <c:pt idx="1">
                  <c:v>33</c:v>
                </c:pt>
                <c:pt idx="2">
                  <c:v>35.5</c:v>
                </c:pt>
                <c:pt idx="3">
                  <c:v>41</c:v>
                </c:pt>
                <c:pt idx="4">
                  <c:v>47</c:v>
                </c:pt>
                <c:pt idx="5">
                  <c:v>47</c:v>
                </c:pt>
              </c:numCache>
            </c:numRef>
          </c:xVal>
          <c:yVal>
            <c:numRef>
              <c:f>'Chart Data 7389T'!$G$2:$G$16</c:f>
              <c:numCache>
                <c:ptCount val="15"/>
                <c:pt idx="0">
                  <c:v>1800</c:v>
                </c:pt>
                <c:pt idx="1">
                  <c:v>2250</c:v>
                </c:pt>
                <c:pt idx="2">
                  <c:v>2700</c:v>
                </c:pt>
                <c:pt idx="3">
                  <c:v>3100</c:v>
                </c:pt>
                <c:pt idx="4">
                  <c:v>3100</c:v>
                </c:pt>
                <c:pt idx="5">
                  <c:v>1800</c:v>
                </c:pt>
              </c:numCache>
            </c:numRef>
          </c:yVal>
          <c:smooth val="0"/>
        </c:ser>
        <c:ser>
          <c:idx val="1"/>
          <c:order val="1"/>
          <c:tx>
            <c:strRef>
              <c:f>'7389T W &amp; B'!$A$10</c:f>
              <c:strCache>
                <c:ptCount val="1"/>
                <c:pt idx="0">
                  <c:v>Take-Off Weight and Moment (MAX RAMP 3112)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'7389T W &amp; B'!$H$10</c:f>
              <c:numCache>
                <c:ptCount val="1"/>
                <c:pt idx="0">
                  <c:v>42.06692913385827</c:v>
                </c:pt>
              </c:numCache>
            </c:numRef>
          </c:xVal>
          <c:yVal>
            <c:numRef>
              <c:f>'7389T W &amp; B'!$D$10</c:f>
              <c:numCache>
                <c:ptCount val="1"/>
                <c:pt idx="0">
                  <c:v>3098.8</c:v>
                </c:pt>
              </c:numCache>
            </c:numRef>
          </c:yVal>
          <c:smooth val="0"/>
        </c:ser>
        <c:ser>
          <c:idx val="2"/>
          <c:order val="2"/>
          <c:tx>
            <c:strRef>
              <c:f>'7389T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'7389T W &amp; B'!$H$12</c:f>
              <c:numCache>
                <c:ptCount val="1"/>
                <c:pt idx="0">
                  <c:v>41.889457591066204</c:v>
                </c:pt>
              </c:numCache>
            </c:numRef>
          </c:xVal>
          <c:yVal>
            <c:numRef>
              <c:f>'7389T W &amp; B'!$D$12</c:f>
              <c:numCache>
                <c:ptCount val="1"/>
                <c:pt idx="0">
                  <c:v>3008.8</c:v>
                </c:pt>
              </c:numCache>
            </c:numRef>
          </c:yVal>
          <c:smooth val="0"/>
        </c:ser>
        <c:axId val="17726399"/>
        <c:axId val="25319864"/>
      </c:scatterChart>
      <c:valAx>
        <c:axId val="17726399"/>
        <c:scaling>
          <c:orientation val="minMax"/>
          <c:max val="48"/>
          <c:min val="32"/>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5319864"/>
        <c:crossesAt val="1800"/>
        <c:crossBetween val="midCat"/>
        <c:dispUnits/>
        <c:majorUnit val="1"/>
        <c:minorUnit val="0.2"/>
      </c:valAx>
      <c:valAx>
        <c:axId val="25319864"/>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17726399"/>
        <c:crossesAt val="32"/>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6429T'!$B$2:$B$7</c:f>
              <c:numCache>
                <c:ptCount val="6"/>
                <c:pt idx="0">
                  <c:v>59.5</c:v>
                </c:pt>
                <c:pt idx="1">
                  <c:v>74</c:v>
                </c:pt>
                <c:pt idx="2">
                  <c:v>95.5</c:v>
                </c:pt>
                <c:pt idx="3">
                  <c:v>126</c:v>
                </c:pt>
                <c:pt idx="4">
                  <c:v>146</c:v>
                </c:pt>
                <c:pt idx="5">
                  <c:v>84.5</c:v>
                </c:pt>
              </c:numCache>
            </c:numRef>
          </c:xVal>
          <c:yVal>
            <c:numRef>
              <c:f>'Chart Data 6429T'!$A$2:$A$7</c:f>
              <c:numCache>
                <c:ptCount val="6"/>
                <c:pt idx="0">
                  <c:v>1800</c:v>
                </c:pt>
                <c:pt idx="1">
                  <c:v>2250</c:v>
                </c:pt>
                <c:pt idx="2">
                  <c:v>2700</c:v>
                </c:pt>
                <c:pt idx="3">
                  <c:v>3100</c:v>
                </c:pt>
                <c:pt idx="4">
                  <c:v>3100</c:v>
                </c:pt>
                <c:pt idx="5">
                  <c:v>1800</c:v>
                </c:pt>
              </c:numCache>
            </c:numRef>
          </c:yVal>
          <c:smooth val="0"/>
        </c:ser>
        <c:ser>
          <c:idx val="1"/>
          <c:order val="1"/>
          <c:tx>
            <c:strRef>
              <c:f>'6429T W &amp; B'!$A$10</c:f>
              <c:strCache>
                <c:ptCount val="1"/>
                <c:pt idx="0">
                  <c:v>Take-Off Weight and Moment (MAX RAMP 3110)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'6429T W &amp; B'!$E$10</c:f>
              <c:numCache>
                <c:ptCount val="1"/>
                <c:pt idx="0">
                  <c:v>0</c:v>
                </c:pt>
              </c:numCache>
            </c:numRef>
          </c:xVal>
          <c:yVal>
            <c:numRef>
              <c:f>'6429T W &amp; B'!$D$10</c:f>
              <c:numCache>
                <c:ptCount val="1"/>
                <c:pt idx="0">
                  <c:v>0</c:v>
                </c:pt>
              </c:numCache>
            </c:numRef>
          </c:yVal>
          <c:smooth val="0"/>
        </c:ser>
        <c:ser>
          <c:idx val="2"/>
          <c:order val="2"/>
          <c:tx>
            <c:strRef>
              <c:f>'6429T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'6429T W &amp; B'!$E$12</c:f>
              <c:numCache>
                <c:ptCount val="1"/>
                <c:pt idx="0">
                  <c:v>0</c:v>
                </c:pt>
              </c:numCache>
            </c:numRef>
          </c:xVal>
          <c:yVal>
            <c:numRef>
              <c:f>'6429T W &amp; B'!$D$12</c:f>
              <c:numCache>
                <c:ptCount val="1"/>
                <c:pt idx="0">
                  <c:v>0</c:v>
                </c:pt>
              </c:numCache>
            </c:numRef>
          </c:yVal>
          <c:smooth val="0"/>
        </c:ser>
        <c:axId val="26552185"/>
        <c:axId val="37643074"/>
      </c:scatterChart>
      <c:valAx>
        <c:axId val="26552185"/>
        <c:scaling>
          <c:orientation val="minMax"/>
          <c:max val="150"/>
          <c:min val="55"/>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37643074"/>
        <c:crossesAt val="1800"/>
        <c:crossBetween val="midCat"/>
        <c:dispUnits/>
        <c:majorUnit val="5"/>
        <c:minorUnit val="1"/>
      </c:valAx>
      <c:valAx>
        <c:axId val="37643074"/>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26552185"/>
        <c:crossesAt val="5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6429T'!$H$2:$H$16</c:f>
              <c:numCache>
                <c:ptCount val="15"/>
                <c:pt idx="0">
                  <c:v>33</c:v>
                </c:pt>
                <c:pt idx="1">
                  <c:v>33</c:v>
                </c:pt>
                <c:pt idx="2">
                  <c:v>35.5</c:v>
                </c:pt>
                <c:pt idx="3">
                  <c:v>40.8</c:v>
                </c:pt>
                <c:pt idx="4">
                  <c:v>46</c:v>
                </c:pt>
                <c:pt idx="5">
                  <c:v>46</c:v>
                </c:pt>
              </c:numCache>
            </c:numRef>
          </c:xVal>
          <c:yVal>
            <c:numRef>
              <c:f>'Chart Data 6429T'!$G$2:$G$16</c:f>
              <c:numCache>
                <c:ptCount val="15"/>
                <c:pt idx="0">
                  <c:v>1800</c:v>
                </c:pt>
                <c:pt idx="1">
                  <c:v>2250</c:v>
                </c:pt>
                <c:pt idx="2">
                  <c:v>2700</c:v>
                </c:pt>
                <c:pt idx="3">
                  <c:v>3100</c:v>
                </c:pt>
                <c:pt idx="4">
                  <c:v>3100</c:v>
                </c:pt>
                <c:pt idx="5">
                  <c:v>1800</c:v>
                </c:pt>
              </c:numCache>
            </c:numRef>
          </c:yVal>
          <c:smooth val="0"/>
        </c:ser>
        <c:ser>
          <c:idx val="1"/>
          <c:order val="1"/>
          <c:tx>
            <c:strRef>
              <c:f>'6429T W &amp; B'!$A$10</c:f>
              <c:strCache>
                <c:ptCount val="1"/>
                <c:pt idx="0">
                  <c:v>Take-Off Weight and Moment (MAX RAMP 3110)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'6429T W &amp; B'!$H$10</c:f>
              <c:numCache>
                <c:ptCount val="1"/>
                <c:pt idx="0">
                  <c:v>0</c:v>
                </c:pt>
              </c:numCache>
            </c:numRef>
          </c:xVal>
          <c:yVal>
            <c:numRef>
              <c:f>'6429T W &amp; B'!$D$10</c:f>
              <c:numCache>
                <c:ptCount val="1"/>
                <c:pt idx="0">
                  <c:v>0</c:v>
                </c:pt>
              </c:numCache>
            </c:numRef>
          </c:yVal>
          <c:smooth val="0"/>
        </c:ser>
        <c:ser>
          <c:idx val="2"/>
          <c:order val="2"/>
          <c:tx>
            <c:strRef>
              <c:f>'6429T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'6429T W &amp; B'!$H$12</c:f>
              <c:numCache>
                <c:ptCount val="1"/>
                <c:pt idx="0">
                  <c:v>0</c:v>
                </c:pt>
              </c:numCache>
            </c:numRef>
          </c:xVal>
          <c:yVal>
            <c:numRef>
              <c:f>'6429T W &amp; B'!$D$12</c:f>
              <c:numCache>
                <c:ptCount val="1"/>
                <c:pt idx="0">
                  <c:v>0</c:v>
                </c:pt>
              </c:numCache>
            </c:numRef>
          </c:yVal>
          <c:smooth val="0"/>
        </c:ser>
        <c:axId val="3243347"/>
        <c:axId val="29190124"/>
      </c:scatterChart>
      <c:valAx>
        <c:axId val="3243347"/>
        <c:scaling>
          <c:orientation val="minMax"/>
          <c:max val="48"/>
          <c:min val="32"/>
        </c:scaling>
        <c:axPos val="b"/>
        <c:title>
          <c:tx>
            <c:rich>
              <a:bodyPr vert="horz" rot="0" anchor="ctr"/>
              <a:lstStyle/>
              <a:p>
                <a:pPr algn="ctr">
                  <a:defRPr/>
                </a:pPr>
                <a:r>
                  <a:rPr lang="en-US" cap="none" sz="1000" b="1" i="0" u="none" baseline="0">
                    <a:latin typeface="Arial"/>
                    <a:ea typeface="Arial"/>
                    <a:cs typeface="Arial"/>
                  </a:rPr>
                  <a:t>Aircraft CG Location</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29190124"/>
        <c:crossesAt val="1800"/>
        <c:crossBetween val="midCat"/>
        <c:dispUnits/>
        <c:majorUnit val="1"/>
        <c:minorUnit val="0.2"/>
      </c:valAx>
      <c:valAx>
        <c:axId val="29190124"/>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3243347"/>
        <c:crossesAt val="32"/>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v>Normal Category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 6006C'!$B$2:$B$7</c:f>
              <c:numCache>
                <c:ptCount val="6"/>
                <c:pt idx="0">
                  <c:v>59.5</c:v>
                </c:pt>
                <c:pt idx="1">
                  <c:v>74</c:v>
                </c:pt>
                <c:pt idx="2">
                  <c:v>95.5</c:v>
                </c:pt>
                <c:pt idx="3">
                  <c:v>126</c:v>
                </c:pt>
                <c:pt idx="4">
                  <c:v>146</c:v>
                </c:pt>
                <c:pt idx="5">
                  <c:v>84.5</c:v>
                </c:pt>
              </c:numCache>
            </c:numRef>
          </c:xVal>
          <c:yVal>
            <c:numRef>
              <c:f>'Chart Data 6006C'!$A$2:$A$7</c:f>
              <c:numCache>
                <c:ptCount val="6"/>
                <c:pt idx="0">
                  <c:v>1800</c:v>
                </c:pt>
                <c:pt idx="1">
                  <c:v>2250</c:v>
                </c:pt>
                <c:pt idx="2">
                  <c:v>2700</c:v>
                </c:pt>
                <c:pt idx="3">
                  <c:v>3100</c:v>
                </c:pt>
                <c:pt idx="4">
                  <c:v>3100</c:v>
                </c:pt>
                <c:pt idx="5">
                  <c:v>1800</c:v>
                </c:pt>
              </c:numCache>
            </c:numRef>
          </c:yVal>
          <c:smooth val="0"/>
        </c:ser>
        <c:ser>
          <c:idx val="1"/>
          <c:order val="1"/>
          <c:tx>
            <c:strRef>
              <c:f>'6006C W &amp; B'!$A$10</c:f>
              <c:strCache>
                <c:ptCount val="1"/>
                <c:pt idx="0">
                  <c:v>Take-Off Weight and Moment (MAX RAMP 3112)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xVal>
            <c:numRef>
              <c:f>'6006C W &amp; B'!$E$10</c:f>
              <c:numCache>
                <c:ptCount val="1"/>
                <c:pt idx="0">
                  <c:v>0</c:v>
                </c:pt>
              </c:numCache>
            </c:numRef>
          </c:xVal>
          <c:yVal>
            <c:numRef>
              <c:f>'6006C W &amp; B'!$D$10</c:f>
              <c:numCache>
                <c:ptCount val="1"/>
                <c:pt idx="0">
                  <c:v>0</c:v>
                </c:pt>
              </c:numCache>
            </c:numRef>
          </c:yVal>
          <c:smooth val="0"/>
        </c:ser>
        <c:ser>
          <c:idx val="2"/>
          <c:order val="2"/>
          <c:tx>
            <c:strRef>
              <c:f>'6006C W &amp; B'!$A$12</c:f>
              <c:strCache>
                <c:ptCount val="1"/>
                <c:pt idx="0">
                  <c:v>Landing Weight and Moment</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0"/>
              <c:delete val="1"/>
            </c:dLbl>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Percent val="0"/>
          </c:dLbls>
          <c:xVal>
            <c:numRef>
              <c:f>'6006C W &amp; B'!$E$12</c:f>
              <c:numCache>
                <c:ptCount val="1"/>
                <c:pt idx="0">
                  <c:v>0</c:v>
                </c:pt>
              </c:numCache>
            </c:numRef>
          </c:xVal>
          <c:yVal>
            <c:numRef>
              <c:f>'6006C W &amp; B'!$D$12</c:f>
              <c:numCache>
                <c:ptCount val="1"/>
                <c:pt idx="0">
                  <c:v>0</c:v>
                </c:pt>
              </c:numCache>
            </c:numRef>
          </c:yVal>
          <c:smooth val="0"/>
        </c:ser>
        <c:axId val="61384525"/>
        <c:axId val="15589814"/>
      </c:scatterChart>
      <c:valAx>
        <c:axId val="61384525"/>
        <c:scaling>
          <c:orientation val="minMax"/>
          <c:max val="150"/>
          <c:min val="55"/>
        </c:scaling>
        <c:axPos val="b"/>
        <c:title>
          <c:tx>
            <c:rich>
              <a:bodyPr vert="horz" rot="0" anchor="ctr"/>
              <a:lstStyle/>
              <a:p>
                <a:pPr algn="ctr">
                  <a:defRPr/>
                </a:pPr>
                <a:r>
                  <a:rPr lang="en-US" cap="none" sz="1000" b="1" i="0" u="none" baseline="0">
                    <a:latin typeface="Arial"/>
                    <a:ea typeface="Arial"/>
                    <a:cs typeface="Arial"/>
                  </a:rPr>
                  <a:t>Loaded Aircraft Moment</a:t>
                </a:r>
              </a:p>
            </c:rich>
          </c:tx>
          <c:layout/>
          <c:overlay val="0"/>
          <c:spPr>
            <a:noFill/>
            <a:ln>
              <a:noFill/>
            </a:ln>
          </c:spPr>
        </c:title>
        <c:majorGridlines/>
        <c:minorGridlines/>
        <c:delete val="0"/>
        <c:numFmt formatCode="General" sourceLinked="1"/>
        <c:majorTickMark val="out"/>
        <c:minorTickMark val="in"/>
        <c:tickLblPos val="nextTo"/>
        <c:spPr>
          <a:ln w="12700">
            <a:solidFill/>
          </a:ln>
        </c:spPr>
        <c:crossAx val="15589814"/>
        <c:crossesAt val="1800"/>
        <c:crossBetween val="midCat"/>
        <c:dispUnits/>
        <c:majorUnit val="5"/>
        <c:minorUnit val="1"/>
      </c:valAx>
      <c:valAx>
        <c:axId val="15589814"/>
        <c:scaling>
          <c:orientation val="minMax"/>
          <c:max val="3200"/>
          <c:min val="1800"/>
        </c:scaling>
        <c:axPos val="l"/>
        <c:title>
          <c:tx>
            <c:rich>
              <a:bodyPr vert="horz" rot="-5400000" anchor="ctr"/>
              <a:lstStyle/>
              <a:p>
                <a:pPr algn="ctr">
                  <a:defRPr/>
                </a:pPr>
                <a:r>
                  <a:rPr lang="en-US" cap="none" sz="1000" b="1" i="0" u="none" baseline="0">
                    <a:latin typeface="Arial"/>
                    <a:ea typeface="Arial"/>
                    <a:cs typeface="Arial"/>
                  </a:rPr>
                  <a:t>Loaded Aircraft Weight</a:t>
                </a:r>
              </a:p>
            </c:rich>
          </c:tx>
          <c:layout/>
          <c:overlay val="0"/>
          <c:spPr>
            <a:noFill/>
            <a:ln>
              <a:noFill/>
            </a:ln>
          </c:spPr>
        </c:title>
        <c:majorGridlines/>
        <c:minorGridlines/>
        <c:delete val="0"/>
        <c:numFmt formatCode="General" sourceLinked="1"/>
        <c:majorTickMark val="out"/>
        <c:minorTickMark val="in"/>
        <c:tickLblPos val="nextTo"/>
        <c:spPr>
          <a:ln w="3175">
            <a:solidFill/>
          </a:ln>
        </c:spPr>
        <c:crossAx val="61384525"/>
        <c:crossesAt val="55"/>
        <c:crossBetween val="midCat"/>
        <c:dispUnits/>
        <c:majorUnit val="100"/>
        <c:minorUnit val="20"/>
      </c:valAx>
      <c:spPr>
        <a:solidFill>
          <a:srgbClr val="C0C0C0"/>
        </a:solidFill>
        <a:ln w="12700">
          <a:solidFill/>
        </a:ln>
      </c:spPr>
    </c:plotArea>
    <c:legend>
      <c:legendPos val="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8.xml"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20.xm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22.xm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0.33825</cdr:x>
      <cdr:y>0.005</cdr:y>
    </cdr:from>
    <cdr:to>
      <cdr:x>0.33825</cdr:x>
      <cdr:y>0.005</cdr:y>
    </cdr:to>
    <cdr:sp>
      <cdr:nvSpPr>
        <cdr:cNvPr id="1" name="TextBox 1"/>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0.32225</cdr:x>
      <cdr:y>0</cdr:y>
    </cdr:from>
    <cdr:to>
      <cdr:x>0.32225</cdr:x>
      <cdr:y>0</cdr:y>
    </cdr:to>
    <cdr:sp>
      <cdr:nvSpPr>
        <cdr:cNvPr id="1" name="TextBox 1"/>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2" name="Picture 2"/>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3" name="Picture 3"/>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542925</xdr:colOff>
      <xdr:row>14</xdr:row>
      <xdr:rowOff>123825</xdr:rowOff>
    </xdr:from>
    <xdr:to>
      <xdr:col>2</xdr:col>
      <xdr:colOff>9525</xdr:colOff>
      <xdr:row>15</xdr:row>
      <xdr:rowOff>142875</xdr:rowOff>
    </xdr:to>
    <xdr:pic>
      <xdr:nvPicPr>
        <xdr:cNvPr id="2" name="Picture 2"/>
        <xdr:cNvPicPr preferRelativeResize="1">
          <a:picLocks noChangeAspect="1"/>
        </xdr:cNvPicPr>
      </xdr:nvPicPr>
      <xdr:blipFill>
        <a:blip r:embed="rId2"/>
        <a:stretch>
          <a:fillRect/>
        </a:stretch>
      </xdr:blipFill>
      <xdr:spPr>
        <a:xfrm>
          <a:off x="3257550" y="3629025"/>
          <a:ext cx="152400" cy="180975"/>
        </a:xfrm>
        <a:prstGeom prst="rect">
          <a:avLst/>
        </a:prstGeom>
        <a:noFill/>
        <a:ln w="9525" cmpd="sng">
          <a:noFill/>
        </a:ln>
      </xdr:spPr>
    </xdr:pic>
    <xdr:clientData/>
  </xdr:twoCellAnchor>
  <xdr:twoCellAnchor editAs="oneCell">
    <xdr:from>
      <xdr:col>0</xdr:col>
      <xdr:colOff>247650</xdr:colOff>
      <xdr:row>15</xdr:row>
      <xdr:rowOff>152400</xdr:rowOff>
    </xdr:from>
    <xdr:to>
      <xdr:col>0</xdr:col>
      <xdr:colOff>409575</xdr:colOff>
      <xdr:row>16</xdr:row>
      <xdr:rowOff>152400</xdr:rowOff>
    </xdr:to>
    <xdr:pic>
      <xdr:nvPicPr>
        <xdr:cNvPr id="3" name="Picture 3"/>
        <xdr:cNvPicPr preferRelativeResize="1">
          <a:picLocks noChangeAspect="1"/>
        </xdr:cNvPicPr>
      </xdr:nvPicPr>
      <xdr:blipFill>
        <a:blip r:embed="rId3"/>
        <a:stretch>
          <a:fillRect/>
        </a:stretch>
      </xdr:blipFill>
      <xdr:spPr>
        <a:xfrm>
          <a:off x="247650" y="381952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438150</xdr:colOff>
      <xdr:row>3</xdr:row>
      <xdr:rowOff>228600</xdr:rowOff>
    </xdr:from>
    <xdr:to>
      <xdr:col>11</xdr:col>
      <xdr:colOff>590550</xdr:colOff>
      <xdr:row>3</xdr:row>
      <xdr:rowOff>409575</xdr:rowOff>
    </xdr:to>
    <xdr:pic>
      <xdr:nvPicPr>
        <xdr:cNvPr id="5" name="Picture 6"/>
        <xdr:cNvPicPr preferRelativeResize="1">
          <a:picLocks noChangeAspect="1"/>
        </xdr:cNvPicPr>
      </xdr:nvPicPr>
      <xdr:blipFill>
        <a:blip r:embed="rId2"/>
        <a:stretch>
          <a:fillRect/>
        </a:stretch>
      </xdr:blipFill>
      <xdr:spPr>
        <a:xfrm>
          <a:off x="9839325" y="1285875"/>
          <a:ext cx="152400" cy="180975"/>
        </a:xfrm>
        <a:prstGeom prst="rect">
          <a:avLst/>
        </a:prstGeom>
        <a:noFill/>
        <a:ln w="9525" cmpd="sng">
          <a:noFill/>
        </a:ln>
      </xdr:spPr>
    </xdr:pic>
    <xdr:clientData/>
  </xdr:twoCellAnchor>
  <xdr:twoCellAnchor editAs="oneCell">
    <xdr:from>
      <xdr:col>6</xdr:col>
      <xdr:colOff>438150</xdr:colOff>
      <xdr:row>3</xdr:row>
      <xdr:rowOff>419100</xdr:rowOff>
    </xdr:from>
    <xdr:to>
      <xdr:col>6</xdr:col>
      <xdr:colOff>600075</xdr:colOff>
      <xdr:row>4</xdr:row>
      <xdr:rowOff>104775</xdr:rowOff>
    </xdr:to>
    <xdr:pic>
      <xdr:nvPicPr>
        <xdr:cNvPr id="6" name="Picture 7"/>
        <xdr:cNvPicPr preferRelativeResize="1">
          <a:picLocks noChangeAspect="1"/>
        </xdr:cNvPicPr>
      </xdr:nvPicPr>
      <xdr:blipFill>
        <a:blip r:embed="rId3"/>
        <a:stretch>
          <a:fillRect/>
        </a:stretch>
      </xdr:blipFill>
      <xdr:spPr>
        <a:xfrm>
          <a:off x="6791325" y="1476375"/>
          <a:ext cx="161925" cy="1619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0.33825</cdr:x>
      <cdr:y>0.005</cdr:y>
    </cdr:from>
    <cdr:to>
      <cdr:x>0.33825</cdr:x>
      <cdr:y>0.005</cdr:y>
    </cdr:to>
    <cdr:sp>
      <cdr:nvSpPr>
        <cdr:cNvPr id="1" name="TextBox 1"/>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0.32225</cdr:x>
      <cdr:y>0</cdr:y>
    </cdr:from>
    <cdr:to>
      <cdr:x>0.32225</cdr:x>
      <cdr:y>0</cdr:y>
    </cdr:to>
    <cdr:sp>
      <cdr:nvSpPr>
        <cdr:cNvPr id="1" name="TextBox 1"/>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2" name="Picture 2"/>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3" name="Picture 3"/>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561975</xdr:colOff>
      <xdr:row>14</xdr:row>
      <xdr:rowOff>114300</xdr:rowOff>
    </xdr:from>
    <xdr:to>
      <xdr:col>2</xdr:col>
      <xdr:colOff>28575</xdr:colOff>
      <xdr:row>15</xdr:row>
      <xdr:rowOff>133350</xdr:rowOff>
    </xdr:to>
    <xdr:pic>
      <xdr:nvPicPr>
        <xdr:cNvPr id="2" name="Picture 2"/>
        <xdr:cNvPicPr preferRelativeResize="1">
          <a:picLocks noChangeAspect="1"/>
        </xdr:cNvPicPr>
      </xdr:nvPicPr>
      <xdr:blipFill>
        <a:blip r:embed="rId2"/>
        <a:stretch>
          <a:fillRect/>
        </a:stretch>
      </xdr:blipFill>
      <xdr:spPr>
        <a:xfrm>
          <a:off x="3276600" y="3619500"/>
          <a:ext cx="152400" cy="180975"/>
        </a:xfrm>
        <a:prstGeom prst="rect">
          <a:avLst/>
        </a:prstGeom>
        <a:noFill/>
        <a:ln w="9525" cmpd="sng">
          <a:noFill/>
        </a:ln>
      </xdr:spPr>
    </xdr:pic>
    <xdr:clientData/>
  </xdr:twoCellAnchor>
  <xdr:twoCellAnchor editAs="oneCell">
    <xdr:from>
      <xdr:col>0</xdr:col>
      <xdr:colOff>247650</xdr:colOff>
      <xdr:row>16</xdr:row>
      <xdr:rowOff>9525</xdr:rowOff>
    </xdr:from>
    <xdr:to>
      <xdr:col>0</xdr:col>
      <xdr:colOff>409575</xdr:colOff>
      <xdr:row>17</xdr:row>
      <xdr:rowOff>9525</xdr:rowOff>
    </xdr:to>
    <xdr:pic>
      <xdr:nvPicPr>
        <xdr:cNvPr id="3" name="Picture 3"/>
        <xdr:cNvPicPr preferRelativeResize="1">
          <a:picLocks noChangeAspect="1"/>
        </xdr:cNvPicPr>
      </xdr:nvPicPr>
      <xdr:blipFill>
        <a:blip r:embed="rId3"/>
        <a:stretch>
          <a:fillRect/>
        </a:stretch>
      </xdr:blipFill>
      <xdr:spPr>
        <a:xfrm>
          <a:off x="247650"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428625</xdr:colOff>
      <xdr:row>3</xdr:row>
      <xdr:rowOff>228600</xdr:rowOff>
    </xdr:from>
    <xdr:to>
      <xdr:col>11</xdr:col>
      <xdr:colOff>581025</xdr:colOff>
      <xdr:row>3</xdr:row>
      <xdr:rowOff>409575</xdr:rowOff>
    </xdr:to>
    <xdr:pic>
      <xdr:nvPicPr>
        <xdr:cNvPr id="5" name="Picture 6"/>
        <xdr:cNvPicPr preferRelativeResize="1">
          <a:picLocks noChangeAspect="1"/>
        </xdr:cNvPicPr>
      </xdr:nvPicPr>
      <xdr:blipFill>
        <a:blip r:embed="rId2"/>
        <a:stretch>
          <a:fillRect/>
        </a:stretch>
      </xdr:blipFill>
      <xdr:spPr>
        <a:xfrm>
          <a:off x="9829800" y="1285875"/>
          <a:ext cx="152400" cy="180975"/>
        </a:xfrm>
        <a:prstGeom prst="rect">
          <a:avLst/>
        </a:prstGeom>
        <a:noFill/>
        <a:ln w="9525" cmpd="sng">
          <a:noFill/>
        </a:ln>
      </xdr:spPr>
    </xdr:pic>
    <xdr:clientData/>
  </xdr:twoCellAnchor>
  <xdr:twoCellAnchor editAs="oneCell">
    <xdr:from>
      <xdr:col>6</xdr:col>
      <xdr:colOff>438150</xdr:colOff>
      <xdr:row>3</xdr:row>
      <xdr:rowOff>428625</xdr:rowOff>
    </xdr:from>
    <xdr:to>
      <xdr:col>6</xdr:col>
      <xdr:colOff>600075</xdr:colOff>
      <xdr:row>4</xdr:row>
      <xdr:rowOff>114300</xdr:rowOff>
    </xdr:to>
    <xdr:pic>
      <xdr:nvPicPr>
        <xdr:cNvPr id="6" name="Picture 7"/>
        <xdr:cNvPicPr preferRelativeResize="1">
          <a:picLocks noChangeAspect="1"/>
        </xdr:cNvPicPr>
      </xdr:nvPicPr>
      <xdr:blipFill>
        <a:blip r:embed="rId3"/>
        <a:stretch>
          <a:fillRect/>
        </a:stretch>
      </xdr:blipFill>
      <xdr:spPr>
        <a:xfrm>
          <a:off x="6791325" y="1485900"/>
          <a:ext cx="161925" cy="161925"/>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14</xdr:row>
      <xdr:rowOff>123825</xdr:rowOff>
    </xdr:from>
    <xdr:to>
      <xdr:col>2</xdr:col>
      <xdr:colOff>352425</xdr:colOff>
      <xdr:row>15</xdr:row>
      <xdr:rowOff>142875</xdr:rowOff>
    </xdr:to>
    <xdr:pic>
      <xdr:nvPicPr>
        <xdr:cNvPr id="2" name="Picture 2"/>
        <xdr:cNvPicPr preferRelativeResize="1">
          <a:picLocks noChangeAspect="1"/>
        </xdr:cNvPicPr>
      </xdr:nvPicPr>
      <xdr:blipFill>
        <a:blip r:embed="rId2"/>
        <a:stretch>
          <a:fillRect/>
        </a:stretch>
      </xdr:blipFill>
      <xdr:spPr>
        <a:xfrm>
          <a:off x="3600450" y="3629025"/>
          <a:ext cx="152400" cy="180975"/>
        </a:xfrm>
        <a:prstGeom prst="rect">
          <a:avLst/>
        </a:prstGeom>
        <a:noFill/>
        <a:ln w="9525" cmpd="sng">
          <a:noFill/>
        </a:ln>
      </xdr:spPr>
    </xdr:pic>
    <xdr:clientData/>
  </xdr:twoCellAnchor>
  <xdr:twoCellAnchor editAs="oneCell">
    <xdr:from>
      <xdr:col>0</xdr:col>
      <xdr:colOff>1504950</xdr:colOff>
      <xdr:row>16</xdr:row>
      <xdr:rowOff>0</xdr:rowOff>
    </xdr:from>
    <xdr:to>
      <xdr:col>0</xdr:col>
      <xdr:colOff>1666875</xdr:colOff>
      <xdr:row>17</xdr:row>
      <xdr:rowOff>0</xdr:rowOff>
    </xdr:to>
    <xdr:pic>
      <xdr:nvPicPr>
        <xdr:cNvPr id="3" name="Picture 3"/>
        <xdr:cNvPicPr preferRelativeResize="1">
          <a:picLocks noChangeAspect="1"/>
        </xdr:cNvPicPr>
      </xdr:nvPicPr>
      <xdr:blipFill>
        <a:blip r:embed="rId3"/>
        <a:stretch>
          <a:fillRect/>
        </a:stretch>
      </xdr:blipFill>
      <xdr:spPr>
        <a:xfrm>
          <a:off x="1504950" y="3829050"/>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8</xdr:col>
      <xdr:colOff>495300</xdr:colOff>
      <xdr:row>3</xdr:row>
      <xdr:rowOff>438150</xdr:rowOff>
    </xdr:from>
    <xdr:to>
      <xdr:col>9</xdr:col>
      <xdr:colOff>47625</xdr:colOff>
      <xdr:row>4</xdr:row>
      <xdr:rowOff>123825</xdr:rowOff>
    </xdr:to>
    <xdr:pic>
      <xdr:nvPicPr>
        <xdr:cNvPr id="5" name="Picture 6"/>
        <xdr:cNvPicPr preferRelativeResize="1">
          <a:picLocks noChangeAspect="1"/>
        </xdr:cNvPicPr>
      </xdr:nvPicPr>
      <xdr:blipFill>
        <a:blip r:embed="rId3"/>
        <a:stretch>
          <a:fillRect/>
        </a:stretch>
      </xdr:blipFill>
      <xdr:spPr>
        <a:xfrm>
          <a:off x="8067675" y="1495425"/>
          <a:ext cx="161925" cy="161925"/>
        </a:xfrm>
        <a:prstGeom prst="rect">
          <a:avLst/>
        </a:prstGeom>
        <a:noFill/>
        <a:ln w="9525" cmpd="sng">
          <a:noFill/>
        </a:ln>
      </xdr:spPr>
    </xdr:pic>
    <xdr:clientData/>
  </xdr:twoCellAnchor>
  <xdr:twoCellAnchor editAs="oneCell">
    <xdr:from>
      <xdr:col>12</xdr:col>
      <xdr:colOff>133350</xdr:colOff>
      <xdr:row>3</xdr:row>
      <xdr:rowOff>219075</xdr:rowOff>
    </xdr:from>
    <xdr:to>
      <xdr:col>12</xdr:col>
      <xdr:colOff>285750</xdr:colOff>
      <xdr:row>3</xdr:row>
      <xdr:rowOff>400050</xdr:rowOff>
    </xdr:to>
    <xdr:pic>
      <xdr:nvPicPr>
        <xdr:cNvPr id="6" name="Picture 7"/>
        <xdr:cNvPicPr preferRelativeResize="1">
          <a:picLocks noChangeAspect="1"/>
        </xdr:cNvPicPr>
      </xdr:nvPicPr>
      <xdr:blipFill>
        <a:blip r:embed="rId2"/>
        <a:stretch>
          <a:fillRect/>
        </a:stretch>
      </xdr:blipFill>
      <xdr:spPr>
        <a:xfrm>
          <a:off x="10144125" y="1276350"/>
          <a:ext cx="152400" cy="18097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14</xdr:row>
      <xdr:rowOff>123825</xdr:rowOff>
    </xdr:from>
    <xdr:to>
      <xdr:col>2</xdr:col>
      <xdr:colOff>352425</xdr:colOff>
      <xdr:row>15</xdr:row>
      <xdr:rowOff>142875</xdr:rowOff>
    </xdr:to>
    <xdr:pic>
      <xdr:nvPicPr>
        <xdr:cNvPr id="2" name="Picture 2"/>
        <xdr:cNvPicPr preferRelativeResize="1">
          <a:picLocks noChangeAspect="1"/>
        </xdr:cNvPicPr>
      </xdr:nvPicPr>
      <xdr:blipFill>
        <a:blip r:embed="rId2"/>
        <a:stretch>
          <a:fillRect/>
        </a:stretch>
      </xdr:blipFill>
      <xdr:spPr>
        <a:xfrm>
          <a:off x="3600450" y="3629025"/>
          <a:ext cx="152400" cy="180975"/>
        </a:xfrm>
        <a:prstGeom prst="rect">
          <a:avLst/>
        </a:prstGeom>
        <a:noFill/>
        <a:ln w="9525" cmpd="sng">
          <a:noFill/>
        </a:ln>
      </xdr:spPr>
    </xdr:pic>
    <xdr:clientData/>
  </xdr:twoCellAnchor>
  <xdr:twoCellAnchor editAs="oneCell">
    <xdr:from>
      <xdr:col>0</xdr:col>
      <xdr:colOff>1495425</xdr:colOff>
      <xdr:row>16</xdr:row>
      <xdr:rowOff>0</xdr:rowOff>
    </xdr:from>
    <xdr:to>
      <xdr:col>0</xdr:col>
      <xdr:colOff>1657350</xdr:colOff>
      <xdr:row>17</xdr:row>
      <xdr:rowOff>0</xdr:rowOff>
    </xdr:to>
    <xdr:pic>
      <xdr:nvPicPr>
        <xdr:cNvPr id="3" name="Picture 3"/>
        <xdr:cNvPicPr preferRelativeResize="1">
          <a:picLocks noChangeAspect="1"/>
        </xdr:cNvPicPr>
      </xdr:nvPicPr>
      <xdr:blipFill>
        <a:blip r:embed="rId3"/>
        <a:stretch>
          <a:fillRect/>
        </a:stretch>
      </xdr:blipFill>
      <xdr:spPr>
        <a:xfrm>
          <a:off x="1495425" y="3829050"/>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123825</xdr:colOff>
      <xdr:row>3</xdr:row>
      <xdr:rowOff>219075</xdr:rowOff>
    </xdr:from>
    <xdr:to>
      <xdr:col>12</xdr:col>
      <xdr:colOff>276225</xdr:colOff>
      <xdr:row>3</xdr:row>
      <xdr:rowOff>400050</xdr:rowOff>
    </xdr:to>
    <xdr:pic>
      <xdr:nvPicPr>
        <xdr:cNvPr id="5" name="Picture 6"/>
        <xdr:cNvPicPr preferRelativeResize="1">
          <a:picLocks noChangeAspect="1"/>
        </xdr:cNvPicPr>
      </xdr:nvPicPr>
      <xdr:blipFill>
        <a:blip r:embed="rId2"/>
        <a:stretch>
          <a:fillRect/>
        </a:stretch>
      </xdr:blipFill>
      <xdr:spPr>
        <a:xfrm>
          <a:off x="10134600" y="1276350"/>
          <a:ext cx="152400" cy="180975"/>
        </a:xfrm>
        <a:prstGeom prst="rect">
          <a:avLst/>
        </a:prstGeom>
        <a:noFill/>
        <a:ln w="9525" cmpd="sng">
          <a:noFill/>
        </a:ln>
      </xdr:spPr>
    </xdr:pic>
    <xdr:clientData/>
  </xdr:twoCellAnchor>
  <xdr:twoCellAnchor editAs="oneCell">
    <xdr:from>
      <xdr:col>8</xdr:col>
      <xdr:colOff>495300</xdr:colOff>
      <xdr:row>3</xdr:row>
      <xdr:rowOff>428625</xdr:rowOff>
    </xdr:from>
    <xdr:to>
      <xdr:col>9</xdr:col>
      <xdr:colOff>47625</xdr:colOff>
      <xdr:row>4</xdr:row>
      <xdr:rowOff>114300</xdr:rowOff>
    </xdr:to>
    <xdr:pic>
      <xdr:nvPicPr>
        <xdr:cNvPr id="6" name="Picture 7"/>
        <xdr:cNvPicPr preferRelativeResize="1">
          <a:picLocks noChangeAspect="1"/>
        </xdr:cNvPicPr>
      </xdr:nvPicPr>
      <xdr:blipFill>
        <a:blip r:embed="rId3"/>
        <a:stretch>
          <a:fillRect/>
        </a:stretch>
      </xdr:blipFill>
      <xdr:spPr>
        <a:xfrm>
          <a:off x="8067675" y="1485900"/>
          <a:ext cx="161925" cy="161925"/>
        </a:xfrm>
        <a:prstGeom prst="rect">
          <a:avLst/>
        </a:prstGeom>
        <a:noFill/>
        <a:ln w="9525" cmpd="sng">
          <a:noFill/>
        </a:ln>
      </xdr:spPr>
    </xdr:pic>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180975</xdr:colOff>
      <xdr:row>14</xdr:row>
      <xdr:rowOff>123825</xdr:rowOff>
    </xdr:from>
    <xdr:to>
      <xdr:col>2</xdr:col>
      <xdr:colOff>333375</xdr:colOff>
      <xdr:row>15</xdr:row>
      <xdr:rowOff>142875</xdr:rowOff>
    </xdr:to>
    <xdr:pic>
      <xdr:nvPicPr>
        <xdr:cNvPr id="2" name="Picture 2"/>
        <xdr:cNvPicPr preferRelativeResize="1">
          <a:picLocks noChangeAspect="1"/>
        </xdr:cNvPicPr>
      </xdr:nvPicPr>
      <xdr:blipFill>
        <a:blip r:embed="rId2"/>
        <a:stretch>
          <a:fillRect/>
        </a:stretch>
      </xdr:blipFill>
      <xdr:spPr>
        <a:xfrm>
          <a:off x="3581400" y="3629025"/>
          <a:ext cx="152400" cy="180975"/>
        </a:xfrm>
        <a:prstGeom prst="rect">
          <a:avLst/>
        </a:prstGeom>
        <a:noFill/>
        <a:ln w="9525" cmpd="sng">
          <a:noFill/>
        </a:ln>
      </xdr:spPr>
    </xdr:pic>
    <xdr:clientData/>
  </xdr:twoCellAnchor>
  <xdr:twoCellAnchor editAs="oneCell">
    <xdr:from>
      <xdr:col>0</xdr:col>
      <xdr:colOff>1504950</xdr:colOff>
      <xdr:row>16</xdr:row>
      <xdr:rowOff>9525</xdr:rowOff>
    </xdr:from>
    <xdr:to>
      <xdr:col>0</xdr:col>
      <xdr:colOff>1666875</xdr:colOff>
      <xdr:row>17</xdr:row>
      <xdr:rowOff>9525</xdr:rowOff>
    </xdr:to>
    <xdr:pic>
      <xdr:nvPicPr>
        <xdr:cNvPr id="3" name="Picture 3"/>
        <xdr:cNvPicPr preferRelativeResize="1">
          <a:picLocks noChangeAspect="1"/>
        </xdr:cNvPicPr>
      </xdr:nvPicPr>
      <xdr:blipFill>
        <a:blip r:embed="rId3"/>
        <a:stretch>
          <a:fillRect/>
        </a:stretch>
      </xdr:blipFill>
      <xdr:spPr>
        <a:xfrm>
          <a:off x="1504950"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133350</xdr:colOff>
      <xdr:row>3</xdr:row>
      <xdr:rowOff>219075</xdr:rowOff>
    </xdr:from>
    <xdr:to>
      <xdr:col>12</xdr:col>
      <xdr:colOff>285750</xdr:colOff>
      <xdr:row>3</xdr:row>
      <xdr:rowOff>400050</xdr:rowOff>
    </xdr:to>
    <xdr:pic>
      <xdr:nvPicPr>
        <xdr:cNvPr id="5" name="Picture 6"/>
        <xdr:cNvPicPr preferRelativeResize="1">
          <a:picLocks noChangeAspect="1"/>
        </xdr:cNvPicPr>
      </xdr:nvPicPr>
      <xdr:blipFill>
        <a:blip r:embed="rId2"/>
        <a:stretch>
          <a:fillRect/>
        </a:stretch>
      </xdr:blipFill>
      <xdr:spPr>
        <a:xfrm>
          <a:off x="10144125" y="1276350"/>
          <a:ext cx="152400" cy="180975"/>
        </a:xfrm>
        <a:prstGeom prst="rect">
          <a:avLst/>
        </a:prstGeom>
        <a:noFill/>
        <a:ln w="9525" cmpd="sng">
          <a:noFill/>
        </a:ln>
      </xdr:spPr>
    </xdr:pic>
    <xdr:clientData/>
  </xdr:twoCellAnchor>
  <xdr:twoCellAnchor editAs="oneCell">
    <xdr:from>
      <xdr:col>8</xdr:col>
      <xdr:colOff>476250</xdr:colOff>
      <xdr:row>3</xdr:row>
      <xdr:rowOff>419100</xdr:rowOff>
    </xdr:from>
    <xdr:to>
      <xdr:col>9</xdr:col>
      <xdr:colOff>28575</xdr:colOff>
      <xdr:row>4</xdr:row>
      <xdr:rowOff>104775</xdr:rowOff>
    </xdr:to>
    <xdr:pic>
      <xdr:nvPicPr>
        <xdr:cNvPr id="6" name="Picture 7"/>
        <xdr:cNvPicPr preferRelativeResize="1">
          <a:picLocks noChangeAspect="1"/>
        </xdr:cNvPicPr>
      </xdr:nvPicPr>
      <xdr:blipFill>
        <a:blip r:embed="rId3"/>
        <a:stretch>
          <a:fillRect/>
        </a:stretch>
      </xdr:blipFill>
      <xdr:spPr>
        <a:xfrm>
          <a:off x="8048625" y="1476375"/>
          <a:ext cx="161925" cy="161925"/>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6212"/>
            <a:gd name="adj2" fmla="val 499967"/>
            <a:gd name="adj3" fmla="val 66995"/>
            <a:gd name="adj4" fmla="val 4699"/>
            <a:gd name="adj5" fmla="val 57768"/>
            <a:gd name="adj6" fmla="val 4699"/>
            <a:gd name="adj7" fmla="val -44490"/>
            <a:gd name="adj8" fmla="val 143226"/>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0.33825</cdr:x>
      <cdr:y>0.005</cdr:y>
    </cdr:from>
    <cdr:to>
      <cdr:x>0.33825</cdr:x>
      <cdr:y>0.005</cdr:y>
    </cdr:to>
    <cdr:sp>
      <cdr:nvSpPr>
        <cdr:cNvPr id="2"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0.8175</cdr:y>
    </cdr:from>
    <cdr:to>
      <cdr:x>0.3015</cdr:x>
      <cdr:y>0.8175</cdr:y>
    </cdr:to>
    <cdr:sp>
      <cdr:nvSpPr>
        <cdr:cNvPr id="1" name="AutoShape 1"/>
        <cdr:cNvSpPr>
          <a:spLocks/>
        </cdr:cNvSpPr>
      </cdr:nvSpPr>
      <cdr:spPr>
        <a:xfrm>
          <a:off x="1905000" y="4838700"/>
          <a:ext cx="0" cy="0"/>
        </a:xfrm>
        <a:prstGeom prst="borderCallout2">
          <a:avLst>
            <a:gd name="adj1" fmla="val -58736"/>
            <a:gd name="adj2" fmla="val 4546"/>
            <a:gd name="adj3" fmla="val -57768"/>
            <a:gd name="adj4" fmla="val 4643"/>
            <a:gd name="adj5" fmla="val -57768"/>
            <a:gd name="adj6" fmla="val 4643"/>
            <a:gd name="adj7" fmla="val -173930"/>
            <a:gd name="adj8" fmla="val -761898"/>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0.32225</cdr:x>
      <cdr:y>0</cdr:y>
    </cdr:from>
    <cdr:to>
      <cdr:x>0.32225</cdr:x>
      <cdr:y>0</cdr:y>
    </cdr:to>
    <cdr:sp>
      <cdr:nvSpPr>
        <cdr:cNvPr id="2"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3"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4"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180975</xdr:colOff>
      <xdr:row>14</xdr:row>
      <xdr:rowOff>114300</xdr:rowOff>
    </xdr:from>
    <xdr:to>
      <xdr:col>2</xdr:col>
      <xdr:colOff>333375</xdr:colOff>
      <xdr:row>15</xdr:row>
      <xdr:rowOff>133350</xdr:rowOff>
    </xdr:to>
    <xdr:pic>
      <xdr:nvPicPr>
        <xdr:cNvPr id="2" name="Picture 2"/>
        <xdr:cNvPicPr preferRelativeResize="1">
          <a:picLocks noChangeAspect="1"/>
        </xdr:cNvPicPr>
      </xdr:nvPicPr>
      <xdr:blipFill>
        <a:blip r:embed="rId2"/>
        <a:stretch>
          <a:fillRect/>
        </a:stretch>
      </xdr:blipFill>
      <xdr:spPr>
        <a:xfrm>
          <a:off x="3581400" y="3619500"/>
          <a:ext cx="152400" cy="180975"/>
        </a:xfrm>
        <a:prstGeom prst="rect">
          <a:avLst/>
        </a:prstGeom>
        <a:noFill/>
        <a:ln w="9525" cmpd="sng">
          <a:noFill/>
        </a:ln>
      </xdr:spPr>
    </xdr:pic>
    <xdr:clientData/>
  </xdr:twoCellAnchor>
  <xdr:twoCellAnchor editAs="oneCell">
    <xdr:from>
      <xdr:col>0</xdr:col>
      <xdr:colOff>1466850</xdr:colOff>
      <xdr:row>16</xdr:row>
      <xdr:rowOff>0</xdr:rowOff>
    </xdr:from>
    <xdr:to>
      <xdr:col>0</xdr:col>
      <xdr:colOff>1628775</xdr:colOff>
      <xdr:row>17</xdr:row>
      <xdr:rowOff>0</xdr:rowOff>
    </xdr:to>
    <xdr:pic>
      <xdr:nvPicPr>
        <xdr:cNvPr id="3" name="Picture 3"/>
        <xdr:cNvPicPr preferRelativeResize="1">
          <a:picLocks noChangeAspect="1"/>
        </xdr:cNvPicPr>
      </xdr:nvPicPr>
      <xdr:blipFill>
        <a:blip r:embed="rId3"/>
        <a:stretch>
          <a:fillRect/>
        </a:stretch>
      </xdr:blipFill>
      <xdr:spPr>
        <a:xfrm>
          <a:off x="1466850" y="3829050"/>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133350</xdr:colOff>
      <xdr:row>3</xdr:row>
      <xdr:rowOff>219075</xdr:rowOff>
    </xdr:from>
    <xdr:to>
      <xdr:col>12</xdr:col>
      <xdr:colOff>285750</xdr:colOff>
      <xdr:row>3</xdr:row>
      <xdr:rowOff>400050</xdr:rowOff>
    </xdr:to>
    <xdr:pic>
      <xdr:nvPicPr>
        <xdr:cNvPr id="5" name="Picture 19"/>
        <xdr:cNvPicPr preferRelativeResize="1">
          <a:picLocks noChangeAspect="1"/>
        </xdr:cNvPicPr>
      </xdr:nvPicPr>
      <xdr:blipFill>
        <a:blip r:embed="rId2"/>
        <a:stretch>
          <a:fillRect/>
        </a:stretch>
      </xdr:blipFill>
      <xdr:spPr>
        <a:xfrm>
          <a:off x="10144125" y="1276350"/>
          <a:ext cx="152400" cy="180975"/>
        </a:xfrm>
        <a:prstGeom prst="rect">
          <a:avLst/>
        </a:prstGeom>
        <a:noFill/>
        <a:ln w="9525" cmpd="sng">
          <a:noFill/>
        </a:ln>
      </xdr:spPr>
    </xdr:pic>
    <xdr:clientData/>
  </xdr:twoCellAnchor>
  <xdr:twoCellAnchor editAs="oneCell">
    <xdr:from>
      <xdr:col>8</xdr:col>
      <xdr:colOff>476250</xdr:colOff>
      <xdr:row>3</xdr:row>
      <xdr:rowOff>428625</xdr:rowOff>
    </xdr:from>
    <xdr:to>
      <xdr:col>9</xdr:col>
      <xdr:colOff>28575</xdr:colOff>
      <xdr:row>4</xdr:row>
      <xdr:rowOff>114300</xdr:rowOff>
    </xdr:to>
    <xdr:pic>
      <xdr:nvPicPr>
        <xdr:cNvPr id="6" name="Picture 20"/>
        <xdr:cNvPicPr preferRelativeResize="1">
          <a:picLocks noChangeAspect="1"/>
        </xdr:cNvPicPr>
      </xdr:nvPicPr>
      <xdr:blipFill>
        <a:blip r:embed="rId3"/>
        <a:stretch>
          <a:fillRect/>
        </a:stretch>
      </xdr:blipFill>
      <xdr:spPr>
        <a:xfrm>
          <a:off x="8048625" y="1485900"/>
          <a:ext cx="161925" cy="161925"/>
        </a:xfrm>
        <a:prstGeom prst="rect">
          <a:avLst/>
        </a:prstGeom>
        <a:noFill/>
        <a:ln w="9525" cmpd="sng">
          <a:noFill/>
        </a:ln>
      </xdr:spPr>
    </xdr:pic>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0.277</cdr:x>
      <cdr:y>0.59125</cdr:y>
    </cdr:to>
    <cdr:sp>
      <cdr:nvSpPr>
        <cdr:cNvPr id="1" name="AutoShape 2"/>
        <cdr:cNvSpPr>
          <a:spLocks/>
        </cdr:cNvSpPr>
      </cdr:nvSpPr>
      <cdr:spPr>
        <a:xfrm>
          <a:off x="762000" y="3314700"/>
          <a:ext cx="990600" cy="20955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0.88575</cdr:x>
      <cdr:y>0.6515</cdr:y>
    </cdr:to>
    <cdr:sp>
      <cdr:nvSpPr>
        <cdr:cNvPr id="2" name="AutoShape 3"/>
        <cdr:cNvSpPr>
          <a:spLocks/>
        </cdr:cNvSpPr>
      </cdr:nvSpPr>
      <cdr:spPr>
        <a:xfrm>
          <a:off x="4495800" y="3676650"/>
          <a:ext cx="1104900" cy="20955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0.45625</cdr:x>
      <cdr:y>0.85275</cdr:y>
    </cdr:to>
    <cdr:sp>
      <cdr:nvSpPr>
        <cdr:cNvPr id="1" name="AutoShape 1"/>
        <cdr:cNvSpPr>
          <a:spLocks/>
        </cdr:cNvSpPr>
      </cdr:nvSpPr>
      <cdr:spPr>
        <a:xfrm>
          <a:off x="1895475" y="4838700"/>
          <a:ext cx="990600" cy="20955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0.9005</cdr:x>
      <cdr:y>0.85125</cdr:y>
    </cdr:to>
    <cdr:sp>
      <cdr:nvSpPr>
        <cdr:cNvPr id="2" name="AutoShape 2"/>
        <cdr:cNvSpPr>
          <a:spLocks/>
        </cdr:cNvSpPr>
      </cdr:nvSpPr>
      <cdr:spPr>
        <a:xfrm>
          <a:off x="4695825" y="4838700"/>
          <a:ext cx="1009650" cy="200025"/>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0.23125</cdr:x>
      <cdr:y>0.044</cdr:y>
    </cdr:from>
    <cdr:to>
      <cdr:x>0.25675</cdr:x>
      <cdr:y>0.07125</cdr:y>
    </cdr:to>
    <cdr:pic>
      <cdr:nvPicPr>
        <cdr:cNvPr id="3" name="Picture 5"/>
        <cdr:cNvPicPr preferRelativeResize="1">
          <a:picLocks noChangeAspect="1"/>
        </cdr:cNvPicPr>
      </cdr:nvPicPr>
      <cdr:blipFill>
        <a:blip r:embed="rId1"/>
        <a:stretch>
          <a:fillRect/>
        </a:stretch>
      </cdr:blipFill>
      <cdr:spPr>
        <a:xfrm>
          <a:off x="1466850" y="257175"/>
          <a:ext cx="161925" cy="1619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180975</xdr:colOff>
      <xdr:row>14</xdr:row>
      <xdr:rowOff>114300</xdr:rowOff>
    </xdr:from>
    <xdr:to>
      <xdr:col>2</xdr:col>
      <xdr:colOff>333375</xdr:colOff>
      <xdr:row>15</xdr:row>
      <xdr:rowOff>133350</xdr:rowOff>
    </xdr:to>
    <xdr:pic>
      <xdr:nvPicPr>
        <xdr:cNvPr id="2" name="Picture 2"/>
        <xdr:cNvPicPr preferRelativeResize="1">
          <a:picLocks noChangeAspect="1"/>
        </xdr:cNvPicPr>
      </xdr:nvPicPr>
      <xdr:blipFill>
        <a:blip r:embed="rId2"/>
        <a:stretch>
          <a:fillRect/>
        </a:stretch>
      </xdr:blipFill>
      <xdr:spPr>
        <a:xfrm>
          <a:off x="3581400" y="3619500"/>
          <a:ext cx="152400" cy="180975"/>
        </a:xfrm>
        <a:prstGeom prst="rect">
          <a:avLst/>
        </a:prstGeom>
        <a:noFill/>
        <a:ln w="9525" cmpd="sng">
          <a:noFill/>
        </a:ln>
      </xdr:spPr>
    </xdr:pic>
    <xdr:clientData/>
  </xdr:twoCellAnchor>
  <xdr:twoCellAnchor editAs="oneCell">
    <xdr:from>
      <xdr:col>0</xdr:col>
      <xdr:colOff>1495425</xdr:colOff>
      <xdr:row>16</xdr:row>
      <xdr:rowOff>9525</xdr:rowOff>
    </xdr:from>
    <xdr:to>
      <xdr:col>0</xdr:col>
      <xdr:colOff>1657350</xdr:colOff>
      <xdr:row>17</xdr:row>
      <xdr:rowOff>9525</xdr:rowOff>
    </xdr:to>
    <xdr:pic>
      <xdr:nvPicPr>
        <xdr:cNvPr id="3" name="Picture 3"/>
        <xdr:cNvPicPr preferRelativeResize="1">
          <a:picLocks noChangeAspect="1"/>
        </xdr:cNvPicPr>
      </xdr:nvPicPr>
      <xdr:blipFill>
        <a:blip r:embed="rId3"/>
        <a:stretch>
          <a:fillRect/>
        </a:stretch>
      </xdr:blipFill>
      <xdr:spPr>
        <a:xfrm>
          <a:off x="1495425"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180975</xdr:colOff>
      <xdr:row>14</xdr:row>
      <xdr:rowOff>114300</xdr:rowOff>
    </xdr:from>
    <xdr:to>
      <xdr:col>2</xdr:col>
      <xdr:colOff>333375</xdr:colOff>
      <xdr:row>15</xdr:row>
      <xdr:rowOff>133350</xdr:rowOff>
    </xdr:to>
    <xdr:pic>
      <xdr:nvPicPr>
        <xdr:cNvPr id="5" name="Picture 6"/>
        <xdr:cNvPicPr preferRelativeResize="1">
          <a:picLocks noChangeAspect="1"/>
        </xdr:cNvPicPr>
      </xdr:nvPicPr>
      <xdr:blipFill>
        <a:blip r:embed="rId2"/>
        <a:stretch>
          <a:fillRect/>
        </a:stretch>
      </xdr:blipFill>
      <xdr:spPr>
        <a:xfrm>
          <a:off x="3581400" y="3619500"/>
          <a:ext cx="152400" cy="180975"/>
        </a:xfrm>
        <a:prstGeom prst="rect">
          <a:avLst/>
        </a:prstGeom>
        <a:noFill/>
        <a:ln w="9525" cmpd="sng">
          <a:noFill/>
        </a:ln>
      </xdr:spPr>
    </xdr:pic>
    <xdr:clientData/>
  </xdr:twoCellAnchor>
  <xdr:twoCellAnchor editAs="oneCell">
    <xdr:from>
      <xdr:col>8</xdr:col>
      <xdr:colOff>485775</xdr:colOff>
      <xdr:row>3</xdr:row>
      <xdr:rowOff>438150</xdr:rowOff>
    </xdr:from>
    <xdr:to>
      <xdr:col>9</xdr:col>
      <xdr:colOff>38100</xdr:colOff>
      <xdr:row>4</xdr:row>
      <xdr:rowOff>123825</xdr:rowOff>
    </xdr:to>
    <xdr:pic>
      <xdr:nvPicPr>
        <xdr:cNvPr id="6" name="Picture 7"/>
        <xdr:cNvPicPr preferRelativeResize="1">
          <a:picLocks noChangeAspect="1"/>
        </xdr:cNvPicPr>
      </xdr:nvPicPr>
      <xdr:blipFill>
        <a:blip r:embed="rId3"/>
        <a:stretch>
          <a:fillRect/>
        </a:stretch>
      </xdr:blipFill>
      <xdr:spPr>
        <a:xfrm>
          <a:off x="8058150" y="1495425"/>
          <a:ext cx="161925" cy="161925"/>
        </a:xfrm>
        <a:prstGeom prst="rect">
          <a:avLst/>
        </a:prstGeom>
        <a:noFill/>
        <a:ln w="9525" cmpd="sng">
          <a:noFill/>
        </a:ln>
      </xdr:spPr>
    </xdr:pic>
    <xdr:clientData/>
  </xdr:twoCellAnchor>
  <xdr:twoCellAnchor editAs="oneCell">
    <xdr:from>
      <xdr:col>0</xdr:col>
      <xdr:colOff>1504950</xdr:colOff>
      <xdr:row>16</xdr:row>
      <xdr:rowOff>9525</xdr:rowOff>
    </xdr:from>
    <xdr:to>
      <xdr:col>0</xdr:col>
      <xdr:colOff>1666875</xdr:colOff>
      <xdr:row>17</xdr:row>
      <xdr:rowOff>9525</xdr:rowOff>
    </xdr:to>
    <xdr:pic>
      <xdr:nvPicPr>
        <xdr:cNvPr id="7" name="Picture 8"/>
        <xdr:cNvPicPr preferRelativeResize="1">
          <a:picLocks noChangeAspect="1"/>
        </xdr:cNvPicPr>
      </xdr:nvPicPr>
      <xdr:blipFill>
        <a:blip r:embed="rId3"/>
        <a:stretch>
          <a:fillRect/>
        </a:stretch>
      </xdr:blipFill>
      <xdr:spPr>
        <a:xfrm>
          <a:off x="1504950" y="3838575"/>
          <a:ext cx="161925" cy="161925"/>
        </a:xfrm>
        <a:prstGeom prst="rect">
          <a:avLst/>
        </a:prstGeom>
        <a:noFill/>
        <a:ln w="9525" cmpd="sng">
          <a:noFill/>
        </a:ln>
      </xdr:spPr>
    </xdr:pic>
    <xdr:clientData/>
  </xdr:twoCellAnchor>
  <xdr:twoCellAnchor editAs="oneCell">
    <xdr:from>
      <xdr:col>12</xdr:col>
      <xdr:colOff>142875</xdr:colOff>
      <xdr:row>3</xdr:row>
      <xdr:rowOff>228600</xdr:rowOff>
    </xdr:from>
    <xdr:to>
      <xdr:col>12</xdr:col>
      <xdr:colOff>295275</xdr:colOff>
      <xdr:row>3</xdr:row>
      <xdr:rowOff>409575</xdr:rowOff>
    </xdr:to>
    <xdr:pic>
      <xdr:nvPicPr>
        <xdr:cNvPr id="8" name="Picture 9"/>
        <xdr:cNvPicPr preferRelativeResize="1">
          <a:picLocks noChangeAspect="1"/>
        </xdr:cNvPicPr>
      </xdr:nvPicPr>
      <xdr:blipFill>
        <a:blip r:embed="rId2"/>
        <a:stretch>
          <a:fillRect/>
        </a:stretch>
      </xdr:blipFill>
      <xdr:spPr>
        <a:xfrm>
          <a:off x="10153650" y="1285875"/>
          <a:ext cx="152400" cy="1809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3"/>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190500</xdr:colOff>
      <xdr:row>14</xdr:row>
      <xdr:rowOff>123825</xdr:rowOff>
    </xdr:from>
    <xdr:to>
      <xdr:col>2</xdr:col>
      <xdr:colOff>342900</xdr:colOff>
      <xdr:row>15</xdr:row>
      <xdr:rowOff>142875</xdr:rowOff>
    </xdr:to>
    <xdr:pic>
      <xdr:nvPicPr>
        <xdr:cNvPr id="2" name="Picture 4"/>
        <xdr:cNvPicPr preferRelativeResize="1">
          <a:picLocks noChangeAspect="1"/>
        </xdr:cNvPicPr>
      </xdr:nvPicPr>
      <xdr:blipFill>
        <a:blip r:embed="rId2"/>
        <a:stretch>
          <a:fillRect/>
        </a:stretch>
      </xdr:blipFill>
      <xdr:spPr>
        <a:xfrm>
          <a:off x="3590925" y="3629025"/>
          <a:ext cx="152400" cy="180975"/>
        </a:xfrm>
        <a:prstGeom prst="rect">
          <a:avLst/>
        </a:prstGeom>
        <a:noFill/>
        <a:ln w="9525" cmpd="sng">
          <a:noFill/>
        </a:ln>
      </xdr:spPr>
    </xdr:pic>
    <xdr:clientData/>
  </xdr:twoCellAnchor>
  <xdr:twoCellAnchor editAs="oneCell">
    <xdr:from>
      <xdr:col>0</xdr:col>
      <xdr:colOff>1514475</xdr:colOff>
      <xdr:row>16</xdr:row>
      <xdr:rowOff>9525</xdr:rowOff>
    </xdr:from>
    <xdr:to>
      <xdr:col>0</xdr:col>
      <xdr:colOff>1676400</xdr:colOff>
      <xdr:row>17</xdr:row>
      <xdr:rowOff>9525</xdr:rowOff>
    </xdr:to>
    <xdr:pic>
      <xdr:nvPicPr>
        <xdr:cNvPr id="3" name="Picture 5"/>
        <xdr:cNvPicPr preferRelativeResize="1">
          <a:picLocks noChangeAspect="1"/>
        </xdr:cNvPicPr>
      </xdr:nvPicPr>
      <xdr:blipFill>
        <a:blip r:embed="rId3"/>
        <a:stretch>
          <a:fillRect/>
        </a:stretch>
      </xdr:blipFill>
      <xdr:spPr>
        <a:xfrm>
          <a:off x="1514475"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6"/>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142875</xdr:colOff>
      <xdr:row>3</xdr:row>
      <xdr:rowOff>228600</xdr:rowOff>
    </xdr:from>
    <xdr:to>
      <xdr:col>12</xdr:col>
      <xdr:colOff>295275</xdr:colOff>
      <xdr:row>3</xdr:row>
      <xdr:rowOff>409575</xdr:rowOff>
    </xdr:to>
    <xdr:pic>
      <xdr:nvPicPr>
        <xdr:cNvPr id="5" name="Picture 7"/>
        <xdr:cNvPicPr preferRelativeResize="1">
          <a:picLocks noChangeAspect="1"/>
        </xdr:cNvPicPr>
      </xdr:nvPicPr>
      <xdr:blipFill>
        <a:blip r:embed="rId2"/>
        <a:stretch>
          <a:fillRect/>
        </a:stretch>
      </xdr:blipFill>
      <xdr:spPr>
        <a:xfrm>
          <a:off x="10153650" y="1285875"/>
          <a:ext cx="152400" cy="180975"/>
        </a:xfrm>
        <a:prstGeom prst="rect">
          <a:avLst/>
        </a:prstGeom>
        <a:noFill/>
        <a:ln w="9525" cmpd="sng">
          <a:noFill/>
        </a:ln>
      </xdr:spPr>
    </xdr:pic>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171450</xdr:colOff>
      <xdr:row>14</xdr:row>
      <xdr:rowOff>123825</xdr:rowOff>
    </xdr:from>
    <xdr:to>
      <xdr:col>2</xdr:col>
      <xdr:colOff>323850</xdr:colOff>
      <xdr:row>15</xdr:row>
      <xdr:rowOff>142875</xdr:rowOff>
    </xdr:to>
    <xdr:pic>
      <xdr:nvPicPr>
        <xdr:cNvPr id="2" name="Picture 2"/>
        <xdr:cNvPicPr preferRelativeResize="1">
          <a:picLocks noChangeAspect="1"/>
        </xdr:cNvPicPr>
      </xdr:nvPicPr>
      <xdr:blipFill>
        <a:blip r:embed="rId2"/>
        <a:stretch>
          <a:fillRect/>
        </a:stretch>
      </xdr:blipFill>
      <xdr:spPr>
        <a:xfrm>
          <a:off x="3571875" y="3629025"/>
          <a:ext cx="152400" cy="180975"/>
        </a:xfrm>
        <a:prstGeom prst="rect">
          <a:avLst/>
        </a:prstGeom>
        <a:noFill/>
        <a:ln w="9525" cmpd="sng">
          <a:noFill/>
        </a:ln>
      </xdr:spPr>
    </xdr:pic>
    <xdr:clientData/>
  </xdr:twoCellAnchor>
  <xdr:twoCellAnchor editAs="oneCell">
    <xdr:from>
      <xdr:col>0</xdr:col>
      <xdr:colOff>1495425</xdr:colOff>
      <xdr:row>16</xdr:row>
      <xdr:rowOff>9525</xdr:rowOff>
    </xdr:from>
    <xdr:to>
      <xdr:col>0</xdr:col>
      <xdr:colOff>1657350</xdr:colOff>
      <xdr:row>17</xdr:row>
      <xdr:rowOff>9525</xdr:rowOff>
    </xdr:to>
    <xdr:pic>
      <xdr:nvPicPr>
        <xdr:cNvPr id="3" name="Picture 3"/>
        <xdr:cNvPicPr preferRelativeResize="1">
          <a:picLocks noChangeAspect="1"/>
        </xdr:cNvPicPr>
      </xdr:nvPicPr>
      <xdr:blipFill>
        <a:blip r:embed="rId3"/>
        <a:stretch>
          <a:fillRect/>
        </a:stretch>
      </xdr:blipFill>
      <xdr:spPr>
        <a:xfrm>
          <a:off x="1495425"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152400</xdr:colOff>
      <xdr:row>3</xdr:row>
      <xdr:rowOff>228600</xdr:rowOff>
    </xdr:from>
    <xdr:to>
      <xdr:col>12</xdr:col>
      <xdr:colOff>304800</xdr:colOff>
      <xdr:row>3</xdr:row>
      <xdr:rowOff>409575</xdr:rowOff>
    </xdr:to>
    <xdr:pic>
      <xdr:nvPicPr>
        <xdr:cNvPr id="5" name="Picture 6"/>
        <xdr:cNvPicPr preferRelativeResize="1">
          <a:picLocks noChangeAspect="1"/>
        </xdr:cNvPicPr>
      </xdr:nvPicPr>
      <xdr:blipFill>
        <a:blip r:embed="rId2"/>
        <a:stretch>
          <a:fillRect/>
        </a:stretch>
      </xdr:blipFill>
      <xdr:spPr>
        <a:xfrm>
          <a:off x="10163175" y="1285875"/>
          <a:ext cx="152400" cy="180975"/>
        </a:xfrm>
        <a:prstGeom prst="rect">
          <a:avLst/>
        </a:prstGeom>
        <a:noFill/>
        <a:ln w="9525" cmpd="sng">
          <a:noFill/>
        </a:ln>
      </xdr:spPr>
    </xdr:pic>
    <xdr:clientData/>
  </xdr:twoCellAnchor>
  <xdr:twoCellAnchor editAs="oneCell">
    <xdr:from>
      <xdr:col>8</xdr:col>
      <xdr:colOff>476250</xdr:colOff>
      <xdr:row>3</xdr:row>
      <xdr:rowOff>419100</xdr:rowOff>
    </xdr:from>
    <xdr:to>
      <xdr:col>9</xdr:col>
      <xdr:colOff>28575</xdr:colOff>
      <xdr:row>4</xdr:row>
      <xdr:rowOff>104775</xdr:rowOff>
    </xdr:to>
    <xdr:pic>
      <xdr:nvPicPr>
        <xdr:cNvPr id="6" name="Picture 7"/>
        <xdr:cNvPicPr preferRelativeResize="1">
          <a:picLocks noChangeAspect="1"/>
        </xdr:cNvPicPr>
      </xdr:nvPicPr>
      <xdr:blipFill>
        <a:blip r:embed="rId3"/>
        <a:stretch>
          <a:fillRect/>
        </a:stretch>
      </xdr:blipFill>
      <xdr:spPr>
        <a:xfrm>
          <a:off x="8048625" y="1476375"/>
          <a:ext cx="161925" cy="161925"/>
        </a:xfrm>
        <a:prstGeom prst="rect">
          <a:avLst/>
        </a:prstGeom>
        <a:noFill/>
        <a:ln w="9525" cmpd="sng">
          <a:noFill/>
        </a:ln>
      </xdr:spPr>
    </xdr:pic>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0.52225</cdr:y>
    </cdr:from>
    <cdr:to>
      <cdr:x>0.27675</cdr:x>
      <cdr:y>0.55725</cdr:y>
    </cdr:to>
    <cdr:sp>
      <cdr:nvSpPr>
        <cdr:cNvPr id="1" name="AutoShape 1"/>
        <cdr:cNvSpPr>
          <a:spLocks/>
        </cdr:cNvSpPr>
      </cdr:nvSpPr>
      <cdr:spPr>
        <a:xfrm>
          <a:off x="762000" y="3114675"/>
          <a:ext cx="990600" cy="20955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0.7115</cdr:x>
      <cdr:y>0.5885</cdr:y>
    </cdr:from>
    <cdr:to>
      <cdr:x>0.88575</cdr:x>
      <cdr:y>0.6235</cdr:y>
    </cdr:to>
    <cdr:sp>
      <cdr:nvSpPr>
        <cdr:cNvPr id="2" name="AutoShape 2"/>
        <cdr:cNvSpPr>
          <a:spLocks/>
        </cdr:cNvSpPr>
      </cdr:nvSpPr>
      <cdr:spPr>
        <a:xfrm>
          <a:off x="4505325" y="3514725"/>
          <a:ext cx="1104900" cy="20955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0.0015</cdr:y>
    </cdr:from>
    <cdr:to>
      <cdr:x>0.91325</cdr:x>
      <cdr:y>0.043</cdr:y>
    </cdr:to>
    <cdr:sp>
      <cdr:nvSpPr>
        <cdr:cNvPr id="3" name="TextBox 3"/>
        <cdr:cNvSpPr txBox="1">
          <a:spLocks noChangeArrowheads="1"/>
        </cdr:cNvSpPr>
      </cdr:nvSpPr>
      <cdr:spPr>
        <a:xfrm>
          <a:off x="2143125" y="0"/>
          <a:ext cx="364807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0.81</cdr:y>
    </cdr:from>
    <cdr:to>
      <cdr:x>0.45575</cdr:x>
      <cdr:y>0.84525</cdr:y>
    </cdr:to>
    <cdr:sp>
      <cdr:nvSpPr>
        <cdr:cNvPr id="1" name="AutoShape 1"/>
        <cdr:cNvSpPr>
          <a:spLocks/>
        </cdr:cNvSpPr>
      </cdr:nvSpPr>
      <cdr:spPr>
        <a:xfrm>
          <a:off x="1895475" y="4800600"/>
          <a:ext cx="990600" cy="20955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cdr:x>
      <cdr:y>0.81</cdr:y>
    </cdr:from>
    <cdr:to>
      <cdr:x>0.9</cdr:x>
      <cdr:y>0.84375</cdr:y>
    </cdr:to>
    <cdr:sp>
      <cdr:nvSpPr>
        <cdr:cNvPr id="2" name="AutoShape 2"/>
        <cdr:cNvSpPr>
          <a:spLocks/>
        </cdr:cNvSpPr>
      </cdr:nvSpPr>
      <cdr:spPr>
        <a:xfrm>
          <a:off x="4705350" y="4800600"/>
          <a:ext cx="1009650" cy="200025"/>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cdr:x>
      <cdr:y>0</cdr:y>
    </cdr:from>
    <cdr:to>
      <cdr:x>0.89625</cdr:x>
      <cdr:y>0.04175</cdr:y>
    </cdr:to>
    <cdr:sp>
      <cdr:nvSpPr>
        <cdr:cNvPr id="3" name="TextBox 3"/>
        <cdr:cNvSpPr txBox="1">
          <a:spLocks noChangeArrowheads="1"/>
        </cdr:cNvSpPr>
      </cdr:nvSpPr>
      <cdr:spPr>
        <a:xfrm>
          <a:off x="2038350" y="0"/>
          <a:ext cx="364807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0.438</cdr:x>
      <cdr:y>0.0305</cdr:y>
    </cdr:to>
    <cdr:pic>
      <cdr:nvPicPr>
        <cdr:cNvPr id="4" name="Picture 4"/>
        <cdr:cNvPicPr preferRelativeResize="1">
          <a:picLocks noChangeAspect="1"/>
        </cdr:cNvPicPr>
      </cdr:nvPicPr>
      <cdr:blipFill>
        <a:blip r:embed="rId1"/>
        <a:stretch>
          <a:fillRect/>
        </a:stretch>
      </cdr:blipFill>
      <cdr:spPr>
        <a:xfrm>
          <a:off x="2628900" y="0"/>
          <a:ext cx="152400" cy="180975"/>
        </a:xfrm>
        <a:prstGeom prst="rect">
          <a:avLst/>
        </a:prstGeom>
        <a:noFill/>
        <a:ln w="9525" cmpd="sng">
          <a:noFill/>
        </a:ln>
      </cdr:spPr>
    </cdr:pic>
  </cdr:relSizeAnchor>
  <cdr:relSizeAnchor xmlns:cdr="http://schemas.openxmlformats.org/drawingml/2006/chartDrawing">
    <cdr:from>
      <cdr:x>0.55725</cdr:x>
      <cdr:y>0</cdr:y>
    </cdr:from>
    <cdr:to>
      <cdr:x>0.58275</cdr:x>
      <cdr:y>0.02725</cdr:y>
    </cdr:to>
    <cdr:pic>
      <cdr:nvPicPr>
        <cdr:cNvPr id="5" name="Picture 5"/>
        <cdr:cNvPicPr preferRelativeResize="1">
          <a:picLocks noChangeAspect="1"/>
        </cdr:cNvPicPr>
      </cdr:nvPicPr>
      <cdr:blipFill>
        <a:blip r:embed="rId2"/>
        <a:stretch>
          <a:fillRect/>
        </a:stretch>
      </cdr:blipFill>
      <cdr:spPr>
        <a:xfrm>
          <a:off x="3533775" y="0"/>
          <a:ext cx="161925" cy="161925"/>
        </a:xfrm>
        <a:prstGeom prst="rect">
          <a:avLst/>
        </a:prstGeom>
        <a:noFill/>
        <a:ln w="9525" cmpd="sng">
          <a:noFill/>
        </a:ln>
      </cdr:spPr>
    </cdr:pic>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247650</xdr:colOff>
      <xdr:row>36</xdr:row>
      <xdr:rowOff>152400</xdr:rowOff>
    </xdr:to>
    <xdr:graphicFrame>
      <xdr:nvGraphicFramePr>
        <xdr:cNvPr id="1" name="Chart 1"/>
        <xdr:cNvGraphicFramePr/>
      </xdr:nvGraphicFramePr>
      <xdr:xfrm>
        <a:off x="0" y="0"/>
        <a:ext cx="6343650" cy="59817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0</xdr:row>
      <xdr:rowOff>0</xdr:rowOff>
    </xdr:from>
    <xdr:to>
      <xdr:col>23</xdr:col>
      <xdr:colOff>257175</xdr:colOff>
      <xdr:row>36</xdr:row>
      <xdr:rowOff>104775</xdr:rowOff>
    </xdr:to>
    <xdr:graphicFrame>
      <xdr:nvGraphicFramePr>
        <xdr:cNvPr id="2" name="Chart 2"/>
        <xdr:cNvGraphicFramePr/>
      </xdr:nvGraphicFramePr>
      <xdr:xfrm>
        <a:off x="7924800" y="0"/>
        <a:ext cx="6353175" cy="5934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0.55625</cdr:y>
    </cdr:from>
    <cdr:to>
      <cdr:x>0.1205</cdr:x>
      <cdr:y>0.55625</cdr:y>
    </cdr:to>
    <cdr:sp>
      <cdr:nvSpPr>
        <cdr:cNvPr id="1" name="AutoShape 1"/>
        <cdr:cNvSpPr>
          <a:spLocks/>
        </cdr:cNvSpPr>
      </cdr:nvSpPr>
      <cdr:spPr>
        <a:xfrm>
          <a:off x="762000" y="3314700"/>
          <a:ext cx="0" cy="0"/>
        </a:xfrm>
        <a:prstGeom prst="borderCallout2">
          <a:avLst>
            <a:gd name="adj1" fmla="val 70388"/>
            <a:gd name="adj2" fmla="val 272726"/>
            <a:gd name="adj3" fmla="val 64083"/>
            <a:gd name="adj4" fmla="val 4731"/>
            <a:gd name="adj5" fmla="val 57768"/>
            <a:gd name="adj6" fmla="val 4731"/>
            <a:gd name="adj7" fmla="val -44490"/>
            <a:gd name="adj8" fmla="val 14325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0.71125</cdr:x>
      <cdr:y>0.6165</cdr:y>
    </cdr:from>
    <cdr:to>
      <cdr:x>0.71125</cdr:x>
      <cdr:y>0.6165</cdr:y>
    </cdr:to>
    <cdr:sp>
      <cdr:nvSpPr>
        <cdr:cNvPr id="2" name="AutoShape 2"/>
        <cdr:cNvSpPr>
          <a:spLocks/>
        </cdr:cNvSpPr>
      </cdr:nvSpPr>
      <cdr:spPr>
        <a:xfrm>
          <a:off x="4495800" y="3676650"/>
          <a:ext cx="0" cy="0"/>
        </a:xfrm>
        <a:prstGeom prst="borderCallout2">
          <a:avLst>
            <a:gd name="adj1" fmla="val -113157"/>
            <a:gd name="adj2" fmla="val -595453"/>
            <a:gd name="adj3" fmla="val -85087"/>
            <a:gd name="adj4" fmla="val 4731"/>
            <a:gd name="adj5" fmla="val -57013"/>
            <a:gd name="adj6" fmla="val 4731"/>
            <a:gd name="adj7" fmla="val -133300"/>
            <a:gd name="adj8" fmla="val -152560"/>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0.33825</cdr:x>
      <cdr:y>0.005</cdr:y>
    </cdr:from>
    <cdr:to>
      <cdr:x>0.33825</cdr:x>
      <cdr:y>0.005</cdr:y>
    </cdr:to>
    <cdr:sp>
      <cdr:nvSpPr>
        <cdr:cNvPr id="3" name="TextBox 3"/>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0.8175</cdr:y>
    </cdr:from>
    <cdr:to>
      <cdr:x>0.3</cdr:x>
      <cdr:y>0.8175</cdr:y>
    </cdr:to>
    <cdr:sp>
      <cdr:nvSpPr>
        <cdr:cNvPr id="1" name="AutoShape 1"/>
        <cdr:cNvSpPr>
          <a:spLocks/>
        </cdr:cNvSpPr>
      </cdr:nvSpPr>
      <cdr:spPr>
        <a:xfrm>
          <a:off x="1895475" y="4838700"/>
          <a:ext cx="0" cy="0"/>
        </a:xfrm>
        <a:prstGeom prst="borderCallout2">
          <a:avLst>
            <a:gd name="adj1" fmla="val -59708"/>
            <a:gd name="adj2" fmla="val 9092"/>
            <a:gd name="adj3" fmla="val -58740"/>
            <a:gd name="adj4" fmla="val 4699"/>
            <a:gd name="adj5" fmla="val -57768"/>
            <a:gd name="adj6" fmla="val 4699"/>
            <a:gd name="adj7" fmla="val -172958"/>
            <a:gd name="adj8" fmla="val -761939"/>
          </a:avLst>
        </a:prstGeom>
        <a:solidFill>
          <a:srgbClr val="C0C0C0">
            <a:alpha val="50000"/>
          </a:srgbClr>
        </a:solidFill>
        <a:ln w="19050" cmpd="sng">
          <a:solidFill>
            <a:srgbClr val="000000"/>
          </a:solidFill>
          <a:headEnd type="triangle"/>
          <a:tailEnd type="none"/>
        </a:ln>
      </cdr:spPr>
      <cdr:txBody>
        <a:bodyPr vertOverflow="clip" wrap="square"/>
        <a:p>
          <a:pPr algn="ctr">
            <a:defRPr/>
          </a:pPr>
          <a:r>
            <a:rPr lang="en-US" cap="none" sz="1000" b="0" i="0" u="none" baseline="0">
              <a:latin typeface="Arial"/>
              <a:ea typeface="Arial"/>
              <a:cs typeface="Arial"/>
            </a:rPr>
            <a:t>Utility Category</a:t>
          </a:r>
        </a:p>
      </cdr:txBody>
    </cdr:sp>
  </cdr:relSizeAnchor>
  <cdr:relSizeAnchor xmlns:cdr="http://schemas.openxmlformats.org/drawingml/2006/chartDrawing">
    <cdr:from>
      <cdr:x>0.74125</cdr:x>
      <cdr:y>0.8175</cdr:y>
    </cdr:from>
    <cdr:to>
      <cdr:x>0.74125</cdr:x>
      <cdr:y>0.8175</cdr:y>
    </cdr:to>
    <cdr:sp>
      <cdr:nvSpPr>
        <cdr:cNvPr id="2" name="AutoShape 2"/>
        <cdr:cNvSpPr>
          <a:spLocks/>
        </cdr:cNvSpPr>
      </cdr:nvSpPr>
      <cdr:spPr>
        <a:xfrm>
          <a:off x="4695825" y="4838700"/>
          <a:ext cx="0" cy="0"/>
        </a:xfrm>
        <a:prstGeom prst="borderCallout2">
          <a:avLst>
            <a:gd name="adj1" fmla="val -59523"/>
            <a:gd name="adj2" fmla="val -16569"/>
            <a:gd name="adj3" fmla="val -58574"/>
            <a:gd name="adj4" fmla="val 7111"/>
            <a:gd name="adj5" fmla="val -57620"/>
            <a:gd name="adj6" fmla="val 7111"/>
            <a:gd name="adj7" fmla="val -150083"/>
            <a:gd name="adj8" fmla="val -803828"/>
          </a:avLst>
        </a:prstGeom>
        <a:solidFill>
          <a:srgbClr val="C0C0C0">
            <a:alpha val="50000"/>
          </a:srgbClr>
        </a:solidFill>
        <a:ln w="19050" cmpd="sng">
          <a:solidFill>
            <a:srgbClr val="000000"/>
          </a:solidFill>
          <a:headEnd type="triangle"/>
          <a:tailEnd type="none"/>
        </a:ln>
      </cdr:spPr>
      <cdr:txBody>
        <a:bodyPr vertOverflow="clip" wrap="square">
          <a:spAutoFit/>
        </a:bodyPr>
        <a:p>
          <a:pPr algn="l">
            <a:defRPr/>
          </a:pPr>
          <a:r>
            <a:rPr lang="en-US" cap="none" sz="1000" b="0" i="0" u="none" baseline="0">
              <a:latin typeface="Arial"/>
              <a:ea typeface="Arial"/>
              <a:cs typeface="Arial"/>
            </a:rPr>
            <a:t>Normal Category</a:t>
          </a:r>
        </a:p>
      </cdr:txBody>
    </cdr:sp>
  </cdr:relSizeAnchor>
  <cdr:relSizeAnchor xmlns:cdr="http://schemas.openxmlformats.org/drawingml/2006/chartDrawing">
    <cdr:from>
      <cdr:x>0.32225</cdr:x>
      <cdr:y>0</cdr:y>
    </cdr:from>
    <cdr:to>
      <cdr:x>0.32225</cdr:x>
      <cdr:y>0</cdr:y>
    </cdr:to>
    <cdr:sp>
      <cdr:nvSpPr>
        <cdr:cNvPr id="3" name="TextBox 3"/>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4" name="Picture 4"/>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5" name="Picture 5"/>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14</xdr:row>
      <xdr:rowOff>133350</xdr:rowOff>
    </xdr:from>
    <xdr:to>
      <xdr:col>2</xdr:col>
      <xdr:colOff>352425</xdr:colOff>
      <xdr:row>15</xdr:row>
      <xdr:rowOff>152400</xdr:rowOff>
    </xdr:to>
    <xdr:pic>
      <xdr:nvPicPr>
        <xdr:cNvPr id="2" name="Picture 2"/>
        <xdr:cNvPicPr preferRelativeResize="1">
          <a:picLocks noChangeAspect="1"/>
        </xdr:cNvPicPr>
      </xdr:nvPicPr>
      <xdr:blipFill>
        <a:blip r:embed="rId2"/>
        <a:stretch>
          <a:fillRect/>
        </a:stretch>
      </xdr:blipFill>
      <xdr:spPr>
        <a:xfrm>
          <a:off x="3600450" y="3638550"/>
          <a:ext cx="152400" cy="180975"/>
        </a:xfrm>
        <a:prstGeom prst="rect">
          <a:avLst/>
        </a:prstGeom>
        <a:noFill/>
        <a:ln w="9525" cmpd="sng">
          <a:noFill/>
        </a:ln>
      </xdr:spPr>
    </xdr:pic>
    <xdr:clientData/>
  </xdr:twoCellAnchor>
  <xdr:twoCellAnchor editAs="oneCell">
    <xdr:from>
      <xdr:col>0</xdr:col>
      <xdr:colOff>1476375</xdr:colOff>
      <xdr:row>16</xdr:row>
      <xdr:rowOff>9525</xdr:rowOff>
    </xdr:from>
    <xdr:to>
      <xdr:col>0</xdr:col>
      <xdr:colOff>1638300</xdr:colOff>
      <xdr:row>17</xdr:row>
      <xdr:rowOff>9525</xdr:rowOff>
    </xdr:to>
    <xdr:pic>
      <xdr:nvPicPr>
        <xdr:cNvPr id="3" name="Picture 3"/>
        <xdr:cNvPicPr preferRelativeResize="1">
          <a:picLocks noChangeAspect="1"/>
        </xdr:cNvPicPr>
      </xdr:nvPicPr>
      <xdr:blipFill>
        <a:blip r:embed="rId3"/>
        <a:stretch>
          <a:fillRect/>
        </a:stretch>
      </xdr:blipFill>
      <xdr:spPr>
        <a:xfrm>
          <a:off x="1476375" y="3838575"/>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133350</xdr:colOff>
      <xdr:row>3</xdr:row>
      <xdr:rowOff>209550</xdr:rowOff>
    </xdr:from>
    <xdr:to>
      <xdr:col>12</xdr:col>
      <xdr:colOff>285750</xdr:colOff>
      <xdr:row>3</xdr:row>
      <xdr:rowOff>390525</xdr:rowOff>
    </xdr:to>
    <xdr:pic>
      <xdr:nvPicPr>
        <xdr:cNvPr id="5" name="Picture 6"/>
        <xdr:cNvPicPr preferRelativeResize="1">
          <a:picLocks noChangeAspect="1"/>
        </xdr:cNvPicPr>
      </xdr:nvPicPr>
      <xdr:blipFill>
        <a:blip r:embed="rId2"/>
        <a:stretch>
          <a:fillRect/>
        </a:stretch>
      </xdr:blipFill>
      <xdr:spPr>
        <a:xfrm>
          <a:off x="10144125" y="1266825"/>
          <a:ext cx="152400" cy="180975"/>
        </a:xfrm>
        <a:prstGeom prst="rect">
          <a:avLst/>
        </a:prstGeom>
        <a:noFill/>
        <a:ln w="9525" cmpd="sng">
          <a:noFill/>
        </a:ln>
      </xdr:spPr>
    </xdr:pic>
    <xdr:clientData/>
  </xdr:twoCellAnchor>
  <xdr:twoCellAnchor editAs="oneCell">
    <xdr:from>
      <xdr:col>8</xdr:col>
      <xdr:colOff>476250</xdr:colOff>
      <xdr:row>3</xdr:row>
      <xdr:rowOff>438150</xdr:rowOff>
    </xdr:from>
    <xdr:to>
      <xdr:col>9</xdr:col>
      <xdr:colOff>28575</xdr:colOff>
      <xdr:row>4</xdr:row>
      <xdr:rowOff>123825</xdr:rowOff>
    </xdr:to>
    <xdr:pic>
      <xdr:nvPicPr>
        <xdr:cNvPr id="6" name="Picture 7"/>
        <xdr:cNvPicPr preferRelativeResize="1">
          <a:picLocks noChangeAspect="1"/>
        </xdr:cNvPicPr>
      </xdr:nvPicPr>
      <xdr:blipFill>
        <a:blip r:embed="rId3"/>
        <a:stretch>
          <a:fillRect/>
        </a:stretch>
      </xdr:blipFill>
      <xdr:spPr>
        <a:xfrm>
          <a:off x="8048625" y="1495425"/>
          <a:ext cx="161925" cy="1619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0.33825</cdr:x>
      <cdr:y>0.005</cdr:y>
    </cdr:from>
    <cdr:to>
      <cdr:x>0.33825</cdr:x>
      <cdr:y>0.005</cdr:y>
    </cdr:to>
    <cdr:sp>
      <cdr:nvSpPr>
        <cdr:cNvPr id="1" name="TextBox 1"/>
        <cdr:cNvSpPr txBox="1">
          <a:spLocks noChangeArrowheads="1"/>
        </cdr:cNvSpPr>
      </cdr:nvSpPr>
      <cdr:spPr>
        <a:xfrm>
          <a:off x="2133600" y="285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0.32225</cdr:x>
      <cdr:y>0</cdr:y>
    </cdr:from>
    <cdr:to>
      <cdr:x>0.32225</cdr:x>
      <cdr:y>0</cdr:y>
    </cdr:to>
    <cdr:sp>
      <cdr:nvSpPr>
        <cdr:cNvPr id="1" name="TextBox 1"/>
        <cdr:cNvSpPr txBox="1">
          <a:spLocks noChangeArrowheads="1"/>
        </cdr:cNvSpPr>
      </cdr:nvSpPr>
      <cdr:spPr>
        <a:xfrm>
          <a:off x="2038350" y="0"/>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Take-Off            Landing</a:t>
          </a:r>
        </a:p>
      </cdr:txBody>
    </cdr:sp>
  </cdr:relSizeAnchor>
  <cdr:relSizeAnchor xmlns:cdr="http://schemas.openxmlformats.org/drawingml/2006/chartDrawing">
    <cdr:from>
      <cdr:x>0.414</cdr:x>
      <cdr:y>0</cdr:y>
    </cdr:from>
    <cdr:to>
      <cdr:x>0.414</cdr:x>
      <cdr:y>0</cdr:y>
    </cdr:to>
    <cdr:pic>
      <cdr:nvPicPr>
        <cdr:cNvPr id="2" name="Picture 2"/>
        <cdr:cNvPicPr preferRelativeResize="1">
          <a:picLocks noChangeAspect="1"/>
        </cdr:cNvPicPr>
      </cdr:nvPicPr>
      <cdr:blipFill>
        <a:blip r:embed="rId1"/>
        <a:stretch>
          <a:fillRect/>
        </a:stretch>
      </cdr:blipFill>
      <cdr:spPr>
        <a:xfrm>
          <a:off x="2619375" y="0"/>
          <a:ext cx="0" cy="0"/>
        </a:xfrm>
        <a:prstGeom prst="rect">
          <a:avLst/>
        </a:prstGeom>
        <a:noFill/>
        <a:ln w="9525" cmpd="sng">
          <a:noFill/>
        </a:ln>
      </cdr:spPr>
    </cdr:pic>
  </cdr:relSizeAnchor>
  <cdr:relSizeAnchor xmlns:cdr="http://schemas.openxmlformats.org/drawingml/2006/chartDrawing">
    <cdr:from>
      <cdr:x>0.5575</cdr:x>
      <cdr:y>0</cdr:y>
    </cdr:from>
    <cdr:to>
      <cdr:x>0.5575</cdr:x>
      <cdr:y>0</cdr:y>
    </cdr:to>
    <cdr:pic>
      <cdr:nvPicPr>
        <cdr:cNvPr id="3" name="Picture 3"/>
        <cdr:cNvPicPr preferRelativeResize="1">
          <a:picLocks noChangeAspect="1"/>
        </cdr:cNvPicPr>
      </cdr:nvPicPr>
      <cdr:blipFill>
        <a:blip r:embed="rId2"/>
        <a:stretch>
          <a:fillRect/>
        </a:stretch>
      </cdr:blipFill>
      <cdr:spPr>
        <a:xfrm>
          <a:off x="3533775" y="0"/>
          <a:ext cx="0" cy="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19050</xdr:rowOff>
    </xdr:from>
    <xdr:to>
      <xdr:col>5</xdr:col>
      <xdr:colOff>790575</xdr:colOff>
      <xdr:row>51</xdr:row>
      <xdr:rowOff>0</xdr:rowOff>
    </xdr:to>
    <xdr:graphicFrame>
      <xdr:nvGraphicFramePr>
        <xdr:cNvPr id="1" name="Chart 1"/>
        <xdr:cNvGraphicFramePr/>
      </xdr:nvGraphicFramePr>
      <xdr:xfrm>
        <a:off x="9525" y="3524250"/>
        <a:ext cx="6334125" cy="5972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552450</xdr:colOff>
      <xdr:row>14</xdr:row>
      <xdr:rowOff>114300</xdr:rowOff>
    </xdr:from>
    <xdr:to>
      <xdr:col>2</xdr:col>
      <xdr:colOff>19050</xdr:colOff>
      <xdr:row>15</xdr:row>
      <xdr:rowOff>133350</xdr:rowOff>
    </xdr:to>
    <xdr:pic>
      <xdr:nvPicPr>
        <xdr:cNvPr id="2" name="Picture 2"/>
        <xdr:cNvPicPr preferRelativeResize="1">
          <a:picLocks noChangeAspect="1"/>
        </xdr:cNvPicPr>
      </xdr:nvPicPr>
      <xdr:blipFill>
        <a:blip r:embed="rId2"/>
        <a:stretch>
          <a:fillRect/>
        </a:stretch>
      </xdr:blipFill>
      <xdr:spPr>
        <a:xfrm>
          <a:off x="3267075" y="3619500"/>
          <a:ext cx="152400" cy="180975"/>
        </a:xfrm>
        <a:prstGeom prst="rect">
          <a:avLst/>
        </a:prstGeom>
        <a:noFill/>
        <a:ln w="9525" cmpd="sng">
          <a:noFill/>
        </a:ln>
      </xdr:spPr>
    </xdr:pic>
    <xdr:clientData/>
  </xdr:twoCellAnchor>
  <xdr:twoCellAnchor editAs="oneCell">
    <xdr:from>
      <xdr:col>0</xdr:col>
      <xdr:colOff>228600</xdr:colOff>
      <xdr:row>16</xdr:row>
      <xdr:rowOff>0</xdr:rowOff>
    </xdr:from>
    <xdr:to>
      <xdr:col>0</xdr:col>
      <xdr:colOff>390525</xdr:colOff>
      <xdr:row>17</xdr:row>
      <xdr:rowOff>0</xdr:rowOff>
    </xdr:to>
    <xdr:pic>
      <xdr:nvPicPr>
        <xdr:cNvPr id="3" name="Picture 3"/>
        <xdr:cNvPicPr preferRelativeResize="1">
          <a:picLocks noChangeAspect="1"/>
        </xdr:cNvPicPr>
      </xdr:nvPicPr>
      <xdr:blipFill>
        <a:blip r:embed="rId3"/>
        <a:stretch>
          <a:fillRect/>
        </a:stretch>
      </xdr:blipFill>
      <xdr:spPr>
        <a:xfrm>
          <a:off x="228600" y="3829050"/>
          <a:ext cx="161925" cy="161925"/>
        </a:xfrm>
        <a:prstGeom prst="rect">
          <a:avLst/>
        </a:prstGeom>
        <a:noFill/>
        <a:ln w="9525" cmpd="sng">
          <a:noFill/>
        </a:ln>
      </xdr:spPr>
    </xdr:pic>
    <xdr:clientData/>
  </xdr:twoCellAnchor>
  <xdr:twoCellAnchor>
    <xdr:from>
      <xdr:col>6</xdr:col>
      <xdr:colOff>200025</xdr:colOff>
      <xdr:row>3</xdr:row>
      <xdr:rowOff>123825</xdr:rowOff>
    </xdr:from>
    <xdr:to>
      <xdr:col>16</xdr:col>
      <xdr:colOff>447675</xdr:colOff>
      <xdr:row>36</xdr:row>
      <xdr:rowOff>38100</xdr:rowOff>
    </xdr:to>
    <xdr:graphicFrame>
      <xdr:nvGraphicFramePr>
        <xdr:cNvPr id="4" name="Chart 4"/>
        <xdr:cNvGraphicFramePr/>
      </xdr:nvGraphicFramePr>
      <xdr:xfrm>
        <a:off x="6553200" y="1181100"/>
        <a:ext cx="6343650" cy="59245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428625</xdr:colOff>
      <xdr:row>3</xdr:row>
      <xdr:rowOff>228600</xdr:rowOff>
    </xdr:from>
    <xdr:to>
      <xdr:col>11</xdr:col>
      <xdr:colOff>581025</xdr:colOff>
      <xdr:row>3</xdr:row>
      <xdr:rowOff>409575</xdr:rowOff>
    </xdr:to>
    <xdr:pic>
      <xdr:nvPicPr>
        <xdr:cNvPr id="5" name="Picture 6"/>
        <xdr:cNvPicPr preferRelativeResize="1">
          <a:picLocks noChangeAspect="1"/>
        </xdr:cNvPicPr>
      </xdr:nvPicPr>
      <xdr:blipFill>
        <a:blip r:embed="rId2"/>
        <a:stretch>
          <a:fillRect/>
        </a:stretch>
      </xdr:blipFill>
      <xdr:spPr>
        <a:xfrm>
          <a:off x="9829800" y="1285875"/>
          <a:ext cx="152400" cy="180975"/>
        </a:xfrm>
        <a:prstGeom prst="rect">
          <a:avLst/>
        </a:prstGeom>
        <a:noFill/>
        <a:ln w="9525" cmpd="sng">
          <a:noFill/>
        </a:ln>
      </xdr:spPr>
    </xdr:pic>
    <xdr:clientData/>
  </xdr:twoCellAnchor>
  <xdr:twoCellAnchor editAs="oneCell">
    <xdr:from>
      <xdr:col>6</xdr:col>
      <xdr:colOff>438150</xdr:colOff>
      <xdr:row>3</xdr:row>
      <xdr:rowOff>428625</xdr:rowOff>
    </xdr:from>
    <xdr:to>
      <xdr:col>6</xdr:col>
      <xdr:colOff>600075</xdr:colOff>
      <xdr:row>4</xdr:row>
      <xdr:rowOff>114300</xdr:rowOff>
    </xdr:to>
    <xdr:pic>
      <xdr:nvPicPr>
        <xdr:cNvPr id="6" name="Picture 7"/>
        <xdr:cNvPicPr preferRelativeResize="1">
          <a:picLocks noChangeAspect="1"/>
        </xdr:cNvPicPr>
      </xdr:nvPicPr>
      <xdr:blipFill>
        <a:blip r:embed="rId3"/>
        <a:stretch>
          <a:fillRect/>
        </a:stretch>
      </xdr:blipFill>
      <xdr:spPr>
        <a:xfrm>
          <a:off x="6791325" y="1485900"/>
          <a:ext cx="1619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21.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24.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27.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0.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3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1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7"/>
  <sheetViews>
    <sheetView showGridLines="0" tabSelected="1" workbookViewId="0" topLeftCell="A1">
      <selection activeCell="A1" sqref="A1"/>
    </sheetView>
  </sheetViews>
  <sheetFormatPr defaultColWidth="9.140625" defaultRowHeight="12.75"/>
  <cols>
    <col min="1" max="1" width="126.8515625" style="0" customWidth="1"/>
    <col min="6" max="6" width="41.7109375" style="0" hidden="1" customWidth="1"/>
  </cols>
  <sheetData>
    <row r="1" spans="1:6" ht="18">
      <c r="A1" s="9" t="s">
        <v>27</v>
      </c>
      <c r="B1" s="9"/>
      <c r="C1" s="9"/>
      <c r="D1" s="9"/>
      <c r="E1" s="9"/>
      <c r="F1" s="9"/>
    </row>
    <row r="2" spans="1:6" ht="15.75">
      <c r="A2" s="10"/>
      <c r="B2" s="10"/>
      <c r="C2" s="10"/>
      <c r="D2" s="10"/>
      <c r="E2" s="10"/>
      <c r="F2" s="10"/>
    </row>
    <row r="3" spans="1:6" ht="30">
      <c r="A3" s="7" t="s">
        <v>30</v>
      </c>
      <c r="B3" s="8"/>
      <c r="C3" s="8"/>
      <c r="D3" s="8"/>
      <c r="E3" s="8"/>
      <c r="F3" s="8"/>
    </row>
    <row r="4" spans="1:6" ht="15">
      <c r="A4" s="7"/>
      <c r="B4" s="8"/>
      <c r="C4" s="8"/>
      <c r="D4" s="8"/>
      <c r="E4" s="8"/>
      <c r="F4" s="8"/>
    </row>
    <row r="5" spans="1:6" ht="15">
      <c r="A5" s="7" t="s">
        <v>28</v>
      </c>
      <c r="B5" s="8"/>
      <c r="C5" s="8"/>
      <c r="D5" s="8"/>
      <c r="E5" s="8"/>
      <c r="F5" s="8"/>
    </row>
    <row r="6" spans="1:6" ht="15">
      <c r="A6" s="7"/>
      <c r="B6" s="8"/>
      <c r="C6" s="8"/>
      <c r="D6" s="8"/>
      <c r="E6" s="8"/>
      <c r="F6" s="8"/>
    </row>
    <row r="7" spans="1:6" ht="15">
      <c r="A7" s="7" t="s">
        <v>29</v>
      </c>
      <c r="B7" s="8"/>
      <c r="C7" s="8"/>
      <c r="D7" s="8"/>
      <c r="E7" s="8"/>
      <c r="F7" s="8"/>
    </row>
    <row r="8" spans="1:6" ht="15">
      <c r="A8" s="7"/>
      <c r="B8" s="8"/>
      <c r="C8" s="8"/>
      <c r="D8" s="8"/>
      <c r="E8" s="8"/>
      <c r="F8" s="8"/>
    </row>
    <row r="9" spans="1:6" ht="30">
      <c r="A9" s="7" t="s">
        <v>108</v>
      </c>
      <c r="B9" s="8"/>
      <c r="C9" s="8"/>
      <c r="D9" s="8"/>
      <c r="E9" s="8"/>
      <c r="F9" s="8"/>
    </row>
    <row r="10" spans="1:6" ht="15">
      <c r="A10" s="7"/>
      <c r="B10" s="8"/>
      <c r="C10" s="8"/>
      <c r="D10" s="8"/>
      <c r="E10" s="8"/>
      <c r="F10" s="8"/>
    </row>
    <row r="11" spans="1:6" ht="15">
      <c r="A11" s="7" t="s">
        <v>84</v>
      </c>
      <c r="B11" s="7"/>
      <c r="C11" s="7"/>
      <c r="D11" s="7"/>
      <c r="E11" s="7"/>
      <c r="F11" s="7"/>
    </row>
    <row r="12" spans="1:6" ht="15">
      <c r="A12" s="11"/>
      <c r="B12" s="11"/>
      <c r="C12" s="11"/>
      <c r="D12" s="11"/>
      <c r="E12" s="11"/>
      <c r="F12" s="11"/>
    </row>
    <row r="13" spans="1:6" ht="12.75">
      <c r="A13" s="5"/>
      <c r="B13" s="5"/>
      <c r="C13" s="5"/>
      <c r="D13" s="5"/>
      <c r="E13" s="5"/>
      <c r="F13" s="5"/>
    </row>
    <row r="14" ht="12.75">
      <c r="A14" t="s">
        <v>104</v>
      </c>
    </row>
    <row r="15" ht="12.75">
      <c r="A15" t="s">
        <v>106</v>
      </c>
    </row>
    <row r="16" ht="12.75">
      <c r="A16" t="s">
        <v>107</v>
      </c>
    </row>
    <row r="17" ht="12.75">
      <c r="A17" t="s">
        <v>105</v>
      </c>
    </row>
  </sheetData>
  <sheetProtection password="CCBC" sheet="1" objects="1" scenarios="1"/>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1" sqref="A1"/>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71</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103</v>
      </c>
      <c r="B4" s="1">
        <v>1703.6</v>
      </c>
      <c r="C4" s="1">
        <v>67.2</v>
      </c>
      <c r="D4" s="32">
        <v>1687.1</v>
      </c>
      <c r="E4" s="32">
        <v>66.4</v>
      </c>
      <c r="F4" s="31" t="s">
        <v>6</v>
      </c>
    </row>
    <row r="5" spans="1:6" ht="16.5" customHeight="1">
      <c r="A5" s="27" t="s">
        <v>18</v>
      </c>
      <c r="B5" s="1">
        <v>180</v>
      </c>
      <c r="C5" s="1">
        <v>8.6</v>
      </c>
      <c r="D5" s="1">
        <f>F5*6</f>
        <v>318</v>
      </c>
      <c r="E5" s="2">
        <f>D5*48/1000</f>
        <v>15.264</v>
      </c>
      <c r="F5" s="37">
        <v>53</v>
      </c>
    </row>
    <row r="6" spans="1:5" ht="16.5" customHeight="1">
      <c r="A6" s="27" t="s">
        <v>7</v>
      </c>
      <c r="B6" s="1">
        <v>340</v>
      </c>
      <c r="C6" s="1">
        <v>12.6</v>
      </c>
      <c r="D6" s="37">
        <v>200</v>
      </c>
      <c r="E6" s="2">
        <f>(D6*37)/1000</f>
        <v>7.4</v>
      </c>
    </row>
    <row r="7" spans="1:5" ht="16.5" customHeight="1">
      <c r="A7" s="27" t="s">
        <v>8</v>
      </c>
      <c r="B7" s="1">
        <v>170</v>
      </c>
      <c r="C7" s="1">
        <v>24.8</v>
      </c>
      <c r="D7" s="37">
        <v>200</v>
      </c>
      <c r="E7" s="2">
        <f>D7*73/1000</f>
        <v>14.6</v>
      </c>
    </row>
    <row r="8" spans="1:5" ht="16.5" customHeight="1">
      <c r="A8" s="27" t="s">
        <v>9</v>
      </c>
      <c r="B8" s="1">
        <v>56</v>
      </c>
      <c r="C8" s="1">
        <v>4.6</v>
      </c>
      <c r="D8" s="37">
        <v>25</v>
      </c>
      <c r="E8" s="2">
        <f>(D8*95)/1000</f>
        <v>2.375</v>
      </c>
    </row>
    <row r="9" spans="1:5" ht="16.5" customHeight="1">
      <c r="A9" s="27" t="s">
        <v>10</v>
      </c>
      <c r="B9" s="1"/>
      <c r="C9" s="1"/>
      <c r="D9" s="37">
        <v>0</v>
      </c>
      <c r="E9" s="2">
        <f>(D9*123)/1000</f>
        <v>0</v>
      </c>
    </row>
    <row r="10" spans="1:8" ht="18.75" customHeight="1">
      <c r="A10" s="33" t="s">
        <v>11</v>
      </c>
      <c r="B10" s="1">
        <f>SUM(B4:B9)</f>
        <v>2449.6</v>
      </c>
      <c r="C10" s="1">
        <f>SUM(C4:C9)</f>
        <v>117.79999999999998</v>
      </c>
      <c r="D10" s="4">
        <f>SUM(D4:D9)</f>
        <v>2430.1</v>
      </c>
      <c r="E10" s="3">
        <f>SUM(E4:E9)</f>
        <v>106.039</v>
      </c>
      <c r="F10" s="31" t="s">
        <v>14</v>
      </c>
      <c r="H10" s="6">
        <f>($E$10*1000)/$D$10</f>
        <v>43.635652853792024</v>
      </c>
    </row>
    <row r="11" spans="1:6" ht="16.5" customHeight="1">
      <c r="A11" s="27" t="s">
        <v>12</v>
      </c>
      <c r="B11" s="1">
        <v>132</v>
      </c>
      <c r="C11" s="1">
        <v>6.3</v>
      </c>
      <c r="D11" s="1">
        <f>F11*6</f>
        <v>9</v>
      </c>
      <c r="E11" s="2">
        <f>D11*48/1000</f>
        <v>0.432</v>
      </c>
      <c r="F11" s="37">
        <v>1.5</v>
      </c>
    </row>
    <row r="12" spans="1:8" ht="18.75" customHeight="1">
      <c r="A12" s="33" t="s">
        <v>13</v>
      </c>
      <c r="B12" s="1">
        <f>B10-B11</f>
        <v>2317.6</v>
      </c>
      <c r="C12" s="1">
        <f>C10-C11</f>
        <v>111.49999999999999</v>
      </c>
      <c r="D12" s="4">
        <f>D10-D11</f>
        <v>2421.1</v>
      </c>
      <c r="E12" s="3">
        <f>E10-E11</f>
        <v>105.607</v>
      </c>
      <c r="H12" s="6">
        <f>($E$12*1000)/$D$12</f>
        <v>43.61942918508117</v>
      </c>
    </row>
    <row r="13" ht="3.75" customHeight="1"/>
    <row r="14" spans="1:6" ht="15">
      <c r="A14" s="34" t="str">
        <f>IF(D10&gt;2550,"Take-Off Weight is above 2550!","Take-Off Weight is OK")</f>
        <v>Take-Off Weight is OK</v>
      </c>
      <c r="D14" s="58" t="s">
        <v>22</v>
      </c>
      <c r="E14" s="58"/>
      <c r="F14" s="35">
        <f>2550-($D$4+(53*6))</f>
        <v>544.9000000000001</v>
      </c>
    </row>
    <row r="15" ht="12.75">
      <c r="A15" s="36"/>
    </row>
    <row r="16" ht="12.75">
      <c r="A16" s="36"/>
    </row>
  </sheetData>
  <sheetProtection password="A5B5" sheet="1" objects="1" scenarios="1"/>
  <mergeCells count="7">
    <mergeCell ref="G2:L2"/>
    <mergeCell ref="G3:M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53 gallons" sqref="F5">
      <formula1>53</formula1>
    </dataValidation>
    <dataValidation type="decimal" operator="lessThan" allowBlank="1" showInputMessage="1" showErrorMessage="1" errorTitle="NC Wing Civil Air Patrol" error="You cannot use more than 53 gallons on your flight!" sqref="F11">
      <formula1>53</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85</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86</v>
      </c>
      <c r="B4" s="1">
        <v>1703.6</v>
      </c>
      <c r="C4" s="1">
        <v>67.2</v>
      </c>
      <c r="D4" s="32">
        <v>1479.28</v>
      </c>
      <c r="E4" s="32">
        <v>57.03</v>
      </c>
      <c r="F4" s="31" t="s">
        <v>6</v>
      </c>
    </row>
    <row r="5" spans="1:6" ht="16.5" customHeight="1">
      <c r="A5" s="27" t="s">
        <v>49</v>
      </c>
      <c r="B5" s="1">
        <v>180</v>
      </c>
      <c r="C5" s="1">
        <v>8.6</v>
      </c>
      <c r="D5" s="1">
        <f>F5*6</f>
        <v>240</v>
      </c>
      <c r="E5" s="2">
        <f>D5*48/1000</f>
        <v>11.52</v>
      </c>
      <c r="F5" s="37">
        <v>40</v>
      </c>
    </row>
    <row r="6" spans="1:5" ht="16.5" customHeight="1">
      <c r="A6" s="27" t="s">
        <v>7</v>
      </c>
      <c r="B6" s="1">
        <v>340</v>
      </c>
      <c r="C6" s="1">
        <v>12.6</v>
      </c>
      <c r="D6" s="37">
        <v>418</v>
      </c>
      <c r="E6" s="2">
        <f>(D6*37)/1000</f>
        <v>15.466</v>
      </c>
    </row>
    <row r="7" spans="1:5" ht="16.5" customHeight="1">
      <c r="A7" s="27" t="s">
        <v>8</v>
      </c>
      <c r="B7" s="1">
        <v>170</v>
      </c>
      <c r="C7" s="1">
        <v>24.8</v>
      </c>
      <c r="D7" s="37">
        <v>210</v>
      </c>
      <c r="E7" s="2">
        <f>D7*73/1000</f>
        <v>15.33</v>
      </c>
    </row>
    <row r="8" spans="1:5" ht="16.5" customHeight="1">
      <c r="A8" s="27" t="s">
        <v>9</v>
      </c>
      <c r="B8" s="1">
        <v>56</v>
      </c>
      <c r="C8" s="1">
        <v>4.6</v>
      </c>
      <c r="D8" s="37">
        <v>0</v>
      </c>
      <c r="E8" s="2">
        <f>(D8*95)/1000</f>
        <v>0</v>
      </c>
    </row>
    <row r="9" spans="1:5" ht="16.5" customHeight="1">
      <c r="A9" s="27" t="s">
        <v>10</v>
      </c>
      <c r="B9" s="1"/>
      <c r="C9" s="1"/>
      <c r="D9" s="37">
        <v>20</v>
      </c>
      <c r="E9" s="2">
        <f>(D9*123)/1000</f>
        <v>2.46</v>
      </c>
    </row>
    <row r="10" spans="1:8" ht="18.75" customHeight="1">
      <c r="A10" s="33" t="s">
        <v>11</v>
      </c>
      <c r="B10" s="1">
        <f>SUM(B4:B9)</f>
        <v>2449.6</v>
      </c>
      <c r="C10" s="1">
        <f>SUM(C4:C9)</f>
        <v>117.79999999999998</v>
      </c>
      <c r="D10" s="4">
        <f>SUM(D4:D9)</f>
        <v>2367.2799999999997</v>
      </c>
      <c r="E10" s="3">
        <f>SUM(E4:E9)</f>
        <v>101.80599999999998</v>
      </c>
      <c r="F10" s="31" t="s">
        <v>14</v>
      </c>
      <c r="H10" s="6">
        <f>($E$10*1000)/$D$10</f>
        <v>43.00547463755871</v>
      </c>
    </row>
    <row r="11" spans="1:6" ht="16.5" customHeight="1">
      <c r="A11" s="27" t="s">
        <v>12</v>
      </c>
      <c r="B11" s="1">
        <v>132</v>
      </c>
      <c r="C11" s="1">
        <v>6.3</v>
      </c>
      <c r="D11" s="1">
        <f>F11*6</f>
        <v>9</v>
      </c>
      <c r="E11" s="2">
        <f>D11*48/1000</f>
        <v>0.432</v>
      </c>
      <c r="F11" s="37">
        <v>1.5</v>
      </c>
    </row>
    <row r="12" spans="1:8" ht="18.75" customHeight="1">
      <c r="A12" s="33" t="s">
        <v>13</v>
      </c>
      <c r="B12" s="1">
        <f>B10-B11</f>
        <v>2317.6</v>
      </c>
      <c r="C12" s="1">
        <f>C10-C11</f>
        <v>111.49999999999999</v>
      </c>
      <c r="D12" s="4">
        <f>D10-D11</f>
        <v>2358.2799999999997</v>
      </c>
      <c r="E12" s="3">
        <f>E10-E11</f>
        <v>101.37399999999998</v>
      </c>
      <c r="H12" s="6">
        <f>($E$12*1000)/$D$12</f>
        <v>42.986413827026475</v>
      </c>
    </row>
    <row r="13" ht="3.75" customHeight="1"/>
    <row r="14" spans="1:6" ht="15">
      <c r="A14" s="34" t="str">
        <f>IF(D10&gt;2550,"Take-Off Weight is above 2550!","Take-Off Weight is OK")</f>
        <v>Take-Off Weight is OK</v>
      </c>
      <c r="D14" s="58" t="s">
        <v>22</v>
      </c>
      <c r="E14" s="58"/>
      <c r="F14" s="35">
        <f>2550-($D$4+(40*6))</f>
        <v>830.72</v>
      </c>
    </row>
    <row r="15" ht="12.75">
      <c r="A15" s="36"/>
    </row>
    <row r="16" ht="12.75">
      <c r="A16" s="36"/>
    </row>
  </sheetData>
  <sheetProtection password="A601" sheet="1" objects="1" scenarios="1"/>
  <mergeCells count="7">
    <mergeCell ref="G2:L2"/>
    <mergeCell ref="G3:M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40 gallons" sqref="F5">
      <formula1>40</formula1>
    </dataValidation>
    <dataValidation type="decimal" operator="lessThan" allowBlank="1" showInputMessage="1" showErrorMessage="1" errorTitle="NC Wing Civil Air Patrol" error="You cannot use more than 53 gallons on your flight!" sqref="F11">
      <formula1>53</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16"/>
  <sheetViews>
    <sheetView showGridLines="0" workbookViewId="0" topLeftCell="A1">
      <selection activeCell="A1" sqref="A1"/>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17" ht="14.25" customHeight="1">
      <c r="A1" s="28" t="s">
        <v>83</v>
      </c>
      <c r="B1" s="59" t="s">
        <v>5</v>
      </c>
      <c r="C1" s="59"/>
      <c r="D1" s="60">
        <f ca="1">NOW()</f>
        <v>38797.68181087963</v>
      </c>
      <c r="E1" s="60"/>
      <c r="F1" s="63" t="s">
        <v>99</v>
      </c>
      <c r="G1" s="64"/>
      <c r="H1" s="64"/>
      <c r="I1" s="64"/>
      <c r="J1" s="64"/>
      <c r="K1" s="64"/>
      <c r="L1" s="64"/>
      <c r="M1" s="64"/>
      <c r="N1" s="64"/>
      <c r="O1" s="64"/>
      <c r="P1" s="64"/>
      <c r="Q1" s="64"/>
    </row>
    <row r="2" spans="1:17" ht="47.25">
      <c r="A2" s="30" t="s">
        <v>97</v>
      </c>
      <c r="B2" s="61" t="s">
        <v>2</v>
      </c>
      <c r="C2" s="62"/>
      <c r="D2" s="61" t="s">
        <v>3</v>
      </c>
      <c r="E2" s="62"/>
      <c r="G2" s="54" t="s">
        <v>17</v>
      </c>
      <c r="H2" s="65"/>
      <c r="I2" s="65"/>
      <c r="J2" s="65"/>
      <c r="K2" s="65"/>
      <c r="L2" s="65"/>
      <c r="M2" s="42"/>
      <c r="N2" s="42"/>
      <c r="O2" s="42"/>
      <c r="P2" s="42"/>
      <c r="Q2" s="42"/>
    </row>
    <row r="3" spans="1:15" ht="21.75" customHeight="1">
      <c r="A3" s="31" t="s">
        <v>0</v>
      </c>
      <c r="B3" s="31" t="s">
        <v>1</v>
      </c>
      <c r="C3" s="31" t="s">
        <v>4</v>
      </c>
      <c r="D3" s="31" t="s">
        <v>1</v>
      </c>
      <c r="E3" s="31" t="s">
        <v>4</v>
      </c>
      <c r="F3" s="46">
        <f>IF($D$10&gt;2950,((($D$10-2950)/6)*4.286),"")</f>
        <v>107.04999333333342</v>
      </c>
      <c r="G3" s="56" t="s">
        <v>96</v>
      </c>
      <c r="H3" s="66"/>
      <c r="I3" s="66"/>
      <c r="J3" s="66"/>
      <c r="K3" s="66"/>
      <c r="L3" s="66"/>
      <c r="M3" s="66"/>
      <c r="N3" s="66"/>
      <c r="O3" s="66"/>
    </row>
    <row r="4" spans="1:6" ht="37.5" customHeight="1">
      <c r="A4" s="27" t="s">
        <v>101</v>
      </c>
      <c r="B4" s="1">
        <v>1924</v>
      </c>
      <c r="C4" s="1">
        <v>70.9</v>
      </c>
      <c r="D4" s="32">
        <v>2050.86</v>
      </c>
      <c r="E4" s="32">
        <v>80.76</v>
      </c>
      <c r="F4" s="31" t="s">
        <v>6</v>
      </c>
    </row>
    <row r="5" spans="1:6" ht="16.5" customHeight="1">
      <c r="A5" s="27" t="s">
        <v>93</v>
      </c>
      <c r="B5" s="1">
        <v>528</v>
      </c>
      <c r="C5" s="1">
        <v>24.6</v>
      </c>
      <c r="D5" s="1">
        <f>F5*6</f>
        <v>384</v>
      </c>
      <c r="E5" s="2">
        <f>D5*47.78/1000</f>
        <v>18.34752</v>
      </c>
      <c r="F5" s="37">
        <v>64</v>
      </c>
    </row>
    <row r="6" spans="1:6" ht="16.5" customHeight="1">
      <c r="A6" s="27" t="s">
        <v>7</v>
      </c>
      <c r="B6" s="1">
        <v>340</v>
      </c>
      <c r="C6" s="1">
        <v>12.6</v>
      </c>
      <c r="D6" s="37">
        <v>400</v>
      </c>
      <c r="E6" s="2">
        <f>(D6*37)/1000</f>
        <v>14.8</v>
      </c>
      <c r="F6" s="67" t="str">
        <f>CONCATENATE("You will have to fly for ",ROUNDUP($F$3,0)," minutes @ 14 GPH before landing!")</f>
        <v>You will have to fly for 108 minutes @ 14 GPH before landing!</v>
      </c>
    </row>
    <row r="7" spans="1:6" ht="16.5" customHeight="1">
      <c r="A7" s="27" t="s">
        <v>8</v>
      </c>
      <c r="B7" s="1">
        <v>200</v>
      </c>
      <c r="C7" s="1">
        <v>14.8</v>
      </c>
      <c r="D7" s="37">
        <v>200</v>
      </c>
      <c r="E7" s="2">
        <f>D7*73/1000</f>
        <v>14.6</v>
      </c>
      <c r="F7" s="68"/>
    </row>
    <row r="8" spans="1:6" ht="16.5" customHeight="1">
      <c r="A8" s="27" t="s">
        <v>94</v>
      </c>
      <c r="B8" s="1">
        <v>100</v>
      </c>
      <c r="C8" s="1">
        <v>9.7</v>
      </c>
      <c r="D8" s="37">
        <v>65</v>
      </c>
      <c r="E8" s="2">
        <f>(D8*95)/1000</f>
        <v>6.175</v>
      </c>
      <c r="F8" s="68"/>
    </row>
    <row r="9" spans="1:6" ht="16.5" customHeight="1">
      <c r="A9" s="27" t="s">
        <v>95</v>
      </c>
      <c r="B9" s="1">
        <v>8</v>
      </c>
      <c r="C9" s="1">
        <v>2.7</v>
      </c>
      <c r="D9" s="37">
        <v>0</v>
      </c>
      <c r="E9" s="2">
        <f>(D9*123)/1000</f>
        <v>0</v>
      </c>
      <c r="F9" s="69"/>
    </row>
    <row r="10" spans="1:8" ht="18.75" customHeight="1">
      <c r="A10" s="33" t="s">
        <v>11</v>
      </c>
      <c r="B10" s="1">
        <f>SUM(B4:B9)</f>
        <v>3100</v>
      </c>
      <c r="C10" s="1">
        <f>SUM(C4:C9)</f>
        <v>135.29999999999998</v>
      </c>
      <c r="D10" s="4">
        <f>SUM(D4:D9)</f>
        <v>3099.86</v>
      </c>
      <c r="E10" s="3">
        <f>SUM(E4:E9)</f>
        <v>134.68252</v>
      </c>
      <c r="F10" s="48" t="s">
        <v>109</v>
      </c>
      <c r="H10" s="6">
        <f>($E$10*1000)/$D$10</f>
        <v>43.44793635841619</v>
      </c>
    </row>
    <row r="11" spans="1:6" ht="16.5" customHeight="1">
      <c r="A11" s="27" t="s">
        <v>12</v>
      </c>
      <c r="B11" s="1">
        <v>10</v>
      </c>
      <c r="C11" s="1">
        <v>0.5</v>
      </c>
      <c r="D11" s="1">
        <f>F11*6</f>
        <v>150</v>
      </c>
      <c r="E11" s="2">
        <f>D11*48/1000</f>
        <v>7.2</v>
      </c>
      <c r="F11" s="47">
        <f>IF($D$10&lt;=2950,0,ROUNDUP(($D$10-2950)/6,0))</f>
        <v>25</v>
      </c>
    </row>
    <row r="12" spans="1:8" ht="18.75" customHeight="1">
      <c r="A12" s="33" t="s">
        <v>13</v>
      </c>
      <c r="B12" s="1">
        <f>B10-B11</f>
        <v>3090</v>
      </c>
      <c r="C12" s="1">
        <f>C10-C11</f>
        <v>134.79999999999998</v>
      </c>
      <c r="D12" s="4">
        <f>D10-D11</f>
        <v>2949.86</v>
      </c>
      <c r="E12" s="3">
        <f>E10-E11</f>
        <v>127.48252000000001</v>
      </c>
      <c r="F12" s="45" t="str">
        <f>IF($D$10&gt;2950,"Landing Warning!","Good to Land!")</f>
        <v>Landing Warning!</v>
      </c>
      <c r="H12" s="6">
        <f>($E$12*1000)/$D$12</f>
        <v>43.216464510180145</v>
      </c>
    </row>
    <row r="13" ht="3.75" customHeight="1">
      <c r="F13" s="44"/>
    </row>
    <row r="14" spans="1:6" ht="15">
      <c r="A14" s="34" t="str">
        <f>IF(D10&gt;3100,"Take-Off Weight is above 3100!","Take-Off Weight is OK")</f>
        <v>Take-Off Weight is OK</v>
      </c>
      <c r="D14" s="58" t="s">
        <v>22</v>
      </c>
      <c r="E14" s="58"/>
      <c r="F14" s="35">
        <f>3100-($D$4+(87*6))</f>
        <v>527.1399999999999</v>
      </c>
    </row>
    <row r="15" ht="12.75">
      <c r="A15" s="36"/>
    </row>
    <row r="16" ht="12.75">
      <c r="A16" s="36"/>
    </row>
  </sheetData>
  <sheetProtection password="A5A9" sheet="1" objects="1" scenarios="1"/>
  <mergeCells count="9">
    <mergeCell ref="B1:C1"/>
    <mergeCell ref="D1:E1"/>
    <mergeCell ref="B2:C2"/>
    <mergeCell ref="D2:E2"/>
    <mergeCell ref="F1:Q1"/>
    <mergeCell ref="G2:L2"/>
    <mergeCell ref="D14:E14"/>
    <mergeCell ref="G3:O3"/>
    <mergeCell ref="F6:F9"/>
  </mergeCells>
  <conditionalFormatting sqref="E12 E10">
    <cfRule type="cellIs" priority="1" dxfId="2" operator="equal" stopIfTrue="1">
      <formula>0</formula>
    </cfRule>
  </conditionalFormatting>
  <conditionalFormatting sqref="A14">
    <cfRule type="cellIs" priority="2" dxfId="0" operator="equal" stopIfTrue="1">
      <formula>"Take-Off Weight is OK"</formula>
    </cfRule>
    <cfRule type="cellIs" priority="3" dxfId="1" operator="equal" stopIfTrue="1">
      <formula>"Take-Off Weight is above 3100!"</formula>
    </cfRule>
  </conditionalFormatting>
  <conditionalFormatting sqref="F12">
    <cfRule type="cellIs" priority="4" dxfId="0" operator="lessThanOrEqual" stopIfTrue="1">
      <formula>"Good to land!"</formula>
    </cfRule>
    <cfRule type="cellIs" priority="5" dxfId="3" operator="greaterThan" stopIfTrue="1">
      <formula>" "</formula>
    </cfRule>
  </conditionalFormatting>
  <conditionalFormatting sqref="F6:F9">
    <cfRule type="cellIs" priority="6" dxfId="4" operator="greaterThan" stopIfTrue="1">
      <formula>"You will have to fly"</formula>
    </cfRule>
    <cfRule type="cellIs" priority="7" dxfId="5" operator="lessThanOrEqual" stopIfTrue="1">
      <formula>"You will have to fly"</formula>
    </cfRule>
  </conditionalFormatting>
  <conditionalFormatting sqref="F11">
    <cfRule type="cellIs" priority="8" dxfId="6" operator="greaterThan" stopIfTrue="1">
      <formula>0</formula>
    </cfRule>
  </conditionalFormatting>
  <dataValidations count="6">
    <dataValidation type="whole" allowBlank="1" showInputMessage="1" showErrorMessage="1" errorTitle="NC Wing CAP" error="Baggage Area 1 can only contain a weight from 0 to 120 pounds." sqref="D8">
      <formula1>0</formula1>
      <formula2>120</formula2>
    </dataValidation>
    <dataValidation type="whole" allowBlank="1" showInputMessage="1" showErrorMessage="1" errorTitle="NC Wing CAP" error="Baggage Area 2 must only contain a weight from 0 to 50 pounds." sqref="D9">
      <formula1>0</formula1>
      <formula2>50</formula2>
    </dataValidation>
    <dataValidation type="whole" operator="lessThanOrEqual" allowBlank="1" showInputMessage="1" showErrorMessage="1" errorTitle="NC Wing Civil Air Patrol" error="You cannot hold more than 87 gallons" sqref="F5">
      <formula1>87</formula1>
    </dataValidation>
    <dataValidation type="decimal" operator="lessThan" allowBlank="1" showInputMessage="1" showErrorMessage="1" errorTitle="NC Wing Civil Air Patrol" error="You cannot use more than 40 gallons on your flight!" sqref="F11">
      <formula1>40</formula1>
    </dataValidation>
    <dataValidation errorStyle="warning" type="whole" operator="greaterThan" allowBlank="1" showInputMessage="1" showErrorMessage="1" errorTitle="LANDING WEIGHT!" error="WARNING:  You must fly the number of minutes listed at 13 GPH  before landing.  If you do not, you will land over-gross! " sqref="F3">
      <formula1>0</formula1>
    </dataValidation>
    <dataValidation errorStyle="warning" type="whole" operator="greaterThan" allowBlank="1" showInputMessage="1" showErrorMessage="1" errorTitle="LANDING WARNING!" error="WARNING:  You must fly the listed number of minutes at approximately 14 GPH before landing.  Otherwise, you will land over-gross!" sqref="F6:F9">
      <formula1>0</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21</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19</v>
      </c>
      <c r="B4" s="1">
        <v>1703.6</v>
      </c>
      <c r="C4" s="1">
        <v>67.2</v>
      </c>
      <c r="D4" s="32">
        <v>1669</v>
      </c>
      <c r="E4" s="32">
        <v>64.968</v>
      </c>
      <c r="F4" s="31" t="s">
        <v>6</v>
      </c>
    </row>
    <row r="5" spans="1:6" ht="16.5" customHeight="1">
      <c r="A5" s="27" t="s">
        <v>18</v>
      </c>
      <c r="B5" s="1">
        <v>180</v>
      </c>
      <c r="C5" s="1">
        <v>8.6</v>
      </c>
      <c r="D5" s="1">
        <f>F5*6</f>
        <v>318</v>
      </c>
      <c r="E5" s="2">
        <f>D5*48/1000</f>
        <v>15.264</v>
      </c>
      <c r="F5" s="37">
        <v>53</v>
      </c>
    </row>
    <row r="6" spans="1:5" ht="16.5" customHeight="1">
      <c r="A6" s="27" t="s">
        <v>7</v>
      </c>
      <c r="B6" s="1">
        <v>340</v>
      </c>
      <c r="C6" s="1">
        <v>12.6</v>
      </c>
      <c r="D6" s="37">
        <v>400</v>
      </c>
      <c r="E6" s="2">
        <f>(D6*37)/1000</f>
        <v>14.8</v>
      </c>
    </row>
    <row r="7" spans="1:5" ht="16.5" customHeight="1">
      <c r="A7" s="27" t="s">
        <v>8</v>
      </c>
      <c r="B7" s="1">
        <v>170</v>
      </c>
      <c r="C7" s="1">
        <v>24.8</v>
      </c>
      <c r="D7" s="37">
        <v>0</v>
      </c>
      <c r="E7" s="2">
        <f>D7*73/1000</f>
        <v>0</v>
      </c>
    </row>
    <row r="8" spans="1:5" ht="16.5" customHeight="1">
      <c r="A8" s="27" t="s">
        <v>9</v>
      </c>
      <c r="B8" s="1">
        <v>56</v>
      </c>
      <c r="C8" s="1">
        <v>4.6</v>
      </c>
      <c r="D8" s="37">
        <v>50</v>
      </c>
      <c r="E8" s="2">
        <f>(D8*95)/1000</f>
        <v>4.75</v>
      </c>
    </row>
    <row r="9" spans="1:5" ht="16.5" customHeight="1">
      <c r="A9" s="27" t="s">
        <v>10</v>
      </c>
      <c r="B9" s="1"/>
      <c r="C9" s="1"/>
      <c r="D9" s="37">
        <v>0</v>
      </c>
      <c r="E9" s="2">
        <f>(D9*123)/1000</f>
        <v>0</v>
      </c>
    </row>
    <row r="10" spans="1:8" ht="18.75" customHeight="1">
      <c r="A10" s="33" t="s">
        <v>11</v>
      </c>
      <c r="B10" s="1">
        <f>SUM(B4:B9)</f>
        <v>2449.6</v>
      </c>
      <c r="C10" s="1">
        <f>SUM(C4:C9)</f>
        <v>117.79999999999998</v>
      </c>
      <c r="D10" s="4">
        <f>SUM(D4:D9)</f>
        <v>2437</v>
      </c>
      <c r="E10" s="3">
        <f>SUM(E4:E9)</f>
        <v>99.782</v>
      </c>
      <c r="F10" s="31" t="s">
        <v>14</v>
      </c>
      <c r="H10" s="6">
        <f>($E$10*1000)/$D$10</f>
        <v>40.94460402133771</v>
      </c>
    </row>
    <row r="11" spans="1:6" ht="16.5" customHeight="1">
      <c r="A11" s="27" t="s">
        <v>12</v>
      </c>
      <c r="B11" s="1">
        <v>132</v>
      </c>
      <c r="C11" s="1">
        <v>6.3</v>
      </c>
      <c r="D11" s="1">
        <f>F11*6</f>
        <v>9</v>
      </c>
      <c r="E11" s="2">
        <f>D11*48/1000</f>
        <v>0.432</v>
      </c>
      <c r="F11" s="37">
        <v>1.5</v>
      </c>
    </row>
    <row r="12" spans="1:8" ht="18.75" customHeight="1">
      <c r="A12" s="33" t="s">
        <v>13</v>
      </c>
      <c r="B12" s="1">
        <f>B10-B11</f>
        <v>2317.6</v>
      </c>
      <c r="C12" s="1">
        <f>C10-C11</f>
        <v>111.49999999999999</v>
      </c>
      <c r="D12" s="4">
        <f>D10-D11</f>
        <v>2428</v>
      </c>
      <c r="E12" s="3">
        <f>E10-E11</f>
        <v>99.35</v>
      </c>
      <c r="H12" s="6">
        <f>($E$12*1000)/$D$12</f>
        <v>40.91845140032949</v>
      </c>
    </row>
    <row r="13" ht="3.75" customHeight="1"/>
    <row r="14" spans="1:6" ht="15">
      <c r="A14" s="34" t="str">
        <f>IF(D10&gt;2550,"Take-Off Weight is above 2550!","Take-Off Weight is OK")</f>
        <v>Take-Off Weight is OK</v>
      </c>
      <c r="D14" s="58" t="s">
        <v>22</v>
      </c>
      <c r="E14" s="58"/>
      <c r="F14" s="35">
        <f>2550-($D$4+(53*6))</f>
        <v>563</v>
      </c>
    </row>
    <row r="15" ht="12.75">
      <c r="A15" s="36"/>
    </row>
    <row r="16" ht="12.75">
      <c r="A16" s="36"/>
    </row>
  </sheetData>
  <sheetProtection password="A5AD" sheet="1" objects="1" scenarios="1"/>
  <mergeCells count="7">
    <mergeCell ref="D14:E14"/>
    <mergeCell ref="D1:E1"/>
    <mergeCell ref="B1:C1"/>
    <mergeCell ref="G3:M3"/>
    <mergeCell ref="G2:L2"/>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53 gallons" sqref="F5">
      <formula1>53</formula1>
    </dataValidation>
    <dataValidation type="decimal" operator="lessThan" allowBlank="1" showInputMessage="1" showErrorMessage="1" errorTitle="NC Wing Civil Air Patrol" error="You cannot use more than 53 gallons on your flight!" sqref="F11">
      <formula1>53</formula1>
    </dataValidation>
  </dataValidations>
  <hyperlinks>
    <hyperlink ref="A1" location="Payload!A1" display="Return to Payload"/>
  </hyperlinks>
  <printOptions horizontalCentered="1" verticalCentered="1"/>
  <pageMargins left="0.25" right="0.25" top="0.25" bottom="0.25" header="0" footer="0"/>
  <pageSetup fitToHeight="1" fitToWidth="1" horizontalDpi="300" verticalDpi="300" orientation="landscape" scale="66"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1" sqref="A1"/>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48</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50</v>
      </c>
      <c r="B4" s="1">
        <v>1467</v>
      </c>
      <c r="C4" s="1">
        <v>57.3</v>
      </c>
      <c r="D4" s="32">
        <v>1593</v>
      </c>
      <c r="E4" s="32">
        <v>61.9</v>
      </c>
      <c r="F4" s="31" t="s">
        <v>6</v>
      </c>
    </row>
    <row r="5" spans="1:6" ht="16.5" customHeight="1">
      <c r="A5" s="27" t="s">
        <v>49</v>
      </c>
      <c r="B5" s="1">
        <v>240</v>
      </c>
      <c r="C5" s="1">
        <v>11.5</v>
      </c>
      <c r="D5" s="1">
        <f>F5*6</f>
        <v>240</v>
      </c>
      <c r="E5" s="2">
        <f>D5*48/1000</f>
        <v>11.52</v>
      </c>
      <c r="F5" s="37">
        <v>40</v>
      </c>
    </row>
    <row r="6" spans="1:5" ht="16.5" customHeight="1">
      <c r="A6" s="27" t="s">
        <v>7</v>
      </c>
      <c r="B6" s="1">
        <v>340</v>
      </c>
      <c r="C6" s="1">
        <v>12.6</v>
      </c>
      <c r="D6" s="37">
        <v>400</v>
      </c>
      <c r="E6" s="2">
        <f>(D6*37)/1000</f>
        <v>14.8</v>
      </c>
    </row>
    <row r="7" spans="1:5" ht="16.5" customHeight="1">
      <c r="A7" s="27" t="s">
        <v>8</v>
      </c>
      <c r="B7" s="1">
        <v>170</v>
      </c>
      <c r="C7" s="1">
        <v>24.8</v>
      </c>
      <c r="D7" s="37">
        <v>150</v>
      </c>
      <c r="E7" s="2">
        <f>D7*73/1000</f>
        <v>10.95</v>
      </c>
    </row>
    <row r="8" spans="1:5" ht="16.5" customHeight="1">
      <c r="A8" s="27" t="s">
        <v>9</v>
      </c>
      <c r="B8" s="1">
        <v>20</v>
      </c>
      <c r="C8" s="1">
        <v>1.9</v>
      </c>
      <c r="D8" s="37">
        <v>45</v>
      </c>
      <c r="E8" s="2">
        <f>(D8*95)/1000</f>
        <v>4.275</v>
      </c>
    </row>
    <row r="9" spans="1:5" ht="16.5" customHeight="1">
      <c r="A9" s="27" t="s">
        <v>10</v>
      </c>
      <c r="B9" s="1"/>
      <c r="C9" s="1"/>
      <c r="D9" s="37">
        <v>10</v>
      </c>
      <c r="E9" s="2">
        <f>(D9*123)/1000</f>
        <v>1.23</v>
      </c>
    </row>
    <row r="10" spans="1:8" ht="18.75" customHeight="1">
      <c r="A10" s="33" t="s">
        <v>11</v>
      </c>
      <c r="B10" s="1">
        <f>SUM(B4:B9)</f>
        <v>2237</v>
      </c>
      <c r="C10" s="1">
        <f>SUM(C4:C9)</f>
        <v>108.1</v>
      </c>
      <c r="D10" s="4">
        <f>SUM(D4:D9)</f>
        <v>2438</v>
      </c>
      <c r="E10" s="3">
        <f>SUM(E4:E9)</f>
        <v>104.67500000000001</v>
      </c>
      <c r="F10" s="31" t="s">
        <v>14</v>
      </c>
      <c r="H10" s="6">
        <f>($E$10*1000)/$D$10</f>
        <v>42.934782608695656</v>
      </c>
    </row>
    <row r="11" spans="1:6" ht="16.5" customHeight="1">
      <c r="A11" s="27" t="s">
        <v>12</v>
      </c>
      <c r="B11" s="1">
        <v>132</v>
      </c>
      <c r="C11" s="1">
        <v>6.3</v>
      </c>
      <c r="D11" s="1">
        <f>F11*6</f>
        <v>9</v>
      </c>
      <c r="E11" s="2">
        <f>D11*48/1000</f>
        <v>0.432</v>
      </c>
      <c r="F11" s="37">
        <v>1.5</v>
      </c>
    </row>
    <row r="12" spans="1:8" ht="18.75" customHeight="1">
      <c r="A12" s="33" t="s">
        <v>13</v>
      </c>
      <c r="B12" s="1">
        <f>B10-B11</f>
        <v>2105</v>
      </c>
      <c r="C12" s="1">
        <f>C10-C11</f>
        <v>101.8</v>
      </c>
      <c r="D12" s="4">
        <f>D10-D11</f>
        <v>2429</v>
      </c>
      <c r="E12" s="3">
        <f>E10-E11</f>
        <v>104.24300000000001</v>
      </c>
      <c r="H12" s="6">
        <f>($E$12*1000)/$D$12</f>
        <v>42.916014820913965</v>
      </c>
    </row>
    <row r="13" ht="3.75" customHeight="1"/>
    <row r="14" spans="1:6" ht="15">
      <c r="A14" s="34" t="str">
        <f>IF(D10&gt;2550,"Take-Off Weight is above 2550!","Take-Off Weight is OK")</f>
        <v>Take-Off Weight is OK</v>
      </c>
      <c r="D14" s="58" t="s">
        <v>22</v>
      </c>
      <c r="E14" s="58"/>
      <c r="F14" s="35">
        <f>2550-($D$4+(40*6))</f>
        <v>717</v>
      </c>
    </row>
    <row r="15" ht="12.75">
      <c r="A15" s="36"/>
    </row>
    <row r="16" ht="12.75">
      <c r="A16" s="36"/>
    </row>
  </sheetData>
  <sheetProtection password="AEAD" sheet="1" objects="1" scenarios="1"/>
  <mergeCells count="7">
    <mergeCell ref="G2:L2"/>
    <mergeCell ref="G3:M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40 gallons" sqref="F5">
      <formula1>40</formula1>
    </dataValidation>
    <dataValidation type="decimal" operator="lessThan" allowBlank="1" showInputMessage="1" showErrorMessage="1" errorTitle="NC Wing Civil Air Patrol" error="You cannot use more than 40 gallons on your flight!" sqref="F11">
      <formula1>40</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15.xml><?xml version="1.0" encoding="utf-8"?>
<worksheet xmlns="http://schemas.openxmlformats.org/spreadsheetml/2006/main" xmlns:r="http://schemas.openxmlformats.org/officeDocument/2006/relationships">
  <dimension ref="L3:L3"/>
  <sheetViews>
    <sheetView workbookViewId="0" topLeftCell="A1">
      <selection activeCell="L10" sqref="L10"/>
    </sheetView>
  </sheetViews>
  <sheetFormatPr defaultColWidth="9.140625" defaultRowHeight="12.75"/>
  <sheetData>
    <row r="3" ht="12.75">
      <c r="L3" t="s">
        <v>110</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
  <sheetViews>
    <sheetView showGridLines="0" workbookViewId="0" topLeftCell="A1">
      <selection activeCell="A1" sqref="A1:G1"/>
    </sheetView>
  </sheetViews>
  <sheetFormatPr defaultColWidth="9.140625" defaultRowHeight="12.75"/>
  <cols>
    <col min="1" max="3" width="12.140625" style="15" customWidth="1"/>
    <col min="4" max="4" width="11.8515625" style="16" customWidth="1"/>
    <col min="5" max="5" width="12.140625" style="15" customWidth="1"/>
    <col min="6" max="6" width="12.421875" style="15" customWidth="1"/>
    <col min="7" max="7" width="14.140625" style="16" customWidth="1"/>
    <col min="8" max="8" width="14.140625" style="0" customWidth="1"/>
  </cols>
  <sheetData>
    <row r="1" spans="1:7" ht="18">
      <c r="A1" s="49" t="s">
        <v>100</v>
      </c>
      <c r="B1" s="49"/>
      <c r="C1" s="49"/>
      <c r="D1" s="50"/>
      <c r="E1" s="49"/>
      <c r="F1" s="49"/>
      <c r="G1" s="50"/>
    </row>
    <row r="2" spans="1:7" s="17" customFormat="1" ht="15.75">
      <c r="A2" s="18" t="s">
        <v>51</v>
      </c>
      <c r="B2" s="18" t="s">
        <v>64</v>
      </c>
      <c r="C2" s="18" t="s">
        <v>70</v>
      </c>
      <c r="D2" s="19" t="s">
        <v>52</v>
      </c>
      <c r="E2" s="18" t="s">
        <v>54</v>
      </c>
      <c r="F2" s="18" t="s">
        <v>53</v>
      </c>
      <c r="G2" s="19" t="s">
        <v>82</v>
      </c>
    </row>
    <row r="3" spans="1:7" s="17" customFormat="1" ht="15.75">
      <c r="A3" s="18"/>
      <c r="B3" s="18"/>
      <c r="C3" s="18"/>
      <c r="D3" s="19"/>
      <c r="E3" s="18"/>
      <c r="F3" s="18"/>
      <c r="G3" s="19"/>
    </row>
    <row r="4" spans="1:8" ht="15.75">
      <c r="A4" s="20" t="s">
        <v>58</v>
      </c>
      <c r="B4" s="21" t="s">
        <v>65</v>
      </c>
      <c r="C4" s="21">
        <v>2550</v>
      </c>
      <c r="D4" s="22">
        <f>'1951F W &amp; B'!$D$4</f>
        <v>1456.81</v>
      </c>
      <c r="E4" s="21">
        <v>40</v>
      </c>
      <c r="F4" s="21">
        <f aca="true" t="shared" si="0" ref="F4:F13">$E4*6</f>
        <v>240</v>
      </c>
      <c r="G4" s="19">
        <f>$C4-$D4-$F4</f>
        <v>853.19</v>
      </c>
      <c r="H4" s="70" t="s">
        <v>111</v>
      </c>
    </row>
    <row r="5" spans="1:8" ht="15.75">
      <c r="A5" s="41" t="s">
        <v>98</v>
      </c>
      <c r="B5" s="24" t="s">
        <v>102</v>
      </c>
      <c r="C5" s="24">
        <v>3100</v>
      </c>
      <c r="D5" s="25">
        <f>'716CP W &amp; B'!$D$4</f>
        <v>2050.86</v>
      </c>
      <c r="E5" s="24">
        <v>87</v>
      </c>
      <c r="F5" s="24">
        <f t="shared" si="0"/>
        <v>522</v>
      </c>
      <c r="G5" s="26">
        <f aca="true" t="shared" si="1" ref="G5:G13">$C5-$D5-$F5</f>
        <v>527.1399999999999</v>
      </c>
      <c r="H5" s="26">
        <f>$C$5-($D$5+(64*6))</f>
        <v>665.1399999999999</v>
      </c>
    </row>
    <row r="6" spans="1:7" ht="15.75">
      <c r="A6" s="20" t="s">
        <v>55</v>
      </c>
      <c r="B6" s="21" t="s">
        <v>66</v>
      </c>
      <c r="C6" s="21">
        <v>2550</v>
      </c>
      <c r="D6" s="22">
        <f>'738NH W &amp; B'!$D$4</f>
        <v>1479.28</v>
      </c>
      <c r="E6" s="21">
        <v>40</v>
      </c>
      <c r="F6" s="21">
        <f t="shared" si="0"/>
        <v>240</v>
      </c>
      <c r="G6" s="19">
        <f t="shared" si="1"/>
        <v>830.72</v>
      </c>
    </row>
    <row r="7" spans="1:7" ht="15.75">
      <c r="A7" s="23" t="s">
        <v>61</v>
      </c>
      <c r="B7" s="24" t="s">
        <v>66</v>
      </c>
      <c r="C7" s="24">
        <v>2550</v>
      </c>
      <c r="D7" s="25">
        <f>'99700 W &amp; B'!D4</f>
        <v>1593</v>
      </c>
      <c r="E7" s="24">
        <v>40</v>
      </c>
      <c r="F7" s="24">
        <f t="shared" si="0"/>
        <v>240</v>
      </c>
      <c r="G7" s="26">
        <f t="shared" si="1"/>
        <v>717</v>
      </c>
    </row>
    <row r="8" spans="1:7" ht="15.75">
      <c r="A8" s="20" t="s">
        <v>62</v>
      </c>
      <c r="B8" s="21" t="s">
        <v>66</v>
      </c>
      <c r="C8" s="21">
        <v>2550</v>
      </c>
      <c r="D8" s="22">
        <f>'99832 W &amp; B'!$D$4</f>
        <v>1519.75</v>
      </c>
      <c r="E8" s="21">
        <v>40</v>
      </c>
      <c r="F8" s="21">
        <f t="shared" si="0"/>
        <v>240</v>
      </c>
      <c r="G8" s="19">
        <f t="shared" si="1"/>
        <v>790.25</v>
      </c>
    </row>
    <row r="9" spans="1:7" ht="15.75">
      <c r="A9" s="23" t="s">
        <v>63</v>
      </c>
      <c r="B9" s="24" t="s">
        <v>66</v>
      </c>
      <c r="C9" s="24">
        <v>2550</v>
      </c>
      <c r="D9" s="25">
        <f>'99885 W &amp; B'!$D$4</f>
        <v>1579.4</v>
      </c>
      <c r="E9" s="24">
        <v>40</v>
      </c>
      <c r="F9" s="24">
        <f t="shared" si="0"/>
        <v>240</v>
      </c>
      <c r="G9" s="26">
        <f t="shared" si="1"/>
        <v>730.5999999999999</v>
      </c>
    </row>
    <row r="10" spans="1:7" ht="15.75">
      <c r="A10" s="20" t="s">
        <v>57</v>
      </c>
      <c r="B10" s="21" t="s">
        <v>68</v>
      </c>
      <c r="C10" s="21">
        <v>2550</v>
      </c>
      <c r="D10" s="22">
        <f>'991CP W &amp; B'!D4</f>
        <v>1669</v>
      </c>
      <c r="E10" s="21">
        <v>53</v>
      </c>
      <c r="F10" s="21">
        <f t="shared" si="0"/>
        <v>318</v>
      </c>
      <c r="G10" s="19">
        <f t="shared" si="1"/>
        <v>563</v>
      </c>
    </row>
    <row r="11" spans="1:7" ht="15.75">
      <c r="A11" s="23" t="s">
        <v>56</v>
      </c>
      <c r="B11" s="24" t="s">
        <v>67</v>
      </c>
      <c r="C11" s="24">
        <v>2550</v>
      </c>
      <c r="D11" s="25">
        <f>'916CP W &amp; B'!$D$4</f>
        <v>1687.1</v>
      </c>
      <c r="E11" s="24">
        <v>53</v>
      </c>
      <c r="F11" s="24">
        <f t="shared" si="0"/>
        <v>318</v>
      </c>
      <c r="G11" s="26">
        <f t="shared" si="1"/>
        <v>544.9000000000001</v>
      </c>
    </row>
    <row r="12" spans="1:7" ht="15.75">
      <c r="A12" s="20" t="s">
        <v>59</v>
      </c>
      <c r="B12" s="21" t="s">
        <v>69</v>
      </c>
      <c r="C12" s="21">
        <v>3100</v>
      </c>
      <c r="D12" s="22">
        <f>'6006C W &amp; B'!$D$4</f>
        <v>1907.3</v>
      </c>
      <c r="E12" s="21">
        <v>75</v>
      </c>
      <c r="F12" s="21">
        <f t="shared" si="0"/>
        <v>450</v>
      </c>
      <c r="G12" s="19">
        <f t="shared" si="1"/>
        <v>742.7</v>
      </c>
    </row>
    <row r="13" spans="1:7" ht="15.75">
      <c r="A13" s="23" t="s">
        <v>60</v>
      </c>
      <c r="B13" s="24" t="s">
        <v>69</v>
      </c>
      <c r="C13" s="24">
        <v>3100</v>
      </c>
      <c r="D13" s="25">
        <f>'7389T W &amp; B'!$D$4</f>
        <v>1879.8</v>
      </c>
      <c r="E13" s="24">
        <v>75</v>
      </c>
      <c r="F13" s="24">
        <f t="shared" si="0"/>
        <v>450</v>
      </c>
      <c r="G13" s="26">
        <f t="shared" si="1"/>
        <v>770.2</v>
      </c>
    </row>
    <row r="16" spans="1:7" ht="15.75" customHeight="1">
      <c r="A16" s="20" t="s">
        <v>91</v>
      </c>
      <c r="B16" s="21" t="s">
        <v>92</v>
      </c>
      <c r="C16" s="21">
        <v>3100</v>
      </c>
      <c r="D16" s="22">
        <f>'6429T W &amp; B'!$D$4</f>
        <v>1932.54</v>
      </c>
      <c r="E16" s="21">
        <v>80</v>
      </c>
      <c r="F16" s="21">
        <f>$E16*6</f>
        <v>480</v>
      </c>
      <c r="G16" s="19">
        <f>$C16-$D16-$F16</f>
        <v>687.46</v>
      </c>
    </row>
  </sheetData>
  <sheetProtection password="E240" sheet="1" objects="1" scenarios="1"/>
  <mergeCells count="1">
    <mergeCell ref="A1:G1"/>
  </mergeCells>
  <hyperlinks>
    <hyperlink ref="A12" location="'6006C W &amp; B'!D6" display="N6006C"/>
    <hyperlink ref="A4" location="'1951F W &amp; B'!D6" display="N1951F"/>
    <hyperlink ref="A5" location="'716CP W &amp; B'!A1" display="N716CP"/>
    <hyperlink ref="A6" location="'738NH W &amp; B'!D6" display="N738NH"/>
    <hyperlink ref="A7" location="'99700 W &amp; B'!D6" display="N99700"/>
    <hyperlink ref="A11" location="'916CP W &amp; B'!D6" display="N916CP"/>
    <hyperlink ref="A10" location="'991CP W &amp; B'!D6" display="N991CP"/>
    <hyperlink ref="A13" location="'7389T W &amp; B'!D6" display="N7389T"/>
    <hyperlink ref="A8" location="'99832 W &amp; B'!D6" display="N99832"/>
    <hyperlink ref="A9" location="'99885 W &amp; B'!D6" display="N99885"/>
    <hyperlink ref="A16" location="'6429T W &amp; B'!D6" display="N6429T"/>
  </hyperlinks>
  <printOptions horizontalCentered="1" verticalCentered="1"/>
  <pageMargins left="0.25" right="0.25" top="0.25" bottom="0.25"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1800</v>
      </c>
      <c r="B2">
        <v>59.5</v>
      </c>
      <c r="D2">
        <v>2200</v>
      </c>
      <c r="E2">
        <v>82.5</v>
      </c>
      <c r="G2">
        <v>1800</v>
      </c>
      <c r="H2">
        <v>33</v>
      </c>
      <c r="J2">
        <v>1800</v>
      </c>
      <c r="K2">
        <v>33</v>
      </c>
    </row>
    <row r="3" spans="1:11" ht="12.75">
      <c r="A3">
        <v>2250</v>
      </c>
      <c r="B3">
        <v>74</v>
      </c>
      <c r="D3">
        <v>2200</v>
      </c>
      <c r="E3">
        <v>89</v>
      </c>
      <c r="G3">
        <v>2250</v>
      </c>
      <c r="H3">
        <v>33</v>
      </c>
      <c r="J3">
        <v>1900</v>
      </c>
      <c r="K3">
        <v>33</v>
      </c>
    </row>
    <row r="4" spans="1:11" ht="12.75">
      <c r="A4">
        <v>2700</v>
      </c>
      <c r="B4">
        <v>95.5</v>
      </c>
      <c r="D4">
        <v>1500</v>
      </c>
      <c r="E4">
        <v>60.5</v>
      </c>
      <c r="G4">
        <v>2700</v>
      </c>
      <c r="H4">
        <v>35.5</v>
      </c>
      <c r="J4">
        <v>2000</v>
      </c>
      <c r="K4">
        <v>41</v>
      </c>
    </row>
    <row r="5" spans="1:11" ht="12.75">
      <c r="A5">
        <v>3100</v>
      </c>
      <c r="B5">
        <v>126</v>
      </c>
      <c r="G5">
        <v>3100</v>
      </c>
      <c r="H5">
        <v>41</v>
      </c>
      <c r="J5">
        <v>2100</v>
      </c>
      <c r="K5">
        <v>47</v>
      </c>
    </row>
    <row r="6" spans="1:11" ht="12.75">
      <c r="A6">
        <v>3100</v>
      </c>
      <c r="B6">
        <v>146</v>
      </c>
      <c r="G6">
        <v>3100</v>
      </c>
      <c r="H6">
        <v>47</v>
      </c>
      <c r="J6">
        <v>3100</v>
      </c>
      <c r="K6">
        <v>47</v>
      </c>
    </row>
    <row r="7" spans="1:8" ht="12.75">
      <c r="A7">
        <v>1800</v>
      </c>
      <c r="B7">
        <v>84.5</v>
      </c>
      <c r="G7">
        <v>1800</v>
      </c>
      <c r="H7">
        <v>47</v>
      </c>
    </row>
    <row r="8" spans="1:8" ht="12.75">
      <c r="A8">
        <v>2000</v>
      </c>
      <c r="B8">
        <v>71</v>
      </c>
    </row>
    <row r="9" spans="1:8" ht="12.75">
      <c r="A9">
        <v>2100</v>
      </c>
      <c r="B9">
        <v>76.8</v>
      </c>
    </row>
    <row r="10" spans="1:8" ht="12.75">
      <c r="A10">
        <v>2200</v>
      </c>
      <c r="B10">
        <v>82.5</v>
      </c>
    </row>
    <row r="11" spans="1:8" ht="12.75">
      <c r="A11">
        <v>2300</v>
      </c>
      <c r="B11">
        <v>88.5</v>
      </c>
    </row>
    <row r="12" spans="1:8" ht="12.75">
      <c r="A12">
        <v>2400</v>
      </c>
      <c r="B12">
        <v>94.7</v>
      </c>
    </row>
    <row r="13" spans="1:8" ht="12.75">
      <c r="A13">
        <v>2500</v>
      </c>
      <c r="B13">
        <v>101</v>
      </c>
    </row>
    <row r="14" spans="1:8" ht="12.75">
      <c r="A14">
        <v>2550</v>
      </c>
      <c r="B14">
        <v>104.2</v>
      </c>
    </row>
    <row r="15" spans="1:8" ht="12.75">
      <c r="A15">
        <v>2550</v>
      </c>
      <c r="B15">
        <v>120.8</v>
      </c>
    </row>
    <row r="16" spans="1:8" ht="12.75">
      <c r="A16">
        <v>2500</v>
      </c>
      <c r="B16">
        <v>118</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27"/>
  <sheetViews>
    <sheetView showGridLines="0" workbookViewId="0" topLeftCell="A1">
      <selection activeCell="J5" sqref="J5"/>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1800</v>
      </c>
      <c r="B2">
        <v>59.5</v>
      </c>
      <c r="D2">
        <v>2950</v>
      </c>
      <c r="E2">
        <v>115.5</v>
      </c>
      <c r="G2">
        <v>1800</v>
      </c>
      <c r="H2">
        <v>33</v>
      </c>
      <c r="J2">
        <v>2950</v>
      </c>
      <c r="K2">
        <v>39</v>
      </c>
    </row>
    <row r="3" spans="1:11" ht="12.75">
      <c r="A3">
        <v>2260</v>
      </c>
      <c r="B3">
        <v>74</v>
      </c>
      <c r="D3">
        <v>3100</v>
      </c>
      <c r="E3">
        <v>127</v>
      </c>
      <c r="G3">
        <v>2300</v>
      </c>
      <c r="H3">
        <v>33</v>
      </c>
      <c r="J3">
        <v>3100</v>
      </c>
      <c r="K3">
        <v>40.8</v>
      </c>
    </row>
    <row r="4" spans="1:11" ht="12.75">
      <c r="A4">
        <v>2680</v>
      </c>
      <c r="B4">
        <v>95.5</v>
      </c>
      <c r="D4">
        <v>3100</v>
      </c>
      <c r="E4">
        <v>143</v>
      </c>
      <c r="G4">
        <v>2700</v>
      </c>
      <c r="H4">
        <v>35.8</v>
      </c>
      <c r="J4">
        <v>3100</v>
      </c>
      <c r="K4">
        <v>46</v>
      </c>
    </row>
    <row r="5" spans="1:11" ht="12.75">
      <c r="A5">
        <v>2950</v>
      </c>
      <c r="B5">
        <v>115.5</v>
      </c>
      <c r="D5">
        <v>2950</v>
      </c>
      <c r="E5">
        <v>136</v>
      </c>
      <c r="G5">
        <v>2950</v>
      </c>
      <c r="H5">
        <v>39</v>
      </c>
      <c r="J5">
        <v>2950</v>
      </c>
      <c r="K5">
        <v>46</v>
      </c>
    </row>
    <row r="6" spans="1:11" ht="12.75">
      <c r="A6">
        <v>2950</v>
      </c>
      <c r="B6">
        <v>136</v>
      </c>
      <c r="G6">
        <v>2950</v>
      </c>
      <c r="H6">
        <v>46</v>
      </c>
      <c r="J6">
        <v>1500</v>
      </c>
      <c r="K6">
        <v>40.5</v>
      </c>
    </row>
    <row r="7" spans="1:8" ht="12.75">
      <c r="A7">
        <v>2650</v>
      </c>
      <c r="B7">
        <v>122</v>
      </c>
      <c r="G7">
        <v>1800</v>
      </c>
      <c r="H7">
        <v>46</v>
      </c>
    </row>
    <row r="8" spans="1:8" ht="12.75">
      <c r="A8">
        <v>1800</v>
      </c>
      <c r="B8">
        <v>83</v>
      </c>
      <c r="G8">
        <v>2400</v>
      </c>
      <c r="H8">
        <v>39.5</v>
      </c>
    </row>
    <row r="9" spans="1:8" ht="12.75">
      <c r="A9">
        <v>2000</v>
      </c>
      <c r="B9">
        <v>71</v>
      </c>
      <c r="G9">
        <v>2400</v>
      </c>
      <c r="H9">
        <v>47.3</v>
      </c>
    </row>
    <row r="10" spans="1:8" ht="12.75">
      <c r="A10">
        <v>2100</v>
      </c>
      <c r="B10">
        <v>76.8</v>
      </c>
      <c r="G10">
        <v>1500</v>
      </c>
      <c r="H10">
        <v>47.3</v>
      </c>
    </row>
    <row r="11" spans="1:8" ht="12.75">
      <c r="A11">
        <v>2200</v>
      </c>
      <c r="B11">
        <v>82.5</v>
      </c>
      <c r="G11">
        <v>2300</v>
      </c>
      <c r="H11">
        <v>38.5</v>
      </c>
    </row>
    <row r="12" spans="1:8" ht="12.75">
      <c r="A12">
        <v>2300</v>
      </c>
      <c r="B12">
        <v>88.5</v>
      </c>
      <c r="G12">
        <v>2400</v>
      </c>
      <c r="H12">
        <v>39.5</v>
      </c>
    </row>
    <row r="13" spans="1:8" ht="12.75">
      <c r="A13">
        <v>2400</v>
      </c>
      <c r="B13">
        <v>94.7</v>
      </c>
      <c r="G13">
        <v>2500</v>
      </c>
      <c r="H13">
        <v>40.5</v>
      </c>
    </row>
    <row r="14" spans="1:8" ht="12.75">
      <c r="A14">
        <v>2500</v>
      </c>
      <c r="B14">
        <v>101</v>
      </c>
      <c r="G14">
        <v>2550</v>
      </c>
      <c r="H14">
        <v>41</v>
      </c>
    </row>
    <row r="15" spans="1:8" ht="12.75">
      <c r="A15">
        <v>2550</v>
      </c>
      <c r="B15">
        <v>104.2</v>
      </c>
      <c r="G15">
        <v>2550</v>
      </c>
      <c r="H15">
        <v>47.3</v>
      </c>
    </row>
    <row r="16" spans="1:8" ht="12.75">
      <c r="A16">
        <v>2550</v>
      </c>
      <c r="B16">
        <v>120.8</v>
      </c>
      <c r="G16">
        <v>1500</v>
      </c>
      <c r="H16">
        <v>47.3</v>
      </c>
    </row>
    <row r="17" spans="1:2" ht="12.75">
      <c r="A17">
        <v>2500</v>
      </c>
      <c r="B17">
        <v>118</v>
      </c>
    </row>
    <row r="18" spans="1:2" ht="12.75">
      <c r="A18">
        <v>2400</v>
      </c>
      <c r="B18">
        <v>113.5</v>
      </c>
    </row>
    <row r="19" spans="1:2" ht="12.75">
      <c r="A19">
        <v>2300</v>
      </c>
      <c r="B19">
        <v>108.8</v>
      </c>
    </row>
    <row r="20" spans="1:2" ht="12.75">
      <c r="A20">
        <v>2200</v>
      </c>
      <c r="B20">
        <v>104</v>
      </c>
    </row>
    <row r="21" spans="1:2" ht="12.75">
      <c r="A21">
        <v>2100</v>
      </c>
      <c r="B21">
        <v>99.2</v>
      </c>
    </row>
    <row r="22" spans="1:2" ht="12.75">
      <c r="A22">
        <v>2000</v>
      </c>
      <c r="B22">
        <v>94.8</v>
      </c>
    </row>
    <row r="23" spans="1:2" ht="12.75">
      <c r="A23">
        <v>1900</v>
      </c>
      <c r="B23">
        <v>90</v>
      </c>
    </row>
    <row r="24" spans="1:2" ht="12.75">
      <c r="A24">
        <v>1800</v>
      </c>
      <c r="B24">
        <v>85.1</v>
      </c>
    </row>
    <row r="25" spans="1:2" ht="12.75">
      <c r="A25">
        <v>1700</v>
      </c>
      <c r="B25">
        <v>80.2</v>
      </c>
    </row>
    <row r="26" spans="1:2" ht="12.75">
      <c r="A26">
        <v>1600</v>
      </c>
      <c r="B26">
        <v>75.8</v>
      </c>
    </row>
    <row r="27" spans="1:2" ht="12.75">
      <c r="A27">
        <v>1500</v>
      </c>
      <c r="B27">
        <v>70.5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26"/>
  <sheetViews>
    <sheetView showGridLines="0" workbookViewId="0" topLeftCell="A1">
      <selection activeCell="K4" sqref="K4"/>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1800</v>
      </c>
      <c r="B2">
        <v>59.5</v>
      </c>
      <c r="D2">
        <v>2200</v>
      </c>
      <c r="E2">
        <v>82.5</v>
      </c>
      <c r="G2">
        <v>1800</v>
      </c>
      <c r="H2">
        <v>33</v>
      </c>
      <c r="J2">
        <v>1800</v>
      </c>
      <c r="K2">
        <v>33</v>
      </c>
    </row>
    <row r="3" spans="1:11" ht="12.75">
      <c r="A3">
        <v>2250</v>
      </c>
      <c r="B3">
        <v>74</v>
      </c>
      <c r="D3">
        <v>2200</v>
      </c>
      <c r="E3">
        <v>89</v>
      </c>
      <c r="G3">
        <v>2250</v>
      </c>
      <c r="H3">
        <v>33</v>
      </c>
      <c r="J3">
        <v>1900</v>
      </c>
      <c r="K3">
        <v>33</v>
      </c>
    </row>
    <row r="4" spans="1:11" ht="12.75">
      <c r="A4">
        <v>2700</v>
      </c>
      <c r="B4">
        <v>95.5</v>
      </c>
      <c r="D4">
        <v>1500</v>
      </c>
      <c r="E4">
        <v>60.5</v>
      </c>
      <c r="G4">
        <v>2700</v>
      </c>
      <c r="H4">
        <v>35.5</v>
      </c>
      <c r="J4">
        <v>2000</v>
      </c>
      <c r="K4">
        <v>41</v>
      </c>
    </row>
    <row r="5" spans="1:11" ht="12.75">
      <c r="A5">
        <v>3100</v>
      </c>
      <c r="B5">
        <v>126</v>
      </c>
      <c r="G5">
        <v>3100</v>
      </c>
      <c r="H5">
        <v>40.8</v>
      </c>
      <c r="J5">
        <v>2100</v>
      </c>
      <c r="K5">
        <v>47</v>
      </c>
    </row>
    <row r="6" spans="1:11" ht="12.75">
      <c r="A6">
        <v>3100</v>
      </c>
      <c r="B6">
        <v>146</v>
      </c>
      <c r="G6">
        <v>3100</v>
      </c>
      <c r="H6">
        <v>46</v>
      </c>
      <c r="J6">
        <v>3100</v>
      </c>
      <c r="K6">
        <v>47</v>
      </c>
    </row>
    <row r="7" spans="1:8" ht="12.75">
      <c r="A7">
        <v>1800</v>
      </c>
      <c r="B7">
        <v>84.5</v>
      </c>
      <c r="G7">
        <v>1800</v>
      </c>
      <c r="H7">
        <v>46</v>
      </c>
    </row>
    <row r="8" spans="1:8" ht="12.75">
      <c r="A8">
        <v>2000</v>
      </c>
      <c r="B8">
        <v>71</v>
      </c>
    </row>
    <row r="9" spans="1:8" ht="12.75">
      <c r="A9">
        <v>2100</v>
      </c>
      <c r="B9">
        <v>76.8</v>
      </c>
    </row>
    <row r="10" spans="1:8" ht="12.75">
      <c r="A10">
        <v>2200</v>
      </c>
      <c r="B10">
        <v>82.5</v>
      </c>
    </row>
    <row r="11" spans="1:8" ht="12.75">
      <c r="A11">
        <v>2300</v>
      </c>
      <c r="B11">
        <v>88.5</v>
      </c>
    </row>
    <row r="12" spans="1:8" ht="12.75">
      <c r="A12">
        <v>2400</v>
      </c>
      <c r="B12">
        <v>94.7</v>
      </c>
    </row>
    <row r="13" spans="1:8" ht="12.75">
      <c r="A13">
        <v>2500</v>
      </c>
      <c r="B13">
        <v>101</v>
      </c>
    </row>
    <row r="14" spans="1:8" ht="12.75">
      <c r="A14">
        <v>2550</v>
      </c>
      <c r="B14">
        <v>104.2</v>
      </c>
    </row>
    <row r="15" spans="1:8" ht="12.75">
      <c r="A15">
        <v>2550</v>
      </c>
      <c r="B15">
        <v>120.8</v>
      </c>
    </row>
    <row r="16" spans="1:8" ht="12.75">
      <c r="A16">
        <v>2500</v>
      </c>
      <c r="B16">
        <v>118</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1800</v>
      </c>
      <c r="B2">
        <v>59.5</v>
      </c>
      <c r="D2">
        <v>2200</v>
      </c>
      <c r="E2">
        <v>82.5</v>
      </c>
      <c r="G2">
        <v>1800</v>
      </c>
      <c r="H2">
        <v>33</v>
      </c>
      <c r="J2">
        <v>1800</v>
      </c>
      <c r="K2">
        <v>33</v>
      </c>
    </row>
    <row r="3" spans="1:11" ht="12.75">
      <c r="A3">
        <v>2250</v>
      </c>
      <c r="B3">
        <v>74</v>
      </c>
      <c r="D3">
        <v>2200</v>
      </c>
      <c r="E3">
        <v>89</v>
      </c>
      <c r="G3">
        <v>2250</v>
      </c>
      <c r="H3">
        <v>33</v>
      </c>
      <c r="J3">
        <v>1900</v>
      </c>
      <c r="K3">
        <v>33</v>
      </c>
    </row>
    <row r="4" spans="1:11" ht="12.75">
      <c r="A4">
        <v>2700</v>
      </c>
      <c r="B4">
        <v>95.5</v>
      </c>
      <c r="D4">
        <v>1500</v>
      </c>
      <c r="E4">
        <v>60.5</v>
      </c>
      <c r="G4">
        <v>2700</v>
      </c>
      <c r="H4">
        <v>35.5</v>
      </c>
      <c r="J4">
        <v>2000</v>
      </c>
      <c r="K4">
        <v>41</v>
      </c>
    </row>
    <row r="5" spans="1:11" ht="12.75">
      <c r="A5">
        <v>3100</v>
      </c>
      <c r="B5">
        <v>126</v>
      </c>
      <c r="G5">
        <v>3100</v>
      </c>
      <c r="H5">
        <v>41</v>
      </c>
      <c r="J5">
        <v>2100</v>
      </c>
      <c r="K5">
        <v>47</v>
      </c>
    </row>
    <row r="6" spans="1:11" ht="12.75">
      <c r="A6">
        <v>3100</v>
      </c>
      <c r="B6">
        <v>146</v>
      </c>
      <c r="G6">
        <v>3100</v>
      </c>
      <c r="H6">
        <v>47</v>
      </c>
      <c r="J6">
        <v>3100</v>
      </c>
      <c r="K6">
        <v>47</v>
      </c>
    </row>
    <row r="7" spans="1:8" ht="12.75">
      <c r="A7">
        <v>1800</v>
      </c>
      <c r="B7">
        <v>84.5</v>
      </c>
      <c r="G7">
        <v>1800</v>
      </c>
      <c r="H7">
        <v>47</v>
      </c>
    </row>
    <row r="8" spans="1:8" ht="12.75">
      <c r="A8">
        <v>2000</v>
      </c>
      <c r="B8">
        <v>71</v>
      </c>
    </row>
    <row r="9" spans="1:8" ht="12.75">
      <c r="A9">
        <v>2100</v>
      </c>
      <c r="B9">
        <v>76.8</v>
      </c>
    </row>
    <row r="10" spans="1:8" ht="12.75">
      <c r="A10">
        <v>2200</v>
      </c>
      <c r="B10">
        <v>82.5</v>
      </c>
    </row>
    <row r="11" spans="1:8" ht="12.75">
      <c r="A11">
        <v>2300</v>
      </c>
      <c r="B11">
        <v>88.5</v>
      </c>
    </row>
    <row r="12" spans="1:8" ht="12.75">
      <c r="A12">
        <v>2400</v>
      </c>
      <c r="B12">
        <v>94.7</v>
      </c>
    </row>
    <row r="13" spans="1:8" ht="12.75">
      <c r="A13">
        <v>2500</v>
      </c>
      <c r="B13">
        <v>101</v>
      </c>
    </row>
    <row r="14" spans="1:8" ht="12.75">
      <c r="A14">
        <v>2550</v>
      </c>
      <c r="B14">
        <v>104.2</v>
      </c>
    </row>
    <row r="15" spans="1:8" ht="12.75">
      <c r="A15">
        <v>2550</v>
      </c>
      <c r="B15">
        <v>120.8</v>
      </c>
    </row>
    <row r="16" spans="1:8" ht="12.75">
      <c r="A16">
        <v>2500</v>
      </c>
      <c r="B16">
        <v>118</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26"/>
  <sheetViews>
    <sheetView showGridLines="0" workbookViewId="0" topLeftCell="A1">
      <selection activeCell="A1" sqref="A1"/>
    </sheetView>
  </sheetViews>
  <sheetFormatPr defaultColWidth="9.140625" defaultRowHeight="12.75"/>
  <cols>
    <col min="1" max="1" width="15.00390625" style="0" bestFit="1" customWidth="1"/>
    <col min="2" max="2" width="13.57421875" style="0" bestFit="1" customWidth="1"/>
  </cols>
  <sheetData>
    <row r="1" spans="1:2" ht="42.75" customHeight="1">
      <c r="A1" s="5" t="s">
        <v>15</v>
      </c>
      <c r="B1" s="5" t="s">
        <v>16</v>
      </c>
    </row>
    <row r="2" spans="1:11" ht="12.75">
      <c r="A2">
        <v>1500</v>
      </c>
      <c r="B2">
        <v>52</v>
      </c>
      <c r="D2">
        <v>2200</v>
      </c>
      <c r="E2">
        <v>82.5</v>
      </c>
      <c r="G2">
        <v>1500</v>
      </c>
      <c r="H2">
        <v>35</v>
      </c>
      <c r="J2">
        <v>1500</v>
      </c>
      <c r="K2">
        <v>35</v>
      </c>
    </row>
    <row r="3" spans="1:11" ht="12.75">
      <c r="A3">
        <v>1600</v>
      </c>
      <c r="B3">
        <v>56</v>
      </c>
      <c r="D3">
        <v>2200</v>
      </c>
      <c r="E3">
        <v>89</v>
      </c>
      <c r="G3">
        <v>1600</v>
      </c>
      <c r="H3">
        <v>35</v>
      </c>
      <c r="J3">
        <v>1950</v>
      </c>
      <c r="K3">
        <v>35</v>
      </c>
    </row>
    <row r="4" spans="1:11" ht="12.75">
      <c r="A4">
        <v>1700</v>
      </c>
      <c r="B4">
        <v>59.5</v>
      </c>
      <c r="D4">
        <v>1500</v>
      </c>
      <c r="E4">
        <v>60.5</v>
      </c>
      <c r="G4">
        <v>1700</v>
      </c>
      <c r="H4">
        <v>35</v>
      </c>
      <c r="J4">
        <v>2200</v>
      </c>
      <c r="K4">
        <v>37.5</v>
      </c>
    </row>
    <row r="5" spans="1:11" ht="12.75">
      <c r="A5">
        <v>1800</v>
      </c>
      <c r="B5">
        <v>63</v>
      </c>
      <c r="G5">
        <v>1800</v>
      </c>
      <c r="H5">
        <v>35</v>
      </c>
      <c r="J5">
        <v>2200</v>
      </c>
      <c r="K5">
        <v>40.5</v>
      </c>
    </row>
    <row r="6" spans="1:11" ht="12.75">
      <c r="A6">
        <v>1900</v>
      </c>
      <c r="B6">
        <v>66.4</v>
      </c>
      <c r="G6">
        <v>1900</v>
      </c>
      <c r="H6">
        <v>35</v>
      </c>
      <c r="J6">
        <v>1500</v>
      </c>
      <c r="K6">
        <v>40.5</v>
      </c>
    </row>
    <row r="7" spans="1:8" ht="12.75">
      <c r="A7">
        <v>1950</v>
      </c>
      <c r="B7">
        <v>68</v>
      </c>
      <c r="G7">
        <v>1950</v>
      </c>
      <c r="H7">
        <v>35</v>
      </c>
    </row>
    <row r="8" spans="1:8" ht="12.75">
      <c r="A8">
        <v>2000</v>
      </c>
      <c r="B8">
        <v>71</v>
      </c>
      <c r="G8">
        <v>2000</v>
      </c>
      <c r="H8">
        <v>35.5</v>
      </c>
    </row>
    <row r="9" spans="1:8" ht="12.75">
      <c r="A9">
        <v>2100</v>
      </c>
      <c r="B9">
        <v>76.8</v>
      </c>
      <c r="G9">
        <v>2100</v>
      </c>
      <c r="H9">
        <v>36.5</v>
      </c>
    </row>
    <row r="10" spans="1:8" ht="12.75">
      <c r="A10">
        <v>2200</v>
      </c>
      <c r="B10">
        <v>82.5</v>
      </c>
      <c r="G10">
        <v>2200</v>
      </c>
      <c r="H10">
        <v>37.5</v>
      </c>
    </row>
    <row r="11" spans="1:8" ht="12.75">
      <c r="A11">
        <v>2300</v>
      </c>
      <c r="B11">
        <v>88.5</v>
      </c>
      <c r="G11">
        <v>2300</v>
      </c>
      <c r="H11">
        <v>38.5</v>
      </c>
    </row>
    <row r="12" spans="1:8" ht="12.75">
      <c r="A12">
        <v>2400</v>
      </c>
      <c r="B12">
        <v>94.7</v>
      </c>
      <c r="G12">
        <v>2400</v>
      </c>
      <c r="H12">
        <v>39.5</v>
      </c>
    </row>
    <row r="13" spans="1:8" ht="12.75">
      <c r="A13">
        <v>2500</v>
      </c>
      <c r="B13">
        <v>101</v>
      </c>
      <c r="G13">
        <v>2500</v>
      </c>
      <c r="H13">
        <v>40.5</v>
      </c>
    </row>
    <row r="14" spans="1:8" ht="12.75">
      <c r="A14">
        <v>2550</v>
      </c>
      <c r="B14">
        <v>104.2</v>
      </c>
      <c r="G14">
        <v>2550</v>
      </c>
      <c r="H14">
        <v>41</v>
      </c>
    </row>
    <row r="15" spans="1:8" ht="12.75">
      <c r="A15">
        <v>2550</v>
      </c>
      <c r="B15">
        <v>120.8</v>
      </c>
      <c r="G15">
        <v>2550</v>
      </c>
      <c r="H15">
        <v>47.3</v>
      </c>
    </row>
    <row r="16" spans="1:8" ht="12.75">
      <c r="A16">
        <v>2500</v>
      </c>
      <c r="B16">
        <v>118</v>
      </c>
      <c r="G16">
        <v>1500</v>
      </c>
      <c r="H16">
        <v>47.3</v>
      </c>
    </row>
    <row r="17" spans="1:2" ht="12.75">
      <c r="A17">
        <v>2400</v>
      </c>
      <c r="B17">
        <v>113.5</v>
      </c>
    </row>
    <row r="18" spans="1:2" ht="12.75">
      <c r="A18">
        <v>2300</v>
      </c>
      <c r="B18">
        <v>108.8</v>
      </c>
    </row>
    <row r="19" spans="1:2" ht="12.75">
      <c r="A19">
        <v>2200</v>
      </c>
      <c r="B19">
        <v>104</v>
      </c>
    </row>
    <row r="20" spans="1:2" ht="12.75">
      <c r="A20">
        <v>2100</v>
      </c>
      <c r="B20">
        <v>99.2</v>
      </c>
    </row>
    <row r="21" spans="1:2" ht="12.75">
      <c r="A21">
        <v>2000</v>
      </c>
      <c r="B21">
        <v>94.8</v>
      </c>
    </row>
    <row r="22" spans="1:2" ht="12.75">
      <c r="A22">
        <v>1900</v>
      </c>
      <c r="B22">
        <v>90</v>
      </c>
    </row>
    <row r="23" spans="1:2" ht="12.75">
      <c r="A23">
        <v>1800</v>
      </c>
      <c r="B23">
        <v>85.1</v>
      </c>
    </row>
    <row r="24" spans="1:2" ht="12.75">
      <c r="A24">
        <v>1700</v>
      </c>
      <c r="B24">
        <v>80.2</v>
      </c>
    </row>
    <row r="25" spans="1:2" ht="12.75">
      <c r="A25">
        <v>1600</v>
      </c>
      <c r="B25">
        <v>75.8</v>
      </c>
    </row>
    <row r="26" spans="1:2" ht="12.75">
      <c r="A26">
        <v>1500</v>
      </c>
      <c r="B26">
        <v>70.5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15"/>
  <sheetViews>
    <sheetView showGridLines="0" workbookViewId="0" topLeftCell="A1">
      <selection activeCell="A1" sqref="A1"/>
    </sheetView>
  </sheetViews>
  <sheetFormatPr defaultColWidth="9.140625" defaultRowHeight="12.75"/>
  <cols>
    <col min="1" max="1" width="9.140625" style="29" customWidth="1"/>
    <col min="2" max="2" width="10.7109375" style="29" customWidth="1"/>
    <col min="3" max="3" width="10.8515625" style="29" customWidth="1"/>
    <col min="4" max="4" width="9.140625" style="29" customWidth="1"/>
    <col min="5" max="5" width="10.00390625" style="29" customWidth="1"/>
    <col min="6" max="6" width="11.00390625" style="29" customWidth="1"/>
    <col min="7" max="16384" width="9.140625" style="29" customWidth="1"/>
  </cols>
  <sheetData>
    <row r="2" spans="2:9" ht="12.75">
      <c r="B2" s="52" t="s">
        <v>47</v>
      </c>
      <c r="C2" s="52"/>
      <c r="D2" s="52"/>
      <c r="E2" s="52"/>
      <c r="F2" s="52"/>
      <c r="G2" s="53"/>
      <c r="H2" s="53"/>
      <c r="I2" s="53"/>
    </row>
    <row r="4" spans="2:6" ht="12.75">
      <c r="B4" s="51" t="s">
        <v>46</v>
      </c>
      <c r="C4" s="51"/>
      <c r="E4" s="51" t="s">
        <v>45</v>
      </c>
      <c r="F4" s="51"/>
    </row>
    <row r="5" spans="2:6" ht="12.75">
      <c r="B5" s="13" t="s">
        <v>41</v>
      </c>
      <c r="C5" s="13" t="s">
        <v>42</v>
      </c>
      <c r="E5" s="13" t="s">
        <v>39</v>
      </c>
      <c r="F5" s="13" t="s">
        <v>40</v>
      </c>
    </row>
    <row r="6" spans="2:6" ht="12.75">
      <c r="B6" s="38"/>
      <c r="C6" s="12">
        <f>B6*2.205</f>
        <v>0</v>
      </c>
      <c r="E6" s="39">
        <v>68</v>
      </c>
      <c r="F6" s="14">
        <f>(E6-32)*(5/9)</f>
        <v>20</v>
      </c>
    </row>
    <row r="7" spans="2:6" ht="12.75">
      <c r="B7" s="51" t="s">
        <v>44</v>
      </c>
      <c r="C7" s="51"/>
      <c r="E7" s="51" t="s">
        <v>43</v>
      </c>
      <c r="F7" s="51"/>
    </row>
    <row r="8" spans="2:6" ht="12.75">
      <c r="B8" s="13" t="s">
        <v>42</v>
      </c>
      <c r="C8" s="13" t="s">
        <v>41</v>
      </c>
      <c r="E8" s="13" t="s">
        <v>40</v>
      </c>
      <c r="F8" s="13" t="s">
        <v>39</v>
      </c>
    </row>
    <row r="9" spans="2:6" ht="12.75">
      <c r="B9" s="38"/>
      <c r="C9" s="12">
        <f>B9*0.4536</f>
        <v>0</v>
      </c>
      <c r="E9" s="39">
        <v>20</v>
      </c>
      <c r="F9" s="14">
        <f>(E9*1.8)+32</f>
        <v>68</v>
      </c>
    </row>
    <row r="10" spans="2:6" ht="12.75">
      <c r="B10" s="51" t="s">
        <v>38</v>
      </c>
      <c r="C10" s="51"/>
      <c r="E10" s="51" t="s">
        <v>37</v>
      </c>
      <c r="F10" s="51"/>
    </row>
    <row r="11" spans="2:6" ht="12.75">
      <c r="B11" s="13" t="s">
        <v>36</v>
      </c>
      <c r="C11" s="13" t="s">
        <v>33</v>
      </c>
      <c r="E11" s="13" t="s">
        <v>31</v>
      </c>
      <c r="F11" s="13" t="s">
        <v>32</v>
      </c>
    </row>
    <row r="12" spans="2:6" ht="12.75">
      <c r="B12" s="38"/>
      <c r="C12" s="12">
        <f>B12*3.785</f>
        <v>0</v>
      </c>
      <c r="E12" s="38"/>
      <c r="F12" s="12">
        <f>E12*2.54</f>
        <v>0</v>
      </c>
    </row>
    <row r="13" spans="2:6" ht="12.75">
      <c r="B13" s="51" t="s">
        <v>35</v>
      </c>
      <c r="C13" s="51"/>
      <c r="E13" s="51" t="s">
        <v>34</v>
      </c>
      <c r="F13" s="51"/>
    </row>
    <row r="14" spans="2:6" ht="12.75">
      <c r="B14" s="13" t="s">
        <v>33</v>
      </c>
      <c r="C14" s="13" t="s">
        <v>6</v>
      </c>
      <c r="E14" s="13" t="s">
        <v>32</v>
      </c>
      <c r="F14" s="13" t="s">
        <v>31</v>
      </c>
    </row>
    <row r="15" spans="2:6" ht="12.75">
      <c r="B15" s="38"/>
      <c r="C15" s="12">
        <f>B15*0.2642</f>
        <v>0</v>
      </c>
      <c r="E15" s="38"/>
      <c r="F15" s="12">
        <f>E15*0.3937</f>
        <v>0</v>
      </c>
    </row>
  </sheetData>
  <sheetProtection password="8A4E" sheet="1" objects="1" scenarios="1"/>
  <mergeCells count="9">
    <mergeCell ref="B2:I2"/>
    <mergeCell ref="B4:C4"/>
    <mergeCell ref="B7:C7"/>
    <mergeCell ref="B10:C10"/>
    <mergeCell ref="B13:C13"/>
    <mergeCell ref="E10:F10"/>
    <mergeCell ref="E13:F13"/>
    <mergeCell ref="E4:F4"/>
    <mergeCell ref="E7:F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80</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81</v>
      </c>
      <c r="B4" s="1">
        <v>1703.6</v>
      </c>
      <c r="C4" s="1">
        <v>67.2</v>
      </c>
      <c r="D4" s="32">
        <v>1579.4</v>
      </c>
      <c r="E4" s="32">
        <v>59.5</v>
      </c>
      <c r="F4" s="31" t="s">
        <v>6</v>
      </c>
    </row>
    <row r="5" spans="1:6" ht="16.5" customHeight="1">
      <c r="A5" s="27" t="s">
        <v>49</v>
      </c>
      <c r="B5" s="1">
        <v>180</v>
      </c>
      <c r="C5" s="1">
        <v>8.6</v>
      </c>
      <c r="D5" s="1">
        <f>F5*6</f>
        <v>210</v>
      </c>
      <c r="E5" s="2">
        <f>D5*48/1000</f>
        <v>10.08</v>
      </c>
      <c r="F5" s="37">
        <v>35</v>
      </c>
    </row>
    <row r="6" spans="1:5" ht="16.5" customHeight="1">
      <c r="A6" s="27" t="s">
        <v>7</v>
      </c>
      <c r="B6" s="1">
        <v>340</v>
      </c>
      <c r="C6" s="1">
        <v>12.6</v>
      </c>
      <c r="D6" s="37">
        <v>355</v>
      </c>
      <c r="E6" s="2">
        <f>(D6*37)/1000</f>
        <v>13.135</v>
      </c>
    </row>
    <row r="7" spans="1:5" ht="16.5" customHeight="1">
      <c r="A7" s="27" t="s">
        <v>8</v>
      </c>
      <c r="B7" s="1">
        <v>170</v>
      </c>
      <c r="C7" s="1">
        <v>24.8</v>
      </c>
      <c r="D7" s="37">
        <v>238</v>
      </c>
      <c r="E7" s="2">
        <f>D7*73/1000</f>
        <v>17.374</v>
      </c>
    </row>
    <row r="8" spans="1:5" ht="16.5" customHeight="1">
      <c r="A8" s="27" t="s">
        <v>9</v>
      </c>
      <c r="B8" s="1">
        <v>56</v>
      </c>
      <c r="C8" s="1">
        <v>4.6</v>
      </c>
      <c r="D8" s="37">
        <v>20</v>
      </c>
      <c r="E8" s="2">
        <f>(D8*95)/1000</f>
        <v>1.9</v>
      </c>
    </row>
    <row r="9" spans="1:5" ht="16.5" customHeight="1">
      <c r="A9" s="27" t="s">
        <v>10</v>
      </c>
      <c r="B9" s="1"/>
      <c r="C9" s="1"/>
      <c r="D9" s="37">
        <v>0</v>
      </c>
      <c r="E9" s="2">
        <f>(D9*123)/1000</f>
        <v>0</v>
      </c>
    </row>
    <row r="10" spans="1:8" ht="18.75" customHeight="1">
      <c r="A10" s="33" t="s">
        <v>11</v>
      </c>
      <c r="B10" s="1">
        <f>SUM(B4:B9)</f>
        <v>2449.6</v>
      </c>
      <c r="C10" s="1">
        <f>SUM(C4:C9)</f>
        <v>117.79999999999998</v>
      </c>
      <c r="D10" s="4">
        <f>SUM(D4:D9)</f>
        <v>2402.4</v>
      </c>
      <c r="E10" s="3">
        <f>SUM(E4:E9)</f>
        <v>101.989</v>
      </c>
      <c r="F10" s="31" t="s">
        <v>14</v>
      </c>
      <c r="H10" s="6">
        <f>($E$10*1000)/$D$10</f>
        <v>42.4529637029637</v>
      </c>
    </row>
    <row r="11" spans="1:6" ht="16.5" customHeight="1">
      <c r="A11" s="27" t="s">
        <v>12</v>
      </c>
      <c r="B11" s="1">
        <v>132</v>
      </c>
      <c r="C11" s="1">
        <v>6.3</v>
      </c>
      <c r="D11" s="1">
        <f>F11*6</f>
        <v>120</v>
      </c>
      <c r="E11" s="2">
        <f>D11*48/1000</f>
        <v>5.76</v>
      </c>
      <c r="F11" s="37">
        <v>20</v>
      </c>
    </row>
    <row r="12" spans="1:8" ht="18.75" customHeight="1">
      <c r="A12" s="33" t="s">
        <v>13</v>
      </c>
      <c r="B12" s="1">
        <f>B10-B11</f>
        <v>2317.6</v>
      </c>
      <c r="C12" s="1">
        <f>C10-C11</f>
        <v>111.49999999999999</v>
      </c>
      <c r="D12" s="4">
        <f>D10-D11</f>
        <v>2282.4</v>
      </c>
      <c r="E12" s="3">
        <f>E10-E11</f>
        <v>96.229</v>
      </c>
      <c r="H12" s="6">
        <f>($E$12*1000)/$D$12</f>
        <v>42.161321416053276</v>
      </c>
    </row>
    <row r="13" ht="3.75" customHeight="1"/>
    <row r="14" spans="1:6" ht="15">
      <c r="A14" s="34" t="str">
        <f>IF(D10&gt;2550,"Take-Off Weight is above 2550!","Take-Off Weight is OK")</f>
        <v>Take-Off Weight is OK</v>
      </c>
      <c r="D14" s="58" t="s">
        <v>22</v>
      </c>
      <c r="E14" s="58"/>
      <c r="F14" s="35">
        <f>2550-($D$4+(40*6))</f>
        <v>730.5999999999999</v>
      </c>
    </row>
    <row r="15" ht="12.75">
      <c r="A15" s="36"/>
    </row>
    <row r="16" ht="12.75">
      <c r="A16" s="36"/>
    </row>
  </sheetData>
  <sheetProtection password="AEF5" sheet="1" objects="1" scenarios="1"/>
  <mergeCells count="7">
    <mergeCell ref="G2:L2"/>
    <mergeCell ref="G3:M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40 gallons" sqref="F5">
      <formula1>40</formula1>
    </dataValidation>
    <dataValidation type="decimal" operator="lessThan" allowBlank="1" showInputMessage="1" showErrorMessage="1" errorTitle="NC Wing Civil Air Patrol" error="You cannot use more than 53 gallons on your flight!" sqref="F11">
      <formula1>53</formula1>
    </dataValidation>
  </dataValidations>
  <hyperlinks>
    <hyperlink ref="A1" location="Payload!A1" display="Return to Payload"/>
  </hyperlinks>
  <printOptions horizontalCentered="1" verticalCentered="1"/>
  <pageMargins left="0.25" right="0.25" top="0.25" bottom="0.25" header="0" footer="0"/>
  <pageSetup fitToHeight="1" fitToWidth="1" horizontalDpi="300" verticalDpi="300" orientation="landscape" scale="6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78</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79</v>
      </c>
      <c r="B4" s="1">
        <v>1703.6</v>
      </c>
      <c r="C4" s="1">
        <v>67.2</v>
      </c>
      <c r="D4" s="32">
        <v>1519.75</v>
      </c>
      <c r="E4" s="32">
        <v>58.364</v>
      </c>
      <c r="F4" s="31" t="s">
        <v>6</v>
      </c>
    </row>
    <row r="5" spans="1:6" ht="16.5" customHeight="1">
      <c r="A5" s="27" t="s">
        <v>49</v>
      </c>
      <c r="B5" s="1">
        <v>180</v>
      </c>
      <c r="C5" s="1">
        <v>8.6</v>
      </c>
      <c r="D5" s="1">
        <f>F5*6</f>
        <v>240</v>
      </c>
      <c r="E5" s="2">
        <f>D5*48/1000</f>
        <v>11.52</v>
      </c>
      <c r="F5" s="37">
        <v>40</v>
      </c>
    </row>
    <row r="6" spans="1:5" ht="16.5" customHeight="1">
      <c r="A6" s="27" t="s">
        <v>7</v>
      </c>
      <c r="B6" s="1">
        <v>340</v>
      </c>
      <c r="C6" s="1">
        <v>12.6</v>
      </c>
      <c r="D6" s="37">
        <v>365</v>
      </c>
      <c r="E6" s="2">
        <f>(D6*37)/1000</f>
        <v>13.505</v>
      </c>
    </row>
    <row r="7" spans="1:5" ht="16.5" customHeight="1">
      <c r="A7" s="27" t="s">
        <v>8</v>
      </c>
      <c r="B7" s="1">
        <v>170</v>
      </c>
      <c r="C7" s="1">
        <v>24.8</v>
      </c>
      <c r="D7" s="37">
        <v>170</v>
      </c>
      <c r="E7" s="2">
        <f>D7*73/1000</f>
        <v>12.41</v>
      </c>
    </row>
    <row r="8" spans="1:5" ht="16.5" customHeight="1">
      <c r="A8" s="27" t="s">
        <v>9</v>
      </c>
      <c r="B8" s="1">
        <v>56</v>
      </c>
      <c r="C8" s="1">
        <v>4.6</v>
      </c>
      <c r="D8" s="37">
        <v>30</v>
      </c>
      <c r="E8" s="2">
        <f>(D8*95)/1000</f>
        <v>2.85</v>
      </c>
    </row>
    <row r="9" spans="1:5" ht="16.5" customHeight="1">
      <c r="A9" s="27" t="s">
        <v>10</v>
      </c>
      <c r="B9" s="1"/>
      <c r="C9" s="1"/>
      <c r="D9" s="37">
        <v>0</v>
      </c>
      <c r="E9" s="2">
        <f>(D9*123)/1000</f>
        <v>0</v>
      </c>
    </row>
    <row r="10" spans="1:8" ht="18.75" customHeight="1">
      <c r="A10" s="33" t="s">
        <v>11</v>
      </c>
      <c r="B10" s="1">
        <f>SUM(B4:B9)</f>
        <v>2449.6</v>
      </c>
      <c r="C10" s="1">
        <f>SUM(C4:C9)</f>
        <v>117.79999999999998</v>
      </c>
      <c r="D10" s="4">
        <f>SUM(D4:D9)</f>
        <v>2324.75</v>
      </c>
      <c r="E10" s="3">
        <f>SUM(E4:E9)</f>
        <v>98.64899999999999</v>
      </c>
      <c r="F10" s="31" t="s">
        <v>14</v>
      </c>
      <c r="H10" s="6">
        <f>($E$10*1000)/$D$10</f>
        <v>42.43424024088611</v>
      </c>
    </row>
    <row r="11" spans="1:6" ht="16.5" customHeight="1">
      <c r="A11" s="27" t="s">
        <v>12</v>
      </c>
      <c r="B11" s="1">
        <v>132</v>
      </c>
      <c r="C11" s="1">
        <v>6.3</v>
      </c>
      <c r="D11" s="1">
        <f>F11*6</f>
        <v>120</v>
      </c>
      <c r="E11" s="2">
        <f>D11*48/1000</f>
        <v>5.76</v>
      </c>
      <c r="F11" s="37">
        <v>20</v>
      </c>
    </row>
    <row r="12" spans="1:8" ht="18.75" customHeight="1">
      <c r="A12" s="33" t="s">
        <v>13</v>
      </c>
      <c r="B12" s="1">
        <f>B10-B11</f>
        <v>2317.6</v>
      </c>
      <c r="C12" s="1">
        <f>C10-C11</f>
        <v>111.49999999999999</v>
      </c>
      <c r="D12" s="4">
        <f>D10-D11</f>
        <v>2204.75</v>
      </c>
      <c r="E12" s="3">
        <f>E10-E11</f>
        <v>92.88899999999998</v>
      </c>
      <c r="H12" s="6">
        <f>($E$12*1000)/$D$12</f>
        <v>42.13130740446762</v>
      </c>
    </row>
    <row r="13" spans="4:6" ht="3.75" customHeight="1">
      <c r="D13" s="58" t="s">
        <v>22</v>
      </c>
      <c r="E13" s="58"/>
      <c r="F13" s="35">
        <f>2550-($D$4+(40*6))</f>
        <v>790.25</v>
      </c>
    </row>
    <row r="14" spans="1:6" ht="15">
      <c r="A14" s="34" t="str">
        <f>IF(D10&gt;2550,"Take-Off Weight is above 2550!","Take-Off Weight is OK")</f>
        <v>Take-Off Weight is OK</v>
      </c>
      <c r="D14" s="58" t="s">
        <v>22</v>
      </c>
      <c r="E14" s="58"/>
      <c r="F14" s="35">
        <f>2550-($D$4+(40*6))</f>
        <v>790.25</v>
      </c>
    </row>
    <row r="15" ht="12.75">
      <c r="A15" s="36"/>
    </row>
    <row r="16" ht="12.75">
      <c r="A16" s="36"/>
    </row>
  </sheetData>
  <sheetProtection password="AEA5" sheet="1" objects="1" scenarios="1"/>
  <mergeCells count="8">
    <mergeCell ref="G2:L2"/>
    <mergeCell ref="G3:M3"/>
    <mergeCell ref="D13:E1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40 gallons" sqref="F5">
      <formula1>40</formula1>
    </dataValidation>
    <dataValidation type="decimal" operator="lessThan" allowBlank="1" showInputMessage="1" showErrorMessage="1" errorTitle="NC Wing Civil Air Patrol" error="You cannot use more than 53 gallons on your flight!" sqref="F11">
      <formula1>53</formula1>
    </dataValidation>
  </dataValidations>
  <hyperlinks>
    <hyperlink ref="A1" location="Payload!A1" display="Return to Payload"/>
  </hyperlinks>
  <printOptions horizontalCentered="1" verticalCentered="1"/>
  <pageMargins left="0.25" right="0.25" top="0.25" bottom="0.25" header="0" footer="0"/>
  <pageSetup fitToHeight="1" fitToWidth="1" horizontalDpi="300" verticalDpi="300" orientation="landscape" scale="6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1" sqref="A1"/>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77</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25</v>
      </c>
      <c r="H3" s="57"/>
      <c r="I3" s="57"/>
      <c r="J3" s="57"/>
      <c r="K3" s="57"/>
      <c r="L3" s="57"/>
      <c r="M3" s="57"/>
    </row>
    <row r="4" spans="1:6" ht="37.5" customHeight="1">
      <c r="A4" s="27" t="s">
        <v>76</v>
      </c>
      <c r="B4" s="1">
        <v>1808</v>
      </c>
      <c r="C4" s="1">
        <v>62</v>
      </c>
      <c r="D4" s="32">
        <v>1879.8</v>
      </c>
      <c r="E4" s="32">
        <v>65.16</v>
      </c>
      <c r="F4" s="31" t="s">
        <v>6</v>
      </c>
    </row>
    <row r="5" spans="1:6" ht="16.5" customHeight="1">
      <c r="A5" s="27" t="s">
        <v>23</v>
      </c>
      <c r="B5" s="1">
        <v>450</v>
      </c>
      <c r="C5" s="1">
        <v>21.6</v>
      </c>
      <c r="D5" s="1">
        <f>$F$5*6</f>
        <v>414</v>
      </c>
      <c r="E5" s="2">
        <f>D5*48/1000</f>
        <v>19.872</v>
      </c>
      <c r="F5" s="37">
        <v>69</v>
      </c>
    </row>
    <row r="6" spans="1:5" ht="16.5" customHeight="1">
      <c r="A6" s="27" t="s">
        <v>7</v>
      </c>
      <c r="B6" s="1">
        <v>400</v>
      </c>
      <c r="C6" s="1">
        <v>12.6</v>
      </c>
      <c r="D6" s="37">
        <v>385</v>
      </c>
      <c r="E6" s="2">
        <f>(D6*37)/1000</f>
        <v>14.245</v>
      </c>
    </row>
    <row r="7" spans="1:5" ht="16.5" customHeight="1">
      <c r="A7" s="27" t="s">
        <v>8</v>
      </c>
      <c r="B7" s="1">
        <v>340</v>
      </c>
      <c r="C7" s="1">
        <v>25.2</v>
      </c>
      <c r="D7" s="37">
        <v>420</v>
      </c>
      <c r="E7" s="2">
        <f>D7*74/1000</f>
        <v>31.08</v>
      </c>
    </row>
    <row r="8" spans="1:5" ht="16.5" customHeight="1">
      <c r="A8" s="27" t="s">
        <v>9</v>
      </c>
      <c r="B8" s="1">
        <v>40</v>
      </c>
      <c r="C8" s="1">
        <v>11.6</v>
      </c>
      <c r="D8" s="37">
        <v>0</v>
      </c>
      <c r="E8" s="2">
        <f>(D8*97)/1000</f>
        <v>0</v>
      </c>
    </row>
    <row r="9" spans="1:5" ht="16.5" customHeight="1">
      <c r="A9" s="27" t="s">
        <v>24</v>
      </c>
      <c r="B9" s="1">
        <v>54</v>
      </c>
      <c r="C9" s="1">
        <v>6.5</v>
      </c>
      <c r="D9" s="37">
        <v>0</v>
      </c>
      <c r="E9" s="2">
        <f>(D9*121)/1000</f>
        <v>0</v>
      </c>
    </row>
    <row r="10" spans="1:8" ht="18.75" customHeight="1">
      <c r="A10" s="33" t="s">
        <v>26</v>
      </c>
      <c r="B10" s="1">
        <f>SUM(B4:B9)</f>
        <v>3092</v>
      </c>
      <c r="C10" s="1">
        <f>SUM(C4:C9)</f>
        <v>139.5</v>
      </c>
      <c r="D10" s="4">
        <f>SUM(D4:D9)</f>
        <v>3098.8</v>
      </c>
      <c r="E10" s="3">
        <f>SUM(E4:E9)</f>
        <v>130.357</v>
      </c>
      <c r="F10" s="31" t="s">
        <v>14</v>
      </c>
      <c r="H10" s="6">
        <f>($E$10*1000)/$D$10</f>
        <v>42.06692913385827</v>
      </c>
    </row>
    <row r="11" spans="1:6" ht="16.5" customHeight="1">
      <c r="A11" s="27" t="s">
        <v>12</v>
      </c>
      <c r="B11" s="1">
        <v>132</v>
      </c>
      <c r="C11" s="1">
        <v>6.3</v>
      </c>
      <c r="D11" s="1">
        <f>F11*6</f>
        <v>90</v>
      </c>
      <c r="E11" s="2">
        <f>D11*48/1000</f>
        <v>4.32</v>
      </c>
      <c r="F11" s="37">
        <v>15</v>
      </c>
    </row>
    <row r="12" spans="1:8" ht="18.75" customHeight="1">
      <c r="A12" s="33" t="s">
        <v>13</v>
      </c>
      <c r="B12" s="1">
        <f>B10-B11</f>
        <v>2960</v>
      </c>
      <c r="C12" s="1">
        <f>C10-C11</f>
        <v>133.2</v>
      </c>
      <c r="D12" s="4">
        <f>D10-D11</f>
        <v>3008.8</v>
      </c>
      <c r="E12" s="3">
        <f>E10-E11</f>
        <v>126.037</v>
      </c>
      <c r="H12" s="6">
        <f>($E$12*1000)/$D$12</f>
        <v>41.889457591066204</v>
      </c>
    </row>
    <row r="13" ht="3.75" customHeight="1"/>
    <row r="14" spans="1:6" ht="15">
      <c r="A14" s="34" t="str">
        <f>IF(D10&gt;3100,"Take-Off Weight is above 3100!","Take-Off Weight is OK")</f>
        <v>Take-Off Weight is OK</v>
      </c>
      <c r="D14" s="58" t="s">
        <v>22</v>
      </c>
      <c r="E14" s="58"/>
      <c r="F14" s="35">
        <f>3100-($D$4+(75*6))</f>
        <v>770.1999999999998</v>
      </c>
    </row>
    <row r="15" ht="12.75">
      <c r="A15" s="36"/>
    </row>
    <row r="16" ht="12.75">
      <c r="A16" s="36"/>
    </row>
  </sheetData>
  <sheetProtection password="A2F1" sheet="1" objects="1" scenarios="1"/>
  <mergeCells count="7">
    <mergeCell ref="G2:L2"/>
    <mergeCell ref="G3:M3"/>
    <mergeCell ref="D14:E14"/>
    <mergeCell ref="B1:C1"/>
    <mergeCell ref="D1:E1"/>
    <mergeCell ref="B2:C2"/>
    <mergeCell ref="D2:E2"/>
  </mergeCells>
  <conditionalFormatting sqref="E12 E10">
    <cfRule type="cellIs" priority="1" dxfId="2" operator="equal" stopIfTrue="1">
      <formula>0</formula>
    </cfRule>
  </conditionalFormatting>
  <conditionalFormatting sqref="A14">
    <cfRule type="cellIs" priority="2" dxfId="0" operator="equal" stopIfTrue="1">
      <formula>"Take-Off Weight is OK"</formula>
    </cfRule>
    <cfRule type="cellIs" priority="3" dxfId="1" operator="equal" stopIfTrue="1">
      <formula>"Take-Off Weight is above 3100!"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75 gallons." sqref="F5">
      <formula1>75</formula1>
    </dataValidation>
    <dataValidation type="decimal" operator="lessThan" allowBlank="1" showInputMessage="1" showErrorMessage="1" errorTitle="NC Wing Civil Air Patrol" error="You cannot use more than 75 gallons on your flight!" sqref="F11">
      <formula1>75</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7.xml><?xml version="1.0" encoding="utf-8"?>
<worksheet xmlns="http://schemas.openxmlformats.org/spreadsheetml/2006/main" xmlns:r="http://schemas.openxmlformats.org/officeDocument/2006/relationships">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43" t="s">
        <v>83</v>
      </c>
      <c r="B1" s="59" t="s">
        <v>5</v>
      </c>
      <c r="C1" s="59"/>
      <c r="D1" s="60">
        <f ca="1">NOW()</f>
        <v>38797.68181087963</v>
      </c>
      <c r="E1" s="60"/>
    </row>
    <row r="2" spans="1:12" ht="47.25">
      <c r="A2" s="30" t="s">
        <v>87</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25</v>
      </c>
      <c r="H3" s="57"/>
      <c r="I3" s="57"/>
      <c r="J3" s="57"/>
      <c r="K3" s="57"/>
      <c r="L3" s="57"/>
      <c r="M3" s="57"/>
    </row>
    <row r="4" spans="1:6" ht="37.5" customHeight="1">
      <c r="A4" s="27" t="s">
        <v>88</v>
      </c>
      <c r="B4" s="1">
        <v>1808</v>
      </c>
      <c r="C4" s="1">
        <v>62</v>
      </c>
      <c r="D4" s="40">
        <v>1932.54</v>
      </c>
      <c r="E4" s="40">
        <v>74.75</v>
      </c>
      <c r="F4" s="31" t="s">
        <v>6</v>
      </c>
    </row>
    <row r="5" spans="1:6" ht="16.5" customHeight="1">
      <c r="A5" s="27" t="s">
        <v>89</v>
      </c>
      <c r="B5" s="1">
        <v>450</v>
      </c>
      <c r="C5" s="1">
        <v>21.6</v>
      </c>
      <c r="D5" s="1">
        <f>$F$5*6</f>
        <v>480</v>
      </c>
      <c r="E5" s="2">
        <f>D5*48/1000</f>
        <v>23.04</v>
      </c>
      <c r="F5" s="40">
        <v>80</v>
      </c>
    </row>
    <row r="6" spans="1:5" ht="16.5" customHeight="1">
      <c r="A6" s="27" t="s">
        <v>7</v>
      </c>
      <c r="B6" s="1">
        <v>400</v>
      </c>
      <c r="C6" s="1">
        <v>12.6</v>
      </c>
      <c r="D6" s="40">
        <v>430</v>
      </c>
      <c r="E6" s="2">
        <f>(D6*37)/1000</f>
        <v>15.91</v>
      </c>
    </row>
    <row r="7" spans="1:5" ht="16.5" customHeight="1">
      <c r="A7" s="27" t="s">
        <v>8</v>
      </c>
      <c r="B7" s="1">
        <v>340</v>
      </c>
      <c r="C7" s="1">
        <v>25.2</v>
      </c>
      <c r="D7" s="40">
        <v>185</v>
      </c>
      <c r="E7" s="2">
        <f>D7*74/1000</f>
        <v>13.69</v>
      </c>
    </row>
    <row r="8" spans="1:5" ht="16.5" customHeight="1">
      <c r="A8" s="27" t="s">
        <v>9</v>
      </c>
      <c r="B8" s="1">
        <v>40</v>
      </c>
      <c r="C8" s="1">
        <v>11.6</v>
      </c>
      <c r="D8" s="40">
        <v>72</v>
      </c>
      <c r="E8" s="2">
        <f>(D8*97)/1000</f>
        <v>6.984</v>
      </c>
    </row>
    <row r="9" spans="1:5" ht="16.5" customHeight="1">
      <c r="A9" s="27" t="s">
        <v>24</v>
      </c>
      <c r="B9" s="1">
        <v>54</v>
      </c>
      <c r="C9" s="1">
        <v>6.5</v>
      </c>
      <c r="D9" s="40">
        <v>0</v>
      </c>
      <c r="E9" s="2">
        <f>(D9*121)/1000</f>
        <v>0</v>
      </c>
    </row>
    <row r="10" spans="1:8" ht="18.75" customHeight="1">
      <c r="A10" s="33" t="s">
        <v>90</v>
      </c>
      <c r="B10" s="1">
        <f>SUM(B4:B9)</f>
        <v>3092</v>
      </c>
      <c r="C10" s="1">
        <f>SUM(C4:C9)</f>
        <v>139.5</v>
      </c>
      <c r="D10" s="4">
        <f>SUM(D4:D9)</f>
        <v>3099.54</v>
      </c>
      <c r="E10" s="3">
        <f>SUM(E4:E9)</f>
        <v>134.374</v>
      </c>
      <c r="F10" s="31" t="s">
        <v>14</v>
      </c>
      <c r="H10" s="6">
        <f>($E$10*1000)/$D$10</f>
        <v>43.35288462158901</v>
      </c>
    </row>
    <row r="11" spans="1:6" ht="16.5" customHeight="1">
      <c r="A11" s="27" t="s">
        <v>12</v>
      </c>
      <c r="B11" s="1">
        <v>132</v>
      </c>
      <c r="C11" s="1">
        <v>6.3</v>
      </c>
      <c r="D11" s="1">
        <f>F11*6</f>
        <v>9</v>
      </c>
      <c r="E11" s="2">
        <f>D11*48/1000</f>
        <v>0.432</v>
      </c>
      <c r="F11" s="40">
        <v>1.5</v>
      </c>
    </row>
    <row r="12" spans="1:8" ht="18.75" customHeight="1">
      <c r="A12" s="33" t="s">
        <v>13</v>
      </c>
      <c r="B12" s="1">
        <f>B10-B11</f>
        <v>2960</v>
      </c>
      <c r="C12" s="1">
        <f>C10-C11</f>
        <v>133.2</v>
      </c>
      <c r="D12" s="4">
        <f>D10-D11</f>
        <v>3090.54</v>
      </c>
      <c r="E12" s="3">
        <f>E10-E11</f>
        <v>133.942</v>
      </c>
      <c r="H12" s="6">
        <f>($E$12*1000)/$D$12</f>
        <v>43.339351699055825</v>
      </c>
    </row>
    <row r="13" ht="3.75" customHeight="1"/>
    <row r="14" spans="1:6" ht="15">
      <c r="A14" s="34" t="str">
        <f>IF(D10&gt;3100,"Take-Off Weight is above 3100!","Take-Off Weight is OK")</f>
        <v>Take-Off Weight is OK</v>
      </c>
      <c r="D14" s="58" t="s">
        <v>22</v>
      </c>
      <c r="E14" s="58"/>
      <c r="F14" s="35">
        <f>3100-($D$4+(80*6))</f>
        <v>687.46</v>
      </c>
    </row>
    <row r="15" ht="12.75">
      <c r="A15" s="36"/>
    </row>
    <row r="16" ht="12.75">
      <c r="A16" s="36"/>
    </row>
  </sheetData>
  <sheetProtection password="A2BF" sheet="1" objects="1" scenarios="1"/>
  <mergeCells count="7">
    <mergeCell ref="G2:L2"/>
    <mergeCell ref="G3:M3"/>
    <mergeCell ref="D14:E14"/>
    <mergeCell ref="B1:C1"/>
    <mergeCell ref="D1:E1"/>
    <mergeCell ref="B2:C2"/>
    <mergeCell ref="D2:E2"/>
  </mergeCells>
  <conditionalFormatting sqref="E12 E10">
    <cfRule type="cellIs" priority="1" dxfId="2" operator="equal" stopIfTrue="1">
      <formula>0</formula>
    </cfRule>
  </conditionalFormatting>
  <conditionalFormatting sqref="A14">
    <cfRule type="cellIs" priority="2" dxfId="0" operator="equal" stopIfTrue="1">
      <formula>"Take-Off Weight is OK"</formula>
    </cfRule>
    <cfRule type="cellIs" priority="3" dxfId="1" operator="equal" stopIfTrue="1">
      <formula>"Take-Off Weight is above 3100!"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80 gallons." sqref="F5">
      <formula1>80</formula1>
    </dataValidation>
    <dataValidation type="decimal" operator="lessThan" allowBlank="1" showInputMessage="1" showErrorMessage="1" errorTitle="NC Wing Civil Air Patrol" error="You cannot use more than 75 gallons on your flight!" sqref="F11">
      <formula1>75</formula1>
    </dataValidation>
  </dataValidations>
  <hyperlinks>
    <hyperlink ref="A1" location="Payload!A1" display="Return to Payload"/>
  </hyperlinks>
  <printOptions/>
  <pageMargins left="0.75" right="0.75" top="1" bottom="1" header="0.5" footer="0.5"/>
  <pageSetup orientation="portrait"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74</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25</v>
      </c>
      <c r="H3" s="57"/>
      <c r="I3" s="57"/>
      <c r="J3" s="57"/>
      <c r="K3" s="57"/>
      <c r="L3" s="57"/>
      <c r="M3" s="57"/>
    </row>
    <row r="4" spans="1:6" ht="37.5" customHeight="1">
      <c r="A4" s="27" t="s">
        <v>75</v>
      </c>
      <c r="B4" s="1">
        <v>1808</v>
      </c>
      <c r="C4" s="1">
        <v>62</v>
      </c>
      <c r="D4" s="32">
        <v>1907.3</v>
      </c>
      <c r="E4" s="32">
        <v>64.03</v>
      </c>
      <c r="F4" s="31" t="s">
        <v>6</v>
      </c>
    </row>
    <row r="5" spans="1:6" ht="16.5" customHeight="1">
      <c r="A5" s="27" t="s">
        <v>23</v>
      </c>
      <c r="B5" s="1">
        <v>450</v>
      </c>
      <c r="C5" s="1">
        <v>21.6</v>
      </c>
      <c r="D5" s="1">
        <f>$F$5*6</f>
        <v>450</v>
      </c>
      <c r="E5" s="2">
        <f>D5*48/1000</f>
        <v>21.6</v>
      </c>
      <c r="F5" s="37">
        <v>75</v>
      </c>
    </row>
    <row r="6" spans="1:5" ht="16.5" customHeight="1">
      <c r="A6" s="27" t="s">
        <v>7</v>
      </c>
      <c r="B6" s="1">
        <v>400</v>
      </c>
      <c r="C6" s="1">
        <v>12.6</v>
      </c>
      <c r="D6" s="37">
        <v>400</v>
      </c>
      <c r="E6" s="2">
        <f>(D6*37)/1000</f>
        <v>14.8</v>
      </c>
    </row>
    <row r="7" spans="1:5" ht="16.5" customHeight="1">
      <c r="A7" s="27" t="s">
        <v>8</v>
      </c>
      <c r="B7" s="1">
        <v>340</v>
      </c>
      <c r="C7" s="1">
        <v>25.2</v>
      </c>
      <c r="D7" s="37">
        <v>280</v>
      </c>
      <c r="E7" s="2">
        <f>D7*74/1000</f>
        <v>20.72</v>
      </c>
    </row>
    <row r="8" spans="1:5" ht="16.5" customHeight="1">
      <c r="A8" s="27" t="s">
        <v>9</v>
      </c>
      <c r="B8" s="1">
        <v>40</v>
      </c>
      <c r="C8" s="1">
        <v>11.6</v>
      </c>
      <c r="D8" s="37">
        <v>60</v>
      </c>
      <c r="E8" s="2">
        <f>(D8*97)/1000</f>
        <v>5.82</v>
      </c>
    </row>
    <row r="9" spans="1:5" ht="16.5" customHeight="1">
      <c r="A9" s="27" t="s">
        <v>24</v>
      </c>
      <c r="B9" s="1">
        <v>54</v>
      </c>
      <c r="C9" s="1">
        <v>6.5</v>
      </c>
      <c r="D9" s="37">
        <v>0</v>
      </c>
      <c r="E9" s="2">
        <f>(D9*121)/1000</f>
        <v>0</v>
      </c>
    </row>
    <row r="10" spans="1:8" ht="18.75" customHeight="1">
      <c r="A10" s="33" t="s">
        <v>26</v>
      </c>
      <c r="B10" s="1">
        <f>SUM(B4:B9)</f>
        <v>3092</v>
      </c>
      <c r="C10" s="1">
        <f>SUM(C4:C9)</f>
        <v>139.5</v>
      </c>
      <c r="D10" s="4">
        <f>SUM(D4:D9)</f>
        <v>3097.3</v>
      </c>
      <c r="E10" s="3">
        <f>SUM(E4:E9)</f>
        <v>126.97</v>
      </c>
      <c r="F10" s="31" t="s">
        <v>14</v>
      </c>
      <c r="H10" s="6">
        <f>($E$10*1000)/$D$10</f>
        <v>40.99376876634488</v>
      </c>
    </row>
    <row r="11" spans="1:6" ht="16.5" customHeight="1">
      <c r="A11" s="27" t="s">
        <v>12</v>
      </c>
      <c r="B11" s="1">
        <v>132</v>
      </c>
      <c r="C11" s="1">
        <v>6.3</v>
      </c>
      <c r="D11" s="1">
        <f>F11*6</f>
        <v>120</v>
      </c>
      <c r="E11" s="2">
        <f>D11*48/1000</f>
        <v>5.76</v>
      </c>
      <c r="F11" s="37">
        <v>20</v>
      </c>
    </row>
    <row r="12" spans="1:8" ht="18.75" customHeight="1">
      <c r="A12" s="33" t="s">
        <v>13</v>
      </c>
      <c r="B12" s="1">
        <f>B10-B11</f>
        <v>2960</v>
      </c>
      <c r="C12" s="1">
        <f>C10-C11</f>
        <v>133.2</v>
      </c>
      <c r="D12" s="4">
        <f>D10-D11</f>
        <v>2977.3</v>
      </c>
      <c r="E12" s="3">
        <f>E10-E11</f>
        <v>121.21</v>
      </c>
      <c r="H12" s="6">
        <f>($E$12*1000)/$D$12</f>
        <v>40.71138279649347</v>
      </c>
    </row>
    <row r="13" ht="3.75" customHeight="1"/>
    <row r="14" spans="1:6" ht="15">
      <c r="A14" s="34" t="str">
        <f>IF(D10&gt;3100,"Take-Off Weight is above 3100!","Take-Off Weight is OK")</f>
        <v>Take-Off Weight is OK</v>
      </c>
      <c r="D14" s="58" t="s">
        <v>22</v>
      </c>
      <c r="E14" s="58"/>
      <c r="F14" s="35">
        <f>3100-($D$4+(75*6))</f>
        <v>742.6999999999998</v>
      </c>
    </row>
    <row r="15" ht="12.75">
      <c r="A15" s="36"/>
    </row>
    <row r="16" ht="12.75">
      <c r="A16" s="36"/>
    </row>
  </sheetData>
  <sheetProtection password="A0AF" sheet="1" objects="1" scenarios="1"/>
  <mergeCells count="7">
    <mergeCell ref="G2:L2"/>
    <mergeCell ref="G3:M3"/>
    <mergeCell ref="D14:E14"/>
    <mergeCell ref="B1:C1"/>
    <mergeCell ref="D1:E1"/>
    <mergeCell ref="B2:C2"/>
    <mergeCell ref="D2:E2"/>
  </mergeCells>
  <conditionalFormatting sqref="E12 E10">
    <cfRule type="cellIs" priority="1" dxfId="2" operator="equal" stopIfTrue="1">
      <formula>0</formula>
    </cfRule>
  </conditionalFormatting>
  <conditionalFormatting sqref="A14">
    <cfRule type="cellIs" priority="2" dxfId="0" operator="equal" stopIfTrue="1">
      <formula>"Take-Off Weight is OK"</formula>
    </cfRule>
    <cfRule type="cellIs" priority="3" dxfId="1" operator="equal" stopIfTrue="1">
      <formula>"Take-Off Weight is above 3100!"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75 gallons." sqref="F5">
      <formula1>75</formula1>
    </dataValidation>
    <dataValidation type="decimal" operator="lessThan" allowBlank="1" showInputMessage="1" showErrorMessage="1" errorTitle="NC Wing Civil Air Patrol" error="You cannot use more than 75 gallons on your flight!" sqref="F11">
      <formula1>75</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16"/>
  <sheetViews>
    <sheetView showGridLines="0" workbookViewId="0" topLeftCell="A1">
      <selection activeCell="A2" sqref="A2"/>
    </sheetView>
  </sheetViews>
  <sheetFormatPr defaultColWidth="9.140625" defaultRowHeight="12.75"/>
  <cols>
    <col min="1" max="1" width="40.7109375" style="29" customWidth="1"/>
    <col min="2" max="2" width="10.28125" style="29" customWidth="1"/>
    <col min="3" max="3" width="11.00390625" style="29" customWidth="1"/>
    <col min="4" max="4" width="10.28125" style="29" customWidth="1"/>
    <col min="5" max="5" width="11.00390625" style="29" customWidth="1"/>
    <col min="6" max="6" width="12.00390625" style="29" customWidth="1"/>
    <col min="7" max="16384" width="9.140625" style="29" customWidth="1"/>
  </cols>
  <sheetData>
    <row r="1" spans="1:5" ht="14.25" customHeight="1">
      <c r="A1" s="28" t="s">
        <v>83</v>
      </c>
      <c r="B1" s="59" t="s">
        <v>5</v>
      </c>
      <c r="C1" s="59"/>
      <c r="D1" s="60">
        <f ca="1">NOW()</f>
        <v>38797.68181087963</v>
      </c>
      <c r="E1" s="60"/>
    </row>
    <row r="2" spans="1:12" ht="47.25">
      <c r="A2" s="30" t="s">
        <v>72</v>
      </c>
      <c r="B2" s="61" t="s">
        <v>2</v>
      </c>
      <c r="C2" s="62"/>
      <c r="D2" s="61" t="s">
        <v>3</v>
      </c>
      <c r="E2" s="62"/>
      <c r="G2" s="54" t="s">
        <v>17</v>
      </c>
      <c r="H2" s="55"/>
      <c r="I2" s="55"/>
      <c r="J2" s="55"/>
      <c r="K2" s="55"/>
      <c r="L2" s="55"/>
    </row>
    <row r="3" spans="1:13" ht="21.75" customHeight="1">
      <c r="A3" s="31" t="s">
        <v>0</v>
      </c>
      <c r="B3" s="31" t="s">
        <v>1</v>
      </c>
      <c r="C3" s="31" t="s">
        <v>4</v>
      </c>
      <c r="D3" s="31" t="s">
        <v>1</v>
      </c>
      <c r="E3" s="31" t="s">
        <v>4</v>
      </c>
      <c r="G3" s="56" t="s">
        <v>20</v>
      </c>
      <c r="H3" s="57"/>
      <c r="I3" s="57"/>
      <c r="J3" s="57"/>
      <c r="K3" s="57"/>
      <c r="L3" s="57"/>
      <c r="M3" s="57"/>
    </row>
    <row r="4" spans="1:6" ht="37.5" customHeight="1">
      <c r="A4" s="27" t="s">
        <v>73</v>
      </c>
      <c r="B4" s="1">
        <v>1454</v>
      </c>
      <c r="C4" s="1">
        <v>57.6</v>
      </c>
      <c r="D4" s="32">
        <v>1456.81</v>
      </c>
      <c r="E4" s="32">
        <v>56.48</v>
      </c>
      <c r="F4" s="31" t="s">
        <v>6</v>
      </c>
    </row>
    <row r="5" spans="1:6" ht="16.5" customHeight="1">
      <c r="A5" s="27" t="s">
        <v>49</v>
      </c>
      <c r="B5" s="1">
        <v>240</v>
      </c>
      <c r="C5" s="1">
        <v>11.5</v>
      </c>
      <c r="D5" s="1">
        <f>F5*6</f>
        <v>240</v>
      </c>
      <c r="E5" s="2">
        <f>D5*47.78/1000</f>
        <v>11.4672</v>
      </c>
      <c r="F5" s="37">
        <v>40</v>
      </c>
    </row>
    <row r="6" spans="1:5" ht="16.5" customHeight="1">
      <c r="A6" s="27" t="s">
        <v>7</v>
      </c>
      <c r="B6" s="1">
        <v>340</v>
      </c>
      <c r="C6" s="1">
        <v>12.6</v>
      </c>
      <c r="D6" s="37">
        <v>470</v>
      </c>
      <c r="E6" s="2">
        <f>(D6*37)/1000</f>
        <v>17.39</v>
      </c>
    </row>
    <row r="7" spans="1:5" ht="16.5" customHeight="1">
      <c r="A7" s="27" t="s">
        <v>8</v>
      </c>
      <c r="B7" s="1">
        <v>170</v>
      </c>
      <c r="C7" s="1">
        <v>12.4</v>
      </c>
      <c r="D7" s="37">
        <v>330</v>
      </c>
      <c r="E7" s="2">
        <f>D7*73/1000</f>
        <v>24.09</v>
      </c>
    </row>
    <row r="8" spans="1:5" ht="16.5" customHeight="1">
      <c r="A8" s="27" t="s">
        <v>9</v>
      </c>
      <c r="B8" s="1">
        <v>103</v>
      </c>
      <c r="C8" s="1">
        <v>9.8</v>
      </c>
      <c r="D8" s="37">
        <v>0</v>
      </c>
      <c r="E8" s="2">
        <f>(D8*95)/1000</f>
        <v>0</v>
      </c>
    </row>
    <row r="9" spans="1:5" ht="16.5" customHeight="1">
      <c r="A9" s="27" t="s">
        <v>10</v>
      </c>
      <c r="B9" s="1"/>
      <c r="C9" s="1"/>
      <c r="D9" s="37">
        <v>0</v>
      </c>
      <c r="E9" s="2">
        <f>(D9*123)/1000</f>
        <v>0</v>
      </c>
    </row>
    <row r="10" spans="1:8" ht="18.75" customHeight="1">
      <c r="A10" s="33" t="s">
        <v>11</v>
      </c>
      <c r="B10" s="1">
        <f>SUM(B4:B9)</f>
        <v>2307</v>
      </c>
      <c r="C10" s="1">
        <f>SUM(C4:C9)</f>
        <v>103.89999999999999</v>
      </c>
      <c r="D10" s="4">
        <f>SUM(D4:D9)</f>
        <v>2496.81</v>
      </c>
      <c r="E10" s="3">
        <f>SUM(E4:E9)</f>
        <v>109.4272</v>
      </c>
      <c r="F10" s="31" t="s">
        <v>14</v>
      </c>
      <c r="H10" s="6">
        <f>($E$10*1000)/$D$10</f>
        <v>43.8268030006288</v>
      </c>
    </row>
    <row r="11" spans="1:6" ht="16.5" customHeight="1">
      <c r="A11" s="27" t="s">
        <v>12</v>
      </c>
      <c r="B11" s="1">
        <v>132</v>
      </c>
      <c r="C11" s="1">
        <v>6.3</v>
      </c>
      <c r="D11" s="1">
        <f>F11*6</f>
        <v>9</v>
      </c>
      <c r="E11" s="2">
        <f>D11*48/1000</f>
        <v>0.432</v>
      </c>
      <c r="F11" s="37">
        <v>1.5</v>
      </c>
    </row>
    <row r="12" spans="1:8" ht="18.75" customHeight="1">
      <c r="A12" s="33" t="s">
        <v>13</v>
      </c>
      <c r="B12" s="1">
        <f>B10-B11</f>
        <v>2175</v>
      </c>
      <c r="C12" s="1">
        <f>C10-C11</f>
        <v>97.6</v>
      </c>
      <c r="D12" s="4">
        <f>D10-D11</f>
        <v>2487.81</v>
      </c>
      <c r="E12" s="3">
        <f>E10-E11</f>
        <v>108.9952</v>
      </c>
      <c r="H12" s="6">
        <f>($E$12*1000)/$D$12</f>
        <v>43.81170587786045</v>
      </c>
    </row>
    <row r="13" ht="3.75" customHeight="1"/>
    <row r="14" spans="1:6" ht="15">
      <c r="A14" s="34" t="str">
        <f>IF(D10&gt;2550,"Take-Off Weight is above 2550!","Take-Off Weight is OK")</f>
        <v>Take-Off Weight is OK</v>
      </c>
      <c r="D14" s="58" t="s">
        <v>22</v>
      </c>
      <c r="E14" s="58"/>
      <c r="F14" s="35">
        <f>2550-($D$4+(40*6))</f>
        <v>853.19</v>
      </c>
    </row>
    <row r="15" ht="12.75">
      <c r="A15" s="36"/>
    </row>
    <row r="16" ht="12.75">
      <c r="A16" s="36"/>
    </row>
  </sheetData>
  <sheetProtection password="A07D" sheet="1" objects="1" scenarios="1"/>
  <mergeCells count="7">
    <mergeCell ref="G2:L2"/>
    <mergeCell ref="G3:M3"/>
    <mergeCell ref="D14:E14"/>
    <mergeCell ref="B1:C1"/>
    <mergeCell ref="D1:E1"/>
    <mergeCell ref="B2:C2"/>
    <mergeCell ref="D2:E2"/>
  </mergeCells>
  <conditionalFormatting sqref="A14">
    <cfRule type="cellIs" priority="1" dxfId="0" operator="equal" stopIfTrue="1">
      <formula>"Take-Off Weight is OK"</formula>
    </cfRule>
    <cfRule type="cellIs" priority="2" dxfId="1" operator="equal" stopIfTrue="1">
      <formula>"Take-Off Weight is above 2550!"</formula>
    </cfRule>
  </conditionalFormatting>
  <conditionalFormatting sqref="E12 E10">
    <cfRule type="cellIs" priority="3" dxfId="2" operator="equal" stopIfTrue="1">
      <formula>0</formula>
    </cfRule>
  </conditionalFormatting>
  <dataValidations count="5">
    <dataValidation type="whole" allowBlank="1" showInputMessage="1" showErrorMessage="1" errorTitle="Thunderhorse Aviation" error="Baggage Area 1 can only contain a weight from 0 to 120 pounds." sqref="D8">
      <formula1>0</formula1>
      <formula2>120</formula2>
    </dataValidation>
    <dataValidation type="whole" allowBlank="1" showInputMessage="1" showErrorMessage="1" errorTitle="Thunderhorse Aviation" error="Baggage Area 2 must only contain a weight from 0 to 50 pounds." sqref="D9">
      <formula1>0</formula1>
      <formula2>50</formula2>
    </dataValidation>
    <dataValidation errorStyle="warning" type="whole" operator="greaterThan" allowBlank="1" showInputMessage="1" showErrorMessage="1" errorTitle="Thunderhorse Aviation" error="Baggage Area 1 and 2 combined can not be more than 120 pounds." sqref="F6">
      <formula1>120</formula1>
    </dataValidation>
    <dataValidation type="whole" operator="lessThanOrEqual" allowBlank="1" showInputMessage="1" showErrorMessage="1" errorTitle="NC Wing Civil Air Patrol" error="You cannot hold more than 40 gallons" sqref="F5">
      <formula1>40</formula1>
    </dataValidation>
    <dataValidation type="decimal" operator="lessThan" allowBlank="1" showInputMessage="1" showErrorMessage="1" errorTitle="NC Wing Civil Air Patrol" error="You cannot use more than 40 gallons on your flight!" sqref="F11">
      <formula1>40</formula1>
    </dataValidation>
  </dataValidations>
  <hyperlinks>
    <hyperlink ref="A1" location="Payload!A1" display="Return to Payload"/>
  </hyperlinks>
  <printOptions horizontalCentered="1" verticalCentered="1"/>
  <pageMargins left="0.25" right="0.25" top="0.25" bottom="0.25" header="0" footer="0"/>
  <pageSetup fitToHeight="1" fitToWidth="1" orientation="landscape"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Thunderhorse Aviation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 and Balance Calculator</dc:title>
  <dc:subject>Cessna 172M 1976 POH</dc:subject>
  <dc:creator>Jim Broumley</dc:creator>
  <cp:keywords>thunderhorse, calculators, weight</cp:keywords>
  <dc:description>This file is for demostration purposes only.  No guarantee of accuracy is given.  Consult the POH for your aircraft for weight and balance calculations.  Contact the author at jim@thunderhorseaviation.com.</dc:description>
  <cp:lastModifiedBy> </cp:lastModifiedBy>
  <cp:lastPrinted>2006-03-21T01:32:44Z</cp:lastPrinted>
  <dcterms:created xsi:type="dcterms:W3CDTF">2003-01-17T00:04:06Z</dcterms:created>
  <dcterms:modified xsi:type="dcterms:W3CDTF">2006-03-21T21:22:32Z</dcterms:modified>
  <cp:category>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file>