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drawings/drawing8.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drawings/drawing9.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10.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11.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drawings/drawing12.xml" ContentType="application/vnd.openxmlformats-officedocument.drawing+xml"/>
  <Override PartName="/xl/worksheets/sheet41.xml" ContentType="application/vnd.openxmlformats-officedocument.spreadsheetml.worksheet+xml"/>
  <Override PartName="/xl/drawings/drawing14.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0_0.bin" ContentType="application/vnd.openxmlformats-officedocument.oleObject"/>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495" windowWidth="14670" windowHeight="8160" tabRatio="866" activeTab="1"/>
  </bookViews>
  <sheets>
    <sheet name="To Do" sheetId="1" r:id="rId1"/>
    <sheet name="Introduction" sheetId="2" r:id="rId2"/>
    <sheet name="Key &amp; Notes" sheetId="3" r:id="rId3"/>
    <sheet name="Components" sheetId="4" r:id="rId4"/>
    <sheet name="Warnings" sheetId="5" r:id="rId5"/>
    <sheet name="References" sheetId="6" r:id="rId6"/>
    <sheet name="{a}Project &amp; Stage Info" sheetId="7" r:id="rId7"/>
    <sheet name="{b}Capacity" sheetId="8" r:id="rId8"/>
    <sheet name="{u}GAC" sheetId="9" r:id="rId9"/>
    <sheet name="{c}Report" sheetId="10" r:id="rId10"/>
    <sheet name="{d}Cost Index" sheetId="11" r:id="rId11"/>
    <sheet name="{e}H20 Analysis" sheetId="12" r:id="rId12"/>
    <sheet name="{f}RO&amp;NF Input" sheetId="13" r:id="rId13"/>
    <sheet name="{g}RO&amp;NF Output" sheetId="14" r:id="rId14"/>
    <sheet name="{h}CO2g" sheetId="15" r:id="rId15"/>
    <sheet name="{i}Acid" sheetId="16" r:id="rId16"/>
    <sheet name="{j}IronCoag" sheetId="17" r:id="rId17"/>
    <sheet name="{k}Alum" sheetId="18" r:id="rId18"/>
    <sheet name="{L}PACl" sheetId="19" r:id="rId19"/>
    <sheet name="{m}De-Cl2" sheetId="20" r:id="rId20"/>
    <sheet name="{n}CL2" sheetId="21" r:id="rId21"/>
    <sheet name="{o}NHCL" sheetId="22" r:id="rId22"/>
    <sheet name="{p} Ozone" sheetId="23" r:id="rId23"/>
    <sheet name="{q}LimeFeed" sheetId="24" r:id="rId24"/>
    <sheet name="{r}Antiscalent" sheetId="25" r:id="rId25"/>
    <sheet name="{s}PolyElectrolyte" sheetId="26" r:id="rId26"/>
    <sheet name="{t}KMnO4" sheetId="27" r:id="rId27"/>
    <sheet name="{v}Clearwell" sheetId="28" r:id="rId28"/>
    <sheet name="{w}GravityFilt" sheetId="29" r:id="rId29"/>
    <sheet name="{x}UFSCC" sheetId="30" r:id="rId30"/>
    <sheet name="{y}IX " sheetId="31" r:id="rId31"/>
    <sheet name="{z}MF-P input" sheetId="32" r:id="rId32"/>
    <sheet name="{aa}MF-P output" sheetId="33" r:id="rId33"/>
    <sheet name="{bb}Rejection" sheetId="34" r:id="rId34"/>
    <sheet name="{cc}ConcOutfall" sheetId="35" r:id="rId35"/>
    <sheet name="{dd}IonicsED" sheetId="36" r:id="rId36"/>
    <sheet name="{ee}ED2" sheetId="37" r:id="rId37"/>
    <sheet name="{ff}Pumps" sheetId="38" r:id="rId38"/>
    <sheet name="{hh}S&amp;DSI" sheetId="39" r:id="rId39"/>
    <sheet name="{ii}LSI" sheetId="40" r:id="rId40"/>
    <sheet name="{jj}Stiff&amp;Davis" sheetId="41" r:id="rId41"/>
    <sheet name="{kk} UV" sheetId="42" r:id="rId42"/>
    <sheet name="{ll} Tanks" sheetId="43" r:id="rId43"/>
    <sheet name="{mm} MF-UF" sheetId="44" r:id="rId44"/>
    <sheet name="{gg}StdAnalyses" sheetId="45" r:id="rId45"/>
  </sheets>
  <definedNames>
    <definedName name="BCI_78">'{d}Cost Index'!#REF!</definedName>
    <definedName name="Cap_ProdPump">'{f}RO&amp;NF Input'!$I$61</definedName>
    <definedName name="Cap_TransPump">'{f}RO&amp;NF Input'!$I$49</definedName>
    <definedName name="CCI_78">'{d}Cost Index'!#REF!</definedName>
    <definedName name="Cement_78">'{d}Cost Index'!#REF!</definedName>
    <definedName name="content" localSheetId="10">'{d}Cost Index'!$M$39</definedName>
    <definedName name="Coup_TransPump">'{f}RO&amp;NF Input'!$I$46</definedName>
    <definedName name="CoupEff">'{f}RO&amp;NF Input'!$I$32</definedName>
    <definedName name="CoupEff_ProdPump">'{f}RO&amp;NF Input'!$I$58</definedName>
    <definedName name="ENR_BCI">'{d}Cost Index'!$B$13</definedName>
    <definedName name="ENR_CCI">'{d}Cost Index'!$B$10</definedName>
    <definedName name="ENR_Cement">'{d}Cost Index'!$B$18</definedName>
    <definedName name="ENR_Labor">'{d}Cost Index'!$B$11</definedName>
    <definedName name="ENR_MI">'{d}Cost Index'!$B$16</definedName>
    <definedName name="ENR_SLI">'{d}Cost Index'!$B$14</definedName>
    <definedName name="ENR_Steel">'{d}Cost Index'!$B$19</definedName>
    <definedName name="EREff">'{f}RO&amp;NF Input'!$I$39</definedName>
    <definedName name="EREfficiency">'{f}RO&amp;NF Input'!$I$39</definedName>
    <definedName name="Height">'{f}RO&amp;NF Input'!$I$29</definedName>
    <definedName name="Height_ProdPump">'{f}RO&amp;NF Input'!$I$54</definedName>
    <definedName name="Height_TransPump">'{f}RO&amp;NF Input'!$I$43</definedName>
    <definedName name="IndexDate">'{d}Cost Index'!$B$8</definedName>
    <definedName name="Interest">'{d}Cost Index'!$B$24</definedName>
    <definedName name="Labor_78">'{d}Cost Index'!#REF!</definedName>
    <definedName name="Length">'{f}RO&amp;NF Input'!#REF!</definedName>
    <definedName name="Length_ProdPump">'{f}RO&amp;NF Input'!$I$55</definedName>
    <definedName name="Length_TransPump">'{f}RO&amp;NF Input'!#REF!</definedName>
    <definedName name="MI_78">'{d}Cost Index'!#REF!</definedName>
    <definedName name="MotorEff">'{f}RO&amp;NF Input'!$I$30</definedName>
    <definedName name="MotorEff_ProdPump">'{f}RO&amp;NF Input'!$I$56</definedName>
    <definedName name="MotorEff_TransPump">'{f}RO&amp;NF Input'!$I$44</definedName>
    <definedName name="Num_ProdPump">'{f}RO&amp;NF Input'!$I$59</definedName>
    <definedName name="Num_TransPump">'{f}RO&amp;NF Input'!$I$47</definedName>
    <definedName name="NumPumps">'{f}RO&amp;NF Input'!$I$33</definedName>
    <definedName name="OpPress">'{f}RO&amp;NF Input'!$I$34</definedName>
    <definedName name="PipeDia">'{f}RO&amp;NF Input'!$I$36</definedName>
    <definedName name="PipeDia_ProdPump">'{f}RO&amp;NF Input'!$I$62</definedName>
    <definedName name="PipeDia_TransPump">'{f}RO&amp;NF Input'!$I$50</definedName>
    <definedName name="Power">'{d}Cost Index'!$B$21</definedName>
    <definedName name="Power_78">'{d}Cost Index'!#REF!</definedName>
    <definedName name="Press_ProdPump">'{f}RO&amp;NF Input'!$I$60</definedName>
    <definedName name="Press_TransPump">'{f}RO&amp;NF Input'!$I$48</definedName>
    <definedName name="_xlnm.Print_Area" localSheetId="6">'{a}Project &amp; Stage Info'!$A$1:$D$49</definedName>
    <definedName name="_xlnm.Print_Area" localSheetId="32">'{aa}MF-P output'!$A$6:$J$25</definedName>
    <definedName name="_xlnm.Print_Area" localSheetId="7">'{b}Capacity'!$A$1:$K$39</definedName>
    <definedName name="_xlnm.Print_Area" localSheetId="33">'{bb}Rejection'!$A$7:$I$39</definedName>
    <definedName name="_xlnm.Print_Area" localSheetId="9">'{c}Report'!$A$1:$M$216</definedName>
    <definedName name="_xlnm.Print_Area" localSheetId="10">'{d}Cost Index'!$A$1:$E$44</definedName>
    <definedName name="_xlnm.Print_Area" localSheetId="11">'{e}H20 Analysis'!$B$4:$M$46</definedName>
    <definedName name="_xlnm.Print_Area" localSheetId="36">'{ee}ED2'!$A$5:$H$105</definedName>
    <definedName name="_xlnm.Print_Area" localSheetId="13">'{g}RO&amp;NF Output'!$A$1:$K$44</definedName>
    <definedName name="_xlnm.Print_Area" localSheetId="44">'{gg}StdAnalyses'!$A$6:$I$44</definedName>
    <definedName name="_xlnm.Print_Area" localSheetId="15">'{i}Acid'!$A$4:$I$49</definedName>
    <definedName name="_xlnm.Print_Area" localSheetId="16">'{j}IronCoag'!$A$5:$E$48</definedName>
    <definedName name="_xlnm.Print_Area" localSheetId="17">'{k}Alum'!$A$5:$I$90</definedName>
    <definedName name="_xlnm.Print_Area" localSheetId="18">'{L}PACl'!$A$5:$I$61</definedName>
    <definedName name="_xlnm.Print_Area" localSheetId="19">'{m}De-Cl2'!$A$5:$J$49</definedName>
    <definedName name="_xlnm.Print_Area" localSheetId="20">'{n}CL2'!$A$5:$F$52</definedName>
    <definedName name="_xlnm.Print_Area" localSheetId="21">'{o}NHCL'!$A$6:$L$68</definedName>
    <definedName name="_xlnm.Print_Area" localSheetId="22">'{p} Ozone'!$A$5:$K$58</definedName>
    <definedName name="_xlnm.Print_Area" localSheetId="23">'{q}LimeFeed'!$A$6:$V$48</definedName>
    <definedName name="_xlnm.Print_Area" localSheetId="24">'{r}Antiscalent'!$A$6:$D$43</definedName>
    <definedName name="_xlnm.Print_Area" localSheetId="25">'{s}PolyElectrolyte'!$A$6:$D$44</definedName>
    <definedName name="_xlnm.Print_Area" localSheetId="26">'{t}KMnO4'!$A$7:$E$49</definedName>
    <definedName name="_xlnm.Print_Area" localSheetId="8">'{u}GAC'!$A$4:$G$12</definedName>
    <definedName name="_xlnm.Print_Area" localSheetId="27">'{v}Clearwell'!$A$6:$H$30</definedName>
    <definedName name="_xlnm.Print_Area" localSheetId="28">'{w}GravityFilt'!$A$5:$Q$45</definedName>
    <definedName name="_xlnm.Print_Area" localSheetId="29">'{x}UFSCC'!$A$4:$I$41</definedName>
    <definedName name="_xlnm.Print_Area" localSheetId="30">'{y}IX '!$A$4:$M$59</definedName>
    <definedName name="_xlnm.Print_Area" localSheetId="31">'{z}MF-P input'!$A$7:$P$37</definedName>
    <definedName name="_xlnm.Print_Titles" localSheetId="9">'{c}Report'!$4:$14</definedName>
    <definedName name="ProdCap">'{f}RO&amp;NF Input'!$I$12</definedName>
    <definedName name="PumpEff">'{f}RO&amp;NF Input'!$I$31</definedName>
    <definedName name="PumpEff_ProdPump">'{f}RO&amp;NF Input'!$I$57</definedName>
    <definedName name="PumpEff_TransPump">'{f}RO&amp;NF Input'!$I$45</definedName>
    <definedName name="Recovery">'{f}RO&amp;NF Input'!$B$19</definedName>
    <definedName name="SkidCap">'{f}RO&amp;NF Input'!$I$35</definedName>
    <definedName name="SLI_78">'{d}Cost Index'!#REF!</definedName>
    <definedName name="Steel_78">'{d}Cost Index'!#REF!</definedName>
    <definedName name="WaterData" localSheetId="44">'{gg}StdAnalyses'!$B$6:$I$44</definedName>
    <definedName name="WaterData">#REF!</definedName>
    <definedName name="WaterRate">'{d}Cost Index'!$B$26</definedName>
    <definedName name="Years">'{d}Cost Index'!$B$25</definedName>
  </definedNames>
  <calcPr fullCalcOnLoad="1"/>
</workbook>
</file>

<file path=xl/comments10.xml><?xml version="1.0" encoding="utf-8"?>
<comments xmlns="http://schemas.openxmlformats.org/spreadsheetml/2006/main">
  <authors>
    <author>Saied Delagah</author>
  </authors>
  <commentList>
    <comment ref="D141" authorId="0">
      <text>
        <r>
          <rPr>
            <b/>
            <sz val="8"/>
            <rFont val="Tahoma"/>
            <family val="0"/>
          </rPr>
          <t>Saied Delagah:</t>
        </r>
        <r>
          <rPr>
            <sz val="8"/>
            <rFont val="Tahoma"/>
            <family val="0"/>
          </rPr>
          <t xml:space="preserve">
based on alk from S&amp;DI calculates dosage required
</t>
        </r>
      </text>
    </comment>
  </commentList>
</comments>
</file>

<file path=xl/comments11.xml><?xml version="1.0" encoding="utf-8"?>
<comments xmlns="http://schemas.openxmlformats.org/spreadsheetml/2006/main">
  <authors>
    <author>sdundorf</author>
  </authors>
  <commentList>
    <comment ref="B21" authorId="0">
      <text>
        <r>
          <rPr>
            <b/>
            <sz val="8"/>
            <rFont val="Tahoma"/>
            <family val="0"/>
          </rPr>
          <t>sdundorf:</t>
        </r>
        <r>
          <rPr>
            <sz val="8"/>
            <rFont val="Tahoma"/>
            <family val="0"/>
          </rPr>
          <t xml:space="preserve">
typically $0.07 to $0.12 per KWH in 2004
Reference 3 - DOE</t>
        </r>
      </text>
    </comment>
    <comment ref="B26" authorId="0">
      <text>
        <r>
          <rPr>
            <b/>
            <sz val="8"/>
            <rFont val="Tahoma"/>
            <family val="0"/>
          </rPr>
          <t>sdundorf:</t>
        </r>
        <r>
          <rPr>
            <sz val="8"/>
            <rFont val="Tahoma"/>
            <family val="0"/>
          </rPr>
          <t xml:space="preserve">
typically $2 in 2004</t>
        </r>
      </text>
    </comment>
    <comment ref="J19" authorId="0">
      <text>
        <r>
          <rPr>
            <b/>
            <sz val="8"/>
            <rFont val="Tahoma"/>
            <family val="0"/>
          </rPr>
          <t>sdundorf:</t>
        </r>
        <r>
          <rPr>
            <sz val="8"/>
            <rFont val="Tahoma"/>
            <family val="0"/>
          </rPr>
          <t xml:space="preserve">
Code discontinued in 1982 so no updated value.
Using code 1017 (also called steel mill products as value)
</t>
        </r>
      </text>
    </comment>
    <comment ref="N21" authorId="0">
      <text>
        <r>
          <rPr>
            <sz val="8"/>
            <rFont val="Tahoma"/>
            <family val="0"/>
          </rPr>
          <t>From Reference 2</t>
        </r>
      </text>
    </comment>
    <comment ref="H8" authorId="0">
      <text>
        <r>
          <rPr>
            <b/>
            <sz val="8"/>
            <rFont val="Tahoma"/>
            <family val="0"/>
          </rPr>
          <t>sdundorf:</t>
        </r>
        <r>
          <rPr>
            <sz val="8"/>
            <rFont val="Tahoma"/>
            <family val="0"/>
          </rPr>
          <t xml:space="preserve">
From 1978 ENR issue</t>
        </r>
      </text>
    </comment>
  </commentList>
</comments>
</file>

<file path=xl/comments13.xml><?xml version="1.0" encoding="utf-8"?>
<comments xmlns="http://schemas.openxmlformats.org/spreadsheetml/2006/main">
  <authors>
    <author>Saied Delagah</author>
    <author>SDUNDORF</author>
    <author>Preferred Customer</author>
    <author>Steve Dundorf</author>
    <author>sdundorf</author>
    <author>Michelle Chapman</author>
  </authors>
  <commentList>
    <comment ref="I37" authorId="0">
      <text>
        <r>
          <rPr>
            <b/>
            <sz val="8"/>
            <rFont val="Tahoma"/>
            <family val="0"/>
          </rPr>
          <t>Saied Delagah:</t>
        </r>
        <r>
          <rPr>
            <sz val="8"/>
            <rFont val="Tahoma"/>
            <family val="0"/>
          </rPr>
          <t xml:space="preserve">
</t>
        </r>
        <r>
          <rPr>
            <b/>
            <i/>
            <sz val="8"/>
            <rFont val="Tahoma"/>
            <family val="2"/>
          </rPr>
          <t xml:space="preserve">hp per skid
</t>
        </r>
        <r>
          <rPr>
            <sz val="8"/>
            <rFont val="Tahoma"/>
            <family val="0"/>
          </rPr>
          <t xml:space="preserve">
hp = (</t>
        </r>
        <r>
          <rPr>
            <sz val="8"/>
            <rFont val="Arial"/>
            <family val="0"/>
          </rPr>
          <t>Δ</t>
        </r>
        <r>
          <rPr>
            <sz val="8"/>
            <rFont val="Tahoma"/>
            <family val="0"/>
          </rPr>
          <t xml:space="preserve">hg + 0.5v^2 + Δp) * (1 - Erec) * Qf * 1000 / (746 * Eeff)          pp 11.4 eqn 11.9
Δh: Height Difference
v:   Velocity = Qf (capacity/flow rate)/pipe area
Δp: Press. Diff bet. Tank and operating press
Erec: Energy recovery 
Qf: Membrane feed flow m3/s
Eeff: Combine pump and motor eff.
</t>
        </r>
      </text>
    </comment>
    <comment ref="I35" authorId="0">
      <text>
        <r>
          <rPr>
            <b/>
            <sz val="8"/>
            <rFont val="Tahoma"/>
            <family val="0"/>
          </rPr>
          <t>Saied Delagah:</t>
        </r>
        <r>
          <rPr>
            <sz val="8"/>
            <rFont val="Tahoma"/>
            <family val="0"/>
          </rPr>
          <t xml:space="preserve">
capacity per skid = flow rate per skid (based on user input)
</t>
        </r>
      </text>
    </comment>
    <comment ref="I36" authorId="0">
      <text>
        <r>
          <rPr>
            <b/>
            <sz val="8"/>
            <rFont val="Tahoma"/>
            <family val="0"/>
          </rPr>
          <t>Saied Delagah:</t>
        </r>
        <r>
          <rPr>
            <sz val="8"/>
            <rFont val="Tahoma"/>
            <family val="0"/>
          </rPr>
          <t xml:space="preserve">
Ax = Q / v
Be sure X-section is adequate for the flow.  Maintain velocity ~ 8.2 ft/sec</t>
        </r>
      </text>
    </comment>
    <comment ref="I42" authorId="1">
      <text>
        <r>
          <rPr>
            <sz val="8"/>
            <rFont val="Tahoma"/>
            <family val="2"/>
          </rPr>
          <t>CSS = Centrifugal Single Speed
VST = Variable Speed Turbin</t>
        </r>
      </text>
    </comment>
    <comment ref="B50" authorId="1">
      <text>
        <r>
          <rPr>
            <b/>
            <sz val="8"/>
            <rFont val="Tahoma"/>
            <family val="0"/>
          </rPr>
          <t>= Net driving pressure (NDPo) from above unles specified otherwise</t>
        </r>
      </text>
    </comment>
    <comment ref="I40" authorId="2">
      <text>
        <r>
          <rPr>
            <sz val="8"/>
            <rFont val="Tahoma"/>
            <family val="0"/>
          </rPr>
          <t>Also used in "RO&amp;NF Output"</t>
        </r>
      </text>
    </comment>
    <comment ref="B47" authorId="3">
      <text>
        <r>
          <rPr>
            <b/>
            <sz val="8"/>
            <rFont val="Tahoma"/>
            <family val="0"/>
          </rPr>
          <t>Steve Dundorf:</t>
        </r>
        <r>
          <rPr>
            <sz val="8"/>
            <rFont val="Tahoma"/>
            <family val="0"/>
          </rPr>
          <t xml:space="preserve">
=Operating Pressure (P</t>
        </r>
        <r>
          <rPr>
            <vertAlign val="subscript"/>
            <sz val="8"/>
            <rFont val="Tahoma"/>
            <family val="2"/>
          </rPr>
          <t>app</t>
        </r>
        <r>
          <rPr>
            <sz val="8"/>
            <rFont val="Tahoma"/>
            <family val="0"/>
          </rPr>
          <t>) - Osmotic Pressure</t>
        </r>
      </text>
    </comment>
    <comment ref="B46" authorId="3">
      <text>
        <r>
          <rPr>
            <b/>
            <sz val="8"/>
            <rFont val="Tahoma"/>
            <family val="0"/>
          </rPr>
          <t>Steve Dundorf:</t>
        </r>
        <r>
          <rPr>
            <sz val="8"/>
            <rFont val="Tahoma"/>
            <family val="0"/>
          </rPr>
          <t xml:space="preserve">
=[(NaCl Disocc conts) x 2 x 8.314 x (273.15 K + Temp) x (Cm - Cp) x (1 - Avg. Obs. Rejection)]  /  [(1 - Avg. Intrinsic Rejection)*1000)]</t>
        </r>
      </text>
    </comment>
    <comment ref="P17" authorId="3">
      <text>
        <r>
          <rPr>
            <b/>
            <sz val="8"/>
            <rFont val="Tahoma"/>
            <family val="0"/>
          </rPr>
          <t>Steve Dundorf:</t>
        </r>
        <r>
          <rPr>
            <sz val="8"/>
            <rFont val="Tahoma"/>
            <family val="0"/>
          </rPr>
          <t xml:space="preserve">
From Rejection sheet, last iteration in iteration table.  Equals same value in table.</t>
        </r>
      </text>
    </comment>
    <comment ref="B25" authorId="4">
      <text>
        <r>
          <rPr>
            <b/>
            <sz val="8"/>
            <rFont val="Tahoma"/>
            <family val="0"/>
          </rPr>
          <t>sdundorf:</t>
        </r>
        <r>
          <rPr>
            <sz val="8"/>
            <rFont val="Tahoma"/>
            <family val="0"/>
          </rPr>
          <t xml:space="preserve">
Bypass</t>
        </r>
      </text>
    </comment>
    <comment ref="A11" authorId="4">
      <text>
        <r>
          <rPr>
            <b/>
            <sz val="8"/>
            <rFont val="Tahoma"/>
            <family val="0"/>
          </rPr>
          <t>sdundorf:</t>
        </r>
        <r>
          <rPr>
            <sz val="8"/>
            <rFont val="Tahoma"/>
            <family val="0"/>
          </rPr>
          <t xml:space="preserve">
checked</t>
        </r>
      </text>
    </comment>
    <comment ref="A12" authorId="4">
      <text>
        <r>
          <rPr>
            <b/>
            <sz val="8"/>
            <rFont val="Tahoma"/>
            <family val="0"/>
          </rPr>
          <t>sdundorf:</t>
        </r>
        <r>
          <rPr>
            <sz val="8"/>
            <rFont val="Tahoma"/>
            <family val="0"/>
          </rPr>
          <t xml:space="preserve">
checked</t>
        </r>
      </text>
    </comment>
    <comment ref="A13" authorId="4">
      <text>
        <r>
          <rPr>
            <b/>
            <sz val="8"/>
            <rFont val="Tahoma"/>
            <family val="0"/>
          </rPr>
          <t>sdundorf:</t>
        </r>
        <r>
          <rPr>
            <sz val="8"/>
            <rFont val="Tahoma"/>
            <family val="0"/>
          </rPr>
          <t xml:space="preserve">
checked</t>
        </r>
      </text>
    </comment>
    <comment ref="A14" authorId="4">
      <text>
        <r>
          <rPr>
            <b/>
            <sz val="8"/>
            <rFont val="Tahoma"/>
            <family val="0"/>
          </rPr>
          <t>sdundorf:</t>
        </r>
        <r>
          <rPr>
            <sz val="8"/>
            <rFont val="Tahoma"/>
            <family val="0"/>
          </rPr>
          <t xml:space="preserve">
checked</t>
        </r>
      </text>
    </comment>
    <comment ref="A15" authorId="4">
      <text>
        <r>
          <rPr>
            <b/>
            <sz val="8"/>
            <rFont val="Tahoma"/>
            <family val="0"/>
          </rPr>
          <t>sdundorf:</t>
        </r>
        <r>
          <rPr>
            <sz val="8"/>
            <rFont val="Tahoma"/>
            <family val="0"/>
          </rPr>
          <t xml:space="preserve">
checked</t>
        </r>
      </text>
    </comment>
    <comment ref="A16" authorId="4">
      <text>
        <r>
          <rPr>
            <b/>
            <sz val="8"/>
            <rFont val="Tahoma"/>
            <family val="0"/>
          </rPr>
          <t>sdundorf:</t>
        </r>
        <r>
          <rPr>
            <sz val="8"/>
            <rFont val="Tahoma"/>
            <family val="0"/>
          </rPr>
          <t xml:space="preserve">
checked</t>
        </r>
      </text>
    </comment>
    <comment ref="A17" authorId="4">
      <text>
        <r>
          <rPr>
            <b/>
            <sz val="8"/>
            <rFont val="Tahoma"/>
            <family val="0"/>
          </rPr>
          <t>sdundorf:</t>
        </r>
        <r>
          <rPr>
            <sz val="8"/>
            <rFont val="Tahoma"/>
            <family val="0"/>
          </rPr>
          <t xml:space="preserve">
checked</t>
        </r>
      </text>
    </comment>
    <comment ref="A18" authorId="4">
      <text>
        <r>
          <rPr>
            <b/>
            <sz val="8"/>
            <rFont val="Tahoma"/>
            <family val="0"/>
          </rPr>
          <t>sdundorf:</t>
        </r>
        <r>
          <rPr>
            <sz val="8"/>
            <rFont val="Tahoma"/>
            <family val="0"/>
          </rPr>
          <t xml:space="preserve">
checked</t>
        </r>
      </text>
    </comment>
    <comment ref="A19" authorId="4">
      <text>
        <r>
          <rPr>
            <b/>
            <sz val="8"/>
            <rFont val="Tahoma"/>
            <family val="0"/>
          </rPr>
          <t>sdundorf:</t>
        </r>
        <r>
          <rPr>
            <sz val="8"/>
            <rFont val="Tahoma"/>
            <family val="0"/>
          </rPr>
          <t xml:space="preserve">
checked</t>
        </r>
      </text>
    </comment>
    <comment ref="X24" authorId="4">
      <text>
        <r>
          <rPr>
            <b/>
            <sz val="8"/>
            <rFont val="Tahoma"/>
            <family val="0"/>
          </rPr>
          <t>sdundorf:</t>
        </r>
        <r>
          <rPr>
            <sz val="8"/>
            <rFont val="Tahoma"/>
            <family val="0"/>
          </rPr>
          <t xml:space="preserve">
not listed in MFG info</t>
        </r>
      </text>
    </comment>
    <comment ref="X23" authorId="4">
      <text>
        <r>
          <rPr>
            <b/>
            <sz val="8"/>
            <rFont val="Tahoma"/>
            <family val="0"/>
          </rPr>
          <t>sdundorf:</t>
        </r>
        <r>
          <rPr>
            <sz val="8"/>
            <rFont val="Tahoma"/>
            <family val="0"/>
          </rPr>
          <t xml:space="preserve">
700 for chloride with &gt;45% monovalent
AND
1000 MgSO4 for Sulfate rejection</t>
        </r>
      </text>
    </comment>
    <comment ref="Y24" authorId="4">
      <text>
        <r>
          <rPr>
            <b/>
            <sz val="8"/>
            <rFont val="Tahoma"/>
            <family val="0"/>
          </rPr>
          <t>sdundorf:</t>
        </r>
        <r>
          <rPr>
            <sz val="8"/>
            <rFont val="Tahoma"/>
            <family val="0"/>
          </rPr>
          <t xml:space="preserve">
not listed in MFG info</t>
        </r>
      </text>
    </comment>
    <comment ref="Y25" authorId="4">
      <text>
        <r>
          <rPr>
            <b/>
            <sz val="8"/>
            <rFont val="Tahoma"/>
            <family val="0"/>
          </rPr>
          <t>sdundorf:</t>
        </r>
        <r>
          <rPr>
            <sz val="8"/>
            <rFont val="Tahoma"/>
            <family val="0"/>
          </rPr>
          <t xml:space="preserve">
10 - 30 range</t>
        </r>
      </text>
    </comment>
    <comment ref="I29" authorId="5">
      <text>
        <r>
          <rPr>
            <b/>
            <sz val="8"/>
            <rFont val="Tahoma"/>
            <family val="0"/>
          </rPr>
          <t>Michelle Chapman:</t>
        </r>
        <r>
          <rPr>
            <sz val="8"/>
            <rFont val="Tahoma"/>
            <family val="0"/>
          </rPr>
          <t xml:space="preserve">
from Pump to top of skid</t>
        </r>
      </text>
    </comment>
  </commentList>
</comments>
</file>

<file path=xl/comments14.xml><?xml version="1.0" encoding="utf-8"?>
<comments xmlns="http://schemas.openxmlformats.org/spreadsheetml/2006/main">
  <authors>
    <author>Michelle Chapman</author>
  </authors>
  <commentList>
    <comment ref="G15" authorId="0">
      <text>
        <r>
          <rPr>
            <b/>
            <sz val="8"/>
            <rFont val="Tahoma"/>
            <family val="0"/>
          </rPr>
          <t>Michelle Chapman:</t>
        </r>
        <r>
          <rPr>
            <sz val="8"/>
            <rFont val="Tahoma"/>
            <family val="0"/>
          </rPr>
          <t xml:space="preserve">
Size of Hp pump is reduced by the energy recovery.  Therefore we do not calculate an additional savings in energy.</t>
        </r>
      </text>
    </comment>
    <comment ref="G14" authorId="0">
      <text>
        <r>
          <rPr>
            <b/>
            <sz val="8"/>
            <rFont val="Tahoma"/>
            <family val="0"/>
          </rPr>
          <t>Michelle Chapman:</t>
        </r>
        <r>
          <rPr>
            <sz val="8"/>
            <rFont val="Tahoma"/>
            <family val="0"/>
          </rPr>
          <t xml:space="preserve">
kWh = hp*# of pumps*0.746*hours
The efficiencies are used to calculate hp on the input page.</t>
        </r>
      </text>
    </comment>
  </commentList>
</comments>
</file>

<file path=xl/comments16.xml><?xml version="1.0" encoding="utf-8"?>
<comments xmlns="http://schemas.openxmlformats.org/spreadsheetml/2006/main">
  <authors>
    <author>sdundorf</author>
  </authors>
  <commentList>
    <comment ref="B11" authorId="0">
      <text>
        <r>
          <rPr>
            <b/>
            <sz val="8"/>
            <rFont val="Tahoma"/>
            <family val="0"/>
          </rPr>
          <t>sdundorf:</t>
        </r>
        <r>
          <rPr>
            <sz val="8"/>
            <rFont val="Tahoma"/>
            <family val="0"/>
          </rPr>
          <t xml:space="preserve">
for 96 - 98%</t>
        </r>
      </text>
    </comment>
    <comment ref="B8" authorId="0">
      <text>
        <r>
          <rPr>
            <b/>
            <sz val="8"/>
            <rFont val="Tahoma"/>
            <family val="0"/>
          </rPr>
          <t>sdundorf:</t>
        </r>
        <r>
          <rPr>
            <sz val="8"/>
            <rFont val="Tahoma"/>
            <family val="0"/>
          </rPr>
          <t xml:space="preserve">
IF  (RO/NF bypass = Y)
THEN (Plant Production flow - Bypass flow) / Recovery = Desal Feed flow
IF NOT THEN (Plant Production flow) / Recovery = Desal Feed flow</t>
        </r>
      </text>
    </comment>
    <comment ref="B27" authorId="0">
      <text>
        <r>
          <rPr>
            <b/>
            <sz val="8"/>
            <rFont val="Tahoma"/>
            <family val="0"/>
          </rPr>
          <t>sdundorf:</t>
        </r>
        <r>
          <rPr>
            <sz val="8"/>
            <rFont val="Tahoma"/>
            <family val="0"/>
          </rPr>
          <t xml:space="preserve">
IF  (RO/NF bypass = Y)
THEN (Plant Production flow - Bypass flow) / Recovery = Desal Feed flow
IF NOT THEN (Plant Production flow) / Recovery = Desal Feed flow</t>
        </r>
      </text>
    </comment>
    <comment ref="B30" authorId="0">
      <text>
        <r>
          <rPr>
            <b/>
            <sz val="8"/>
            <rFont val="Tahoma"/>
            <family val="0"/>
          </rPr>
          <t>sdundorf:</t>
        </r>
        <r>
          <rPr>
            <sz val="8"/>
            <rFont val="Tahoma"/>
            <family val="0"/>
          </rPr>
          <t xml:space="preserve">
for 96 - 98%</t>
        </r>
      </text>
    </comment>
  </commentList>
</comments>
</file>

<file path=xl/comments23.xml><?xml version="1.0" encoding="utf-8"?>
<comments xmlns="http://schemas.openxmlformats.org/spreadsheetml/2006/main">
  <authors>
    <author>SDUNDORF</author>
  </authors>
  <commentList>
    <comment ref="B11" authorId="0">
      <text>
        <r>
          <rPr>
            <b/>
            <sz val="8"/>
            <rFont val="Tahoma"/>
            <family val="0"/>
          </rPr>
          <t xml:space="preserve">manual input in "Report"
</t>
        </r>
      </text>
    </comment>
    <comment ref="B9" authorId="0">
      <text>
        <r>
          <rPr>
            <b/>
            <sz val="8"/>
            <rFont val="Tahoma"/>
            <family val="0"/>
          </rPr>
          <t xml:space="preserve">manual input in "Report"
</t>
        </r>
      </text>
    </comment>
    <comment ref="B12" authorId="0">
      <text>
        <r>
          <rPr>
            <b/>
            <sz val="8"/>
            <rFont val="Tahoma"/>
            <family val="0"/>
          </rPr>
          <t>Minimum size is 1.05 m3</t>
        </r>
      </text>
    </comment>
  </commentList>
</comments>
</file>

<file path=xl/comments29.xml><?xml version="1.0" encoding="utf-8"?>
<comments xmlns="http://schemas.openxmlformats.org/spreadsheetml/2006/main">
  <authors>
    <author>sdundorf</author>
  </authors>
  <commentList>
    <comment ref="A52" authorId="0">
      <text>
        <r>
          <rPr>
            <b/>
            <sz val="8"/>
            <rFont val="Tahoma"/>
            <family val="0"/>
          </rPr>
          <t>sdundorf:</t>
        </r>
        <r>
          <rPr>
            <sz val="8"/>
            <rFont val="Tahoma"/>
            <family val="0"/>
          </rPr>
          <t xml:space="preserve">
Need to check with text books or other sources
</t>
        </r>
      </text>
    </comment>
  </commentList>
</comments>
</file>

<file path=xl/comments32.xml><?xml version="1.0" encoding="utf-8"?>
<comments xmlns="http://schemas.openxmlformats.org/spreadsheetml/2006/main">
  <authors>
    <author>US Bureau of Reclamation</author>
    <author>SDUNDORF</author>
  </authors>
  <commentList>
    <comment ref="B37" authorId="0">
      <text>
        <r>
          <rPr>
            <b/>
            <sz val="8"/>
            <rFont val="Tahoma"/>
            <family val="0"/>
          </rPr>
          <t>5 MGD Microfiltration 
plant has 6 staff</t>
        </r>
      </text>
    </comment>
    <comment ref="C15" authorId="1">
      <text>
        <r>
          <rPr>
            <sz val="8"/>
            <rFont val="Tahoma"/>
            <family val="0"/>
          </rPr>
          <t xml:space="preserve">US Filter - Memcor Model 90M10C
</t>
        </r>
      </text>
    </comment>
    <comment ref="H9" authorId="1">
      <text>
        <r>
          <rPr>
            <b/>
            <sz val="8"/>
            <rFont val="Tahoma"/>
            <family val="0"/>
          </rPr>
          <t>Memcor literature</t>
        </r>
      </text>
    </comment>
  </commentList>
</comments>
</file>

<file path=xl/comments34.xml><?xml version="1.0" encoding="utf-8"?>
<comments xmlns="http://schemas.openxmlformats.org/spreadsheetml/2006/main">
  <authors>
    <author>Saied Delagah</author>
    <author>argocd</author>
  </authors>
  <commentList>
    <comment ref="B7" authorId="0">
      <text>
        <r>
          <rPr>
            <b/>
            <sz val="8"/>
            <rFont val="Tahoma"/>
            <family val="0"/>
          </rPr>
          <t>Saied Delagah:</t>
        </r>
        <r>
          <rPr>
            <sz val="8"/>
            <rFont val="Tahoma"/>
            <family val="0"/>
          </rPr>
          <t xml:space="preserve">
(manufacturer's given </t>
        </r>
        <r>
          <rPr>
            <i/>
            <sz val="8"/>
            <rFont val="Tahoma"/>
            <family val="2"/>
          </rPr>
          <t>Pure water perm</t>
        </r>
        <r>
          <rPr>
            <sz val="8"/>
            <rFont val="Tahoma"/>
            <family val="0"/>
          </rPr>
          <t xml:space="preserve"> m3/d) converted to (m3/s)  
User selects the membrane type &amp; manufacturer in RO&amp;NF INPUT page.</t>
        </r>
      </text>
    </comment>
    <comment ref="A1" authorId="1">
      <text>
        <r>
          <rPr>
            <b/>
            <sz val="8"/>
            <rFont val="Tahoma"/>
            <family val="0"/>
          </rPr>
          <t>Saied Delagah:</t>
        </r>
        <r>
          <rPr>
            <sz val="8"/>
            <rFont val="Tahoma"/>
            <family val="0"/>
          </rPr>
          <t xml:space="preserve">
converts permeate flow from (M3/d) to (m3/s).
Permeate flow given by user</t>
        </r>
      </text>
    </comment>
    <comment ref="A1" authorId="1">
      <text>
        <r>
          <rPr>
            <b/>
            <sz val="8"/>
            <rFont val="Tahoma"/>
            <family val="0"/>
          </rPr>
          <t>Saied Delagah:</t>
        </r>
        <r>
          <rPr>
            <sz val="8"/>
            <rFont val="Tahoma"/>
            <family val="0"/>
          </rPr>
          <t xml:space="preserve">
</t>
        </r>
        <r>
          <rPr>
            <i/>
            <sz val="8"/>
            <rFont val="Tahoma"/>
            <family val="2"/>
          </rPr>
          <t>Feed Flow</t>
        </r>
        <r>
          <rPr>
            <sz val="8"/>
            <rFont val="Tahoma"/>
            <family val="0"/>
          </rPr>
          <t xml:space="preserve"> is Recovery (user input from RO&amp;NF INPUT)  mulitplied by </t>
        </r>
        <r>
          <rPr>
            <i/>
            <sz val="8"/>
            <rFont val="Tahoma"/>
            <family val="2"/>
          </rPr>
          <t>pure water perm</t>
        </r>
      </text>
    </comment>
    <comment ref="A1" authorId="1">
      <text>
        <r>
          <rPr>
            <b/>
            <sz val="8"/>
            <rFont val="Tahoma"/>
            <family val="0"/>
          </rPr>
          <t>Saied Delagah:</t>
        </r>
        <r>
          <rPr>
            <sz val="8"/>
            <rFont val="Tahoma"/>
            <family val="0"/>
          </rPr>
          <t xml:space="preserve">
</t>
        </r>
        <r>
          <rPr>
            <i/>
            <sz val="8"/>
            <rFont val="Tahoma"/>
            <family val="2"/>
          </rPr>
          <t>Feed Flow</t>
        </r>
        <r>
          <rPr>
            <sz val="8"/>
            <rFont val="Tahoma"/>
            <family val="0"/>
          </rPr>
          <t xml:space="preserve"> is Recovery (user input RO&amp;NF INPUT) mulitplied by </t>
        </r>
        <r>
          <rPr>
            <i/>
            <sz val="8"/>
            <rFont val="Tahoma"/>
            <family val="2"/>
          </rPr>
          <t>pure water perm</t>
        </r>
      </text>
    </comment>
    <comment ref="A1" authorId="1">
      <text>
        <r>
          <rPr>
            <b/>
            <sz val="8"/>
            <rFont val="Tahoma"/>
            <family val="0"/>
          </rPr>
          <t>Saied Delagah:</t>
        </r>
        <r>
          <rPr>
            <sz val="8"/>
            <rFont val="Tahoma"/>
            <family val="0"/>
          </rPr>
          <t xml:space="preserve">
Mftr's Osmotic pressure in (Pa)
(from "RO&amp;NF Input")</t>
        </r>
      </text>
    </comment>
    <comment ref="C19" authorId="0">
      <text>
        <r>
          <rPr>
            <b/>
            <sz val="8"/>
            <rFont val="Tahoma"/>
            <family val="0"/>
          </rPr>
          <t>Saied Delagah:</t>
        </r>
        <r>
          <rPr>
            <sz val="8"/>
            <rFont val="Tahoma"/>
            <family val="0"/>
          </rPr>
          <t xml:space="preserve">
page 9.7 of report 29 - The sentence below eqn 9.13 describes this relationship; Jv = Vp / A
water flux per unit area of membrane</t>
        </r>
      </text>
    </comment>
    <comment ref="B19" authorId="0">
      <text>
        <r>
          <rPr>
            <b/>
            <sz val="8"/>
            <rFont val="Tahoma"/>
            <family val="0"/>
          </rPr>
          <t>Saied Delagah:</t>
        </r>
        <r>
          <rPr>
            <sz val="8"/>
            <rFont val="Tahoma"/>
            <family val="0"/>
          </rPr>
          <t xml:space="preserve">
page 9.7 of report 29 - The sentence below eqn 9.13 describes this relationship; Jv = Vp / A
water flux per unit area of membrane</t>
        </r>
      </text>
    </comment>
    <comment ref="B22" authorId="0">
      <text>
        <r>
          <rPr>
            <b/>
            <sz val="8"/>
            <rFont val="Tahoma"/>
            <family val="0"/>
          </rPr>
          <t>Saied Delagah:</t>
        </r>
        <r>
          <rPr>
            <sz val="8"/>
            <rFont val="Tahoma"/>
            <family val="0"/>
          </rPr>
          <t xml:space="preserve">
Report 29 - pp. 9.8, Eqn 9.18 </t>
        </r>
      </text>
    </comment>
    <comment ref="C22" authorId="0">
      <text>
        <r>
          <rPr>
            <b/>
            <sz val="8"/>
            <rFont val="Tahoma"/>
            <family val="0"/>
          </rPr>
          <t>Saied Delagah:</t>
        </r>
        <r>
          <rPr>
            <sz val="8"/>
            <rFont val="Tahoma"/>
            <family val="0"/>
          </rPr>
          <t xml:space="preserve">
Report 29 - pp. 9.8, Eqn 9.18 </t>
        </r>
      </text>
    </comment>
    <comment ref="B23" authorId="0">
      <text>
        <r>
          <rPr>
            <b/>
            <sz val="8"/>
            <rFont val="Tahoma"/>
            <family val="0"/>
          </rPr>
          <t>Saied Delagah:</t>
        </r>
        <r>
          <rPr>
            <sz val="8"/>
            <rFont val="Tahoma"/>
            <family val="0"/>
          </rPr>
          <t xml:space="preserve">
Report 29 - pp. 9.8, Eqn 9.17 </t>
        </r>
      </text>
    </comment>
    <comment ref="C23" authorId="0">
      <text>
        <r>
          <rPr>
            <b/>
            <sz val="8"/>
            <rFont val="Tahoma"/>
            <family val="0"/>
          </rPr>
          <t>Saied Delagah:</t>
        </r>
        <r>
          <rPr>
            <sz val="8"/>
            <rFont val="Tahoma"/>
            <family val="0"/>
          </rPr>
          <t xml:space="preserve">
Report 29 - pp. 9.8, Eqn 9.17 </t>
        </r>
      </text>
    </comment>
    <comment ref="A19" authorId="0">
      <text>
        <r>
          <rPr>
            <b/>
            <sz val="8"/>
            <rFont val="Tahoma"/>
            <family val="0"/>
          </rPr>
          <t>Saied Delagah:</t>
        </r>
        <r>
          <rPr>
            <sz val="8"/>
            <rFont val="Tahoma"/>
            <family val="0"/>
          </rPr>
          <t xml:space="preserve">
Page 9.3 the sentence before eqn 9.1 describes Jv as Permeation of water through the membrane.
Jv is describes as the overall volumetric flux through the membrane (page 9.7 of report 29 - The sentence below eqn 9.13 describes Jv).
</t>
        </r>
      </text>
    </comment>
    <comment ref="C9" authorId="0">
      <text>
        <r>
          <rPr>
            <b/>
            <sz val="8"/>
            <rFont val="Tahoma"/>
            <family val="0"/>
          </rPr>
          <t>Saied Delagah:</t>
        </r>
        <r>
          <rPr>
            <sz val="8"/>
            <rFont val="Tahoma"/>
            <family val="0"/>
          </rPr>
          <t xml:space="preserve">
Operating pressure calculated in RO&amp;NF INPUT in (Pa)
(NDP + osmotic pressure)</t>
        </r>
      </text>
    </comment>
    <comment ref="B10" authorId="0">
      <text>
        <r>
          <rPr>
            <b/>
            <sz val="8"/>
            <rFont val="Tahoma"/>
            <family val="0"/>
          </rPr>
          <t>Saied Delagah:</t>
        </r>
        <r>
          <rPr>
            <sz val="8"/>
            <rFont val="Tahoma"/>
            <family val="0"/>
          </rPr>
          <t xml:space="preserve">
Memb mftr membrane surface area from RO&amp;NF INPUT</t>
        </r>
      </text>
    </comment>
    <comment ref="C10" authorId="0">
      <text>
        <r>
          <rPr>
            <b/>
            <sz val="8"/>
            <rFont val="Tahoma"/>
            <family val="0"/>
          </rPr>
          <t>Saied Delagah:</t>
        </r>
        <r>
          <rPr>
            <sz val="8"/>
            <rFont val="Tahoma"/>
            <family val="0"/>
          </rPr>
          <t xml:space="preserve">
Area of memb required based on permeate flow rate (</t>
        </r>
        <r>
          <rPr>
            <i/>
            <sz val="8"/>
            <rFont val="Tahoma"/>
            <family val="2"/>
          </rPr>
          <t>Pure water permeability</t>
        </r>
        <r>
          <rPr>
            <sz val="8"/>
            <rFont val="Tahoma"/>
            <family val="0"/>
          </rPr>
          <t>)</t>
        </r>
      </text>
    </comment>
    <comment ref="B12" authorId="0">
      <text>
        <r>
          <rPr>
            <b/>
            <sz val="8"/>
            <rFont val="Tahoma"/>
            <family val="0"/>
          </rPr>
          <t>Saied Delagah:</t>
        </r>
        <r>
          <rPr>
            <sz val="8"/>
            <rFont val="Tahoma"/>
            <family val="0"/>
          </rPr>
          <t xml:space="preserve">
Conc. of salt in feed water - Membrane Manufacturer Specifications
(from "RO &amp; NF Input") (Calculation based on two inputs)</t>
        </r>
      </text>
    </comment>
    <comment ref="C12" authorId="0">
      <text>
        <r>
          <rPr>
            <b/>
            <sz val="8"/>
            <rFont val="Tahoma"/>
            <family val="0"/>
          </rPr>
          <t>Saied Delagah:</t>
        </r>
        <r>
          <rPr>
            <sz val="8"/>
            <rFont val="Tahoma"/>
            <family val="0"/>
          </rPr>
          <t xml:space="preserve">
Conc. of salt in feed water from the User's raw water data </t>
        </r>
      </text>
    </comment>
    <comment ref="B20" authorId="0">
      <text>
        <r>
          <rPr>
            <b/>
            <sz val="8"/>
            <rFont val="Tahoma"/>
            <family val="0"/>
          </rPr>
          <t>Saied Delagah:</t>
        </r>
        <r>
          <rPr>
            <sz val="8"/>
            <rFont val="Tahoma"/>
            <family val="0"/>
          </rPr>
          <t xml:space="preserve">
p 9.3 eqn 9.1
Coeff. of water transport</t>
        </r>
      </text>
    </comment>
    <comment ref="C20" authorId="0">
      <text>
        <r>
          <rPr>
            <b/>
            <sz val="8"/>
            <rFont val="Tahoma"/>
            <family val="0"/>
          </rPr>
          <t>Saied Delagah:</t>
        </r>
        <r>
          <rPr>
            <sz val="8"/>
            <rFont val="Tahoma"/>
            <family val="0"/>
          </rPr>
          <t xml:space="preserve">
p 9.3 eqn 9.1
Coeff. of water transport</t>
        </r>
      </text>
    </comment>
    <comment ref="B21" authorId="0">
      <text>
        <r>
          <rPr>
            <b/>
            <sz val="8"/>
            <rFont val="Tahoma"/>
            <family val="0"/>
          </rPr>
          <t>Saied Delagah:</t>
        </r>
        <r>
          <rPr>
            <sz val="8"/>
            <rFont val="Tahoma"/>
            <family val="0"/>
          </rPr>
          <t xml:space="preserve">
pp 9.12 - item number 6, following down to eqn 9.33 
Average cross flow velocity</t>
        </r>
      </text>
    </comment>
    <comment ref="C21" authorId="0">
      <text>
        <r>
          <rPr>
            <b/>
            <sz val="8"/>
            <rFont val="Tahoma"/>
            <family val="0"/>
          </rPr>
          <t>Saied Delagah:</t>
        </r>
        <r>
          <rPr>
            <sz val="8"/>
            <rFont val="Tahoma"/>
            <family val="0"/>
          </rPr>
          <t xml:space="preserve">
pp 9.12 - item number 6, following down to eqn 9.33 
Average cross flow velocity</t>
        </r>
      </text>
    </comment>
    <comment ref="B32" authorId="0">
      <text>
        <r>
          <rPr>
            <b/>
            <sz val="8"/>
            <rFont val="Tahoma"/>
            <family val="0"/>
          </rPr>
          <t>Saied Delagah:</t>
        </r>
        <r>
          <rPr>
            <sz val="8"/>
            <rFont val="Tahoma"/>
            <family val="0"/>
          </rPr>
          <t xml:space="preserve">
</t>
        </r>
        <r>
          <rPr>
            <i/>
            <sz val="8"/>
            <rFont val="Tahoma"/>
            <family val="2"/>
          </rPr>
          <t>Pure water perm. / Feed Flow</t>
        </r>
      </text>
    </comment>
    <comment ref="B33" authorId="0">
      <text>
        <r>
          <rPr>
            <b/>
            <sz val="8"/>
            <rFont val="Tahoma"/>
            <family val="0"/>
          </rPr>
          <t>Saied Delagah:</t>
        </r>
        <r>
          <rPr>
            <sz val="8"/>
            <rFont val="Tahoma"/>
            <family val="0"/>
          </rPr>
          <t xml:space="preserve">
Calculated in RO&amp;NF INPUT</t>
        </r>
      </text>
    </comment>
    <comment ref="B34" authorId="0">
      <text>
        <r>
          <rPr>
            <b/>
            <sz val="8"/>
            <rFont val="Tahoma"/>
            <family val="0"/>
          </rPr>
          <t>Saied Delagah:</t>
        </r>
        <r>
          <rPr>
            <sz val="8"/>
            <rFont val="Tahoma"/>
            <family val="0"/>
          </rPr>
          <t xml:space="preserve">
Calculated in RO&amp;NF INPUT
</t>
        </r>
      </text>
    </comment>
    <comment ref="C27" authorId="0">
      <text>
        <r>
          <rPr>
            <b/>
            <sz val="8"/>
            <rFont val="Tahoma"/>
            <family val="0"/>
          </rPr>
          <t>Saied Delagah:</t>
        </r>
        <r>
          <rPr>
            <sz val="8"/>
            <rFont val="Tahoma"/>
            <family val="0"/>
          </rPr>
          <t xml:space="preserve">
Boundary Layer Mass Transfer Coefficient, obtained from:
   Supplied by membrane manufacturer
   Estimatied from literature and the assumed conditions in the module</t>
        </r>
      </text>
    </comment>
    <comment ref="B27" authorId="0">
      <text>
        <r>
          <rPr>
            <b/>
            <sz val="8"/>
            <rFont val="Tahoma"/>
            <family val="0"/>
          </rPr>
          <t>Saied Delagah:</t>
        </r>
        <r>
          <rPr>
            <sz val="8"/>
            <rFont val="Tahoma"/>
            <family val="0"/>
          </rPr>
          <t xml:space="preserve">
Boundary Layer Mass Transfer Coefficient, obtained from:
   Supplied by membrane manufacturer
   Estimatied from literature and the assumed conditions in the module</t>
        </r>
      </text>
    </comment>
    <comment ref="A35" authorId="0">
      <text>
        <r>
          <rPr>
            <b/>
            <sz val="8"/>
            <rFont val="Tahoma"/>
            <family val="0"/>
          </rPr>
          <t>Saied Delagah:</t>
        </r>
        <r>
          <rPr>
            <sz val="8"/>
            <rFont val="Tahoma"/>
            <family val="0"/>
          </rPr>
          <t xml:space="preserve">
Boundary layer salt concentration (wall concentration) at the membrane interface caused by concentration polarization, assuming no el formation occurs
Ref A page 9.10</t>
        </r>
      </text>
    </comment>
    <comment ref="A36" authorId="0">
      <text>
        <r>
          <rPr>
            <b/>
            <sz val="8"/>
            <rFont val="Tahoma"/>
            <family val="0"/>
          </rPr>
          <t>Saied Delagah:</t>
        </r>
        <r>
          <rPr>
            <sz val="8"/>
            <rFont val="Tahoma"/>
            <family val="0"/>
          </rPr>
          <t xml:space="preserve">
concentration of salt in permeate
Ref A page 9.10</t>
        </r>
      </text>
    </comment>
    <comment ref="A37" authorId="0">
      <text>
        <r>
          <rPr>
            <b/>
            <sz val="8"/>
            <rFont val="Tahoma"/>
            <family val="0"/>
          </rPr>
          <t>Saied Delagah:</t>
        </r>
        <r>
          <rPr>
            <sz val="8"/>
            <rFont val="Tahoma"/>
            <family val="0"/>
          </rPr>
          <t xml:space="preserve">
concentration of salt in reject
Ref A page 9.10</t>
        </r>
      </text>
    </comment>
    <comment ref="A38" authorId="0">
      <text>
        <r>
          <rPr>
            <b/>
            <sz val="8"/>
            <rFont val="Tahoma"/>
            <family val="0"/>
          </rPr>
          <t>Saied Delagah:</t>
        </r>
        <r>
          <rPr>
            <sz val="8"/>
            <rFont val="Tahoma"/>
            <family val="0"/>
          </rPr>
          <t xml:space="preserve">
Estimated flux using appropriate flux model, i.e., for RO
Ref A page 9.10</t>
        </r>
      </text>
    </comment>
  </commentList>
</comments>
</file>

<file path=xl/comments35.xml><?xml version="1.0" encoding="utf-8"?>
<comments xmlns="http://schemas.openxmlformats.org/spreadsheetml/2006/main">
  <authors>
    <author>SDUNDORF</author>
    <author>Saied Delagah</author>
  </authors>
  <commentList>
    <comment ref="B12" authorId="0">
      <text>
        <r>
          <rPr>
            <b/>
            <sz val="8"/>
            <rFont val="Tahoma"/>
            <family val="0"/>
          </rPr>
          <t>270 is a max pressure drop factor for the pipe diameter to convert diam to pressure drop</t>
        </r>
        <r>
          <rPr>
            <sz val="8"/>
            <rFont val="Tahoma"/>
            <family val="0"/>
          </rPr>
          <t xml:space="preserve">
</t>
        </r>
      </text>
    </comment>
    <comment ref="F6" authorId="1">
      <text>
        <r>
          <rPr>
            <b/>
            <sz val="8"/>
            <rFont val="Tahoma"/>
            <family val="0"/>
          </rPr>
          <t>Saied Delagah:</t>
        </r>
        <r>
          <rPr>
            <sz val="8"/>
            <rFont val="Tahoma"/>
            <family val="0"/>
          </rPr>
          <t xml:space="preserve">
Where do these equations come from?? What is source
</t>
        </r>
      </text>
    </comment>
    <comment ref="B11" authorId="1">
      <text>
        <r>
          <rPr>
            <b/>
            <sz val="8"/>
            <rFont val="Tahoma"/>
            <family val="0"/>
          </rPr>
          <t>Saied Delagah:</t>
        </r>
        <r>
          <rPr>
            <sz val="8"/>
            <rFont val="Tahoma"/>
            <family val="0"/>
          </rPr>
          <t xml:space="preserve">
Hazen William to calculate head loss</t>
        </r>
      </text>
    </comment>
    <comment ref="B13" authorId="1">
      <text>
        <r>
          <rPr>
            <b/>
            <sz val="8"/>
            <rFont val="Tahoma"/>
            <family val="0"/>
          </rPr>
          <t>Saied Delagah:</t>
        </r>
        <r>
          <rPr>
            <sz val="8"/>
            <rFont val="Tahoma"/>
            <family val="0"/>
          </rPr>
          <t xml:space="preserve">
Cost for pipe, 
Must ask Michelle about source
</t>
        </r>
      </text>
    </comment>
    <comment ref="B10" authorId="1">
      <text>
        <r>
          <rPr>
            <b/>
            <sz val="8"/>
            <rFont val="Tahoma"/>
            <family val="0"/>
          </rPr>
          <t>Saied Delagah:</t>
        </r>
        <r>
          <rPr>
            <sz val="8"/>
            <rFont val="Tahoma"/>
            <family val="0"/>
          </rPr>
          <t xml:space="preserve">
V= Q/A
D = SQRT(Q/.785V)</t>
        </r>
      </text>
    </comment>
    <comment ref="E19" authorId="1">
      <text>
        <r>
          <rPr>
            <b/>
            <sz val="8"/>
            <rFont val="Tahoma"/>
            <family val="0"/>
          </rPr>
          <t>Saied Delagah:</t>
        </r>
        <r>
          <rPr>
            <sz val="8"/>
            <rFont val="Tahoma"/>
            <family val="0"/>
          </rPr>
          <t xml:space="preserve">
Hazen William, the preferred eqn for head loss calculation, as compared to dP2
</t>
        </r>
      </text>
    </comment>
    <comment ref="F19" authorId="1">
      <text>
        <r>
          <rPr>
            <b/>
            <sz val="8"/>
            <rFont val="Tahoma"/>
            <family val="0"/>
          </rPr>
          <t>Saied Delagah:</t>
        </r>
        <r>
          <rPr>
            <sz val="8"/>
            <rFont val="Tahoma"/>
            <family val="0"/>
          </rPr>
          <t xml:space="preserve">
Darcy-Wisebeck
head loss calc
</t>
        </r>
      </text>
    </comment>
  </commentList>
</comments>
</file>

<file path=xl/comments40.xml><?xml version="1.0" encoding="utf-8"?>
<comments xmlns="http://schemas.openxmlformats.org/spreadsheetml/2006/main">
  <authors>
    <author>SDUNDORF</author>
  </authors>
  <commentList>
    <comment ref="B75" authorId="0">
      <text>
        <r>
          <rPr>
            <b/>
            <sz val="8"/>
            <rFont val="Tahoma"/>
            <family val="0"/>
          </rPr>
          <t>SDUNDORF:</t>
        </r>
        <r>
          <rPr>
            <sz val="8"/>
            <rFont val="Tahoma"/>
            <family val="0"/>
          </rPr>
          <t xml:space="preserve">
Want this to be as close to zero as possible which will be slightly negative (~-1 to -2)</t>
        </r>
      </text>
    </comment>
    <comment ref="B64" authorId="0">
      <text>
        <r>
          <rPr>
            <b/>
            <sz val="8"/>
            <rFont val="Tahoma"/>
            <family val="0"/>
          </rPr>
          <t>SDUNDORF:</t>
        </r>
        <r>
          <rPr>
            <sz val="8"/>
            <rFont val="Tahoma"/>
            <family val="0"/>
          </rPr>
          <t xml:space="preserve">
Change to optimize LSI</t>
        </r>
      </text>
    </comment>
  </commentList>
</comments>
</file>

<file path=xl/sharedStrings.xml><?xml version="1.0" encoding="utf-8"?>
<sst xmlns="http://schemas.openxmlformats.org/spreadsheetml/2006/main" count="3855" uniqueCount="1820">
  <si>
    <t>Alternative dosage rate</t>
  </si>
  <si>
    <t>L/sec.</t>
  </si>
  <si>
    <t>per 100 lbs.</t>
  </si>
  <si>
    <t>Basis</t>
  </si>
  <si>
    <t>Desired Residual</t>
  </si>
  <si>
    <t>per ton</t>
  </si>
  <si>
    <t>set lower limits</t>
  </si>
  <si>
    <t>set upper limits</t>
  </si>
  <si>
    <t>heating &amp; lighting is not based on day light or outside air temp.</t>
  </si>
  <si>
    <t>have check marks for including/not including certain costs (e.g. building heating)</t>
  </si>
  <si>
    <t>Calculated Aqua Ammonia</t>
  </si>
  <si>
    <t>Alternative Aqua Ammonia</t>
  </si>
  <si>
    <r>
      <t>m</t>
    </r>
    <r>
      <rPr>
        <vertAlign val="superscript"/>
        <sz val="10"/>
        <rFont val="Arial"/>
        <family val="2"/>
      </rPr>
      <t>3</t>
    </r>
    <r>
      <rPr>
        <sz val="10"/>
        <rFont val="Arial"/>
        <family val="2"/>
      </rPr>
      <t>/hr.</t>
    </r>
  </si>
  <si>
    <t>Lime Requirement</t>
  </si>
  <si>
    <t>Soda Ash Requirement</t>
  </si>
  <si>
    <t>Description</t>
  </si>
  <si>
    <t xml:space="preserve">Mg and Ca react with Alkalinity and Lime to precipitate CaCO3 and Mg(OH)2   </t>
  </si>
  <si>
    <t>per 500 lbs.</t>
  </si>
  <si>
    <t>Basis Polymer Feed</t>
  </si>
  <si>
    <t xml:space="preserve">WaTER uses the 1979 USEPA water treatment cost estimates (1978 dollars) and the 1992 Quasim updates to the 1979 costs as the basis.  Costs are updated to todays costs.  Processes not included in the 1979 or 1992 updates are estimated from USBR experience and manufacturere estimates.  The majoirty of the program is based on applicable flows between 1 and 200 MGD.  There has been some recent work incorporating smaller flows of 2,500 gpd to 1 MGD.  </t>
  </si>
  <si>
    <t>O&amp;M Calculations</t>
  </si>
  <si>
    <t>Capital Calculations</t>
  </si>
  <si>
    <t>NF/RO Feed Flow</t>
  </si>
  <si>
    <r>
      <t>O&amp;M:</t>
    </r>
    <r>
      <rPr>
        <sz val="10"/>
        <rFont val="Arial"/>
        <family val="2"/>
      </rPr>
      <t xml:space="preserve"> Flowrate</t>
    </r>
  </si>
  <si>
    <r>
      <t>O&amp;M:</t>
    </r>
    <r>
      <rPr>
        <sz val="10"/>
        <rFont val="Arial"/>
        <family val="2"/>
      </rPr>
      <t xml:space="preserve"> NF/RO Feed Flow Rate:*</t>
    </r>
  </si>
  <si>
    <t>Primary Treatment Product Flow</t>
  </si>
  <si>
    <t>Peak Day Flow</t>
  </si>
  <si>
    <t>NF/RO Feed Flow Rate</t>
  </si>
  <si>
    <t>Major Notes</t>
  </si>
  <si>
    <r>
      <t>System Capacity</t>
    </r>
    <r>
      <rPr>
        <sz val="8"/>
        <rFont val="Arial"/>
        <family val="2"/>
      </rPr>
      <t xml:space="preserve"> (with OTF)</t>
    </r>
  </si>
  <si>
    <r>
      <t xml:space="preserve">Flowrate </t>
    </r>
    <r>
      <rPr>
        <sz val="8"/>
        <rFont val="Arial"/>
        <family val="2"/>
      </rPr>
      <t>(with OTF)</t>
    </r>
  </si>
  <si>
    <t>gal/day</t>
  </si>
  <si>
    <t>year</t>
  </si>
  <si>
    <t>Alternative lamp replacement time:</t>
  </si>
  <si>
    <t>Lamp replacement time:</t>
  </si>
  <si>
    <t>months</t>
  </si>
  <si>
    <t>Volume treated:</t>
  </si>
  <si>
    <t>Power consumption per lamp:</t>
  </si>
  <si>
    <t>Alternative power consumption per lamp:</t>
  </si>
  <si>
    <t>Capital cost:</t>
  </si>
  <si>
    <t>Required UV lamps:</t>
  </si>
  <si>
    <t>Lamp replacement cost:</t>
  </si>
  <si>
    <t>lamps</t>
  </si>
  <si>
    <t>per lamp</t>
  </si>
  <si>
    <t>Annual lamp replacement cost:</t>
  </si>
  <si>
    <t>Annual lamp replacements:</t>
  </si>
  <si>
    <t>Annual power consumption:</t>
  </si>
  <si>
    <t>Annual power cost:</t>
  </si>
  <si>
    <t>Required annual labor hours:</t>
  </si>
  <si>
    <t>hours</t>
  </si>
  <si>
    <t>Annual labor cost</t>
  </si>
  <si>
    <t>Total annual operating cost:</t>
  </si>
  <si>
    <t>data from Irvine Moch, 5/2/2000</t>
  </si>
  <si>
    <r>
      <t>Capital</t>
    </r>
    <r>
      <rPr>
        <sz val="10"/>
        <rFont val="Arial"/>
        <family val="2"/>
      </rPr>
      <t xml:space="preserve">: Flowrate </t>
    </r>
    <r>
      <rPr>
        <sz val="8"/>
        <rFont val="Arial"/>
        <family val="2"/>
      </rPr>
      <t>(with OTF)</t>
    </r>
  </si>
  <si>
    <r>
      <t>Capital:</t>
    </r>
    <r>
      <rPr>
        <sz val="10"/>
        <rFont val="Arial"/>
        <family val="2"/>
      </rPr>
      <t xml:space="preserve"> NF/RO Feed Flow Rate</t>
    </r>
    <r>
      <rPr>
        <sz val="8"/>
        <rFont val="Arial"/>
        <family val="2"/>
      </rPr>
      <t xml:space="preserve"> (with OTF):</t>
    </r>
  </si>
  <si>
    <r>
      <t>Combined operation time factor (</t>
    </r>
    <r>
      <rPr>
        <b/>
        <sz val="10"/>
        <rFont val="Arial"/>
        <family val="2"/>
      </rPr>
      <t>OTF</t>
    </r>
    <r>
      <rPr>
        <sz val="10"/>
        <rFont val="Arial"/>
        <family val="2"/>
      </rPr>
      <t>)</t>
    </r>
  </si>
  <si>
    <t>Capital costs are computed using the peak day flow and an operation time factor (OTF) to account for down time which increases the hourly flow rate, but not the daily flow rate</t>
  </si>
  <si>
    <t>O&amp;M costs are computed using the average daily flow which accounts for daily usage of chemicals, power, etc.</t>
  </si>
  <si>
    <t>NF/RO Feed flow (peak day flow w/ OTF)</t>
  </si>
  <si>
    <t>NF/RO Feed flow (average daily flow)</t>
  </si>
  <si>
    <t>Primary Treatment Feed flow (peak day flow w/ OTF)</t>
  </si>
  <si>
    <t>This estimates the amount of acid addition which is depenedent on NF/RO feed flow rate.</t>
  </si>
  <si>
    <r>
      <t>96% H</t>
    </r>
    <r>
      <rPr>
        <b/>
        <vertAlign val="subscript"/>
        <sz val="10"/>
        <rFont val="Arial"/>
        <family val="2"/>
      </rPr>
      <t>2</t>
    </r>
    <r>
      <rPr>
        <b/>
        <sz val="10"/>
        <rFont val="Arial"/>
        <family val="2"/>
      </rPr>
      <t>SO</t>
    </r>
    <r>
      <rPr>
        <b/>
        <vertAlign val="subscript"/>
        <sz val="10"/>
        <rFont val="Arial"/>
        <family val="2"/>
      </rPr>
      <t>4</t>
    </r>
  </si>
  <si>
    <t>Design Notes</t>
  </si>
  <si>
    <t>Molecular weight</t>
  </si>
  <si>
    <t>volume treated:</t>
  </si>
  <si>
    <t>Alternative dosage rate Lime</t>
  </si>
  <si>
    <t>Alternative dosage rate Soda</t>
  </si>
  <si>
    <t>Mn 2+</t>
  </si>
  <si>
    <t>Fe 2+</t>
  </si>
  <si>
    <t>Basis KMnO4</t>
  </si>
  <si>
    <t>per lb.</t>
  </si>
  <si>
    <t xml:space="preserve">m </t>
  </si>
  <si>
    <t>Calculated Settling Area</t>
  </si>
  <si>
    <t>Alternative settling Area</t>
  </si>
  <si>
    <t>Retention Time</t>
  </si>
  <si>
    <t>min.</t>
  </si>
  <si>
    <t>Flow Rate</t>
  </si>
  <si>
    <t>per kg</t>
  </si>
  <si>
    <t>Storage Capacity</t>
  </si>
  <si>
    <r>
      <t>Cl</t>
    </r>
    <r>
      <rPr>
        <vertAlign val="subscript"/>
        <sz val="10"/>
        <rFont val="Arial"/>
        <family val="2"/>
      </rPr>
      <t>2</t>
    </r>
    <r>
      <rPr>
        <sz val="10"/>
        <rFont val="Arial"/>
        <family val="0"/>
      </rPr>
      <t xml:space="preserve"> Cost </t>
    </r>
  </si>
  <si>
    <t>pump</t>
  </si>
  <si>
    <t>= requires entry of data, and may or may not change</t>
  </si>
  <si>
    <t>= entered data that usually do not change</t>
  </si>
  <si>
    <t>= usually contain formulas or data that do change</t>
  </si>
  <si>
    <t>Key for WaTER program</t>
  </si>
  <si>
    <t>###</t>
  </si>
  <si>
    <t>Flowrate (Enter in ONE of these cells, set rest cells to "0")</t>
  </si>
  <si>
    <t>O&amp;M Cost:</t>
  </si>
  <si>
    <t>lb/day</t>
  </si>
  <si>
    <t>Antiscalant</t>
  </si>
  <si>
    <t>Process Input</t>
  </si>
  <si>
    <t xml:space="preserve">Construction Cost Input  </t>
  </si>
  <si>
    <t>Operations &amp; Maintenance Cost Input</t>
  </si>
  <si>
    <t>Densities</t>
  </si>
  <si>
    <t>Cost</t>
  </si>
  <si>
    <t>Sufuric acid</t>
  </si>
  <si>
    <t>g/mL</t>
  </si>
  <si>
    <t>$/kg</t>
  </si>
  <si>
    <t>L/s</t>
  </si>
  <si>
    <t>gpm</t>
  </si>
  <si>
    <t>Membrane Capacity</t>
  </si>
  <si>
    <r>
      <t>m</t>
    </r>
    <r>
      <rPr>
        <vertAlign val="superscript"/>
        <sz val="10"/>
        <rFont val="Arial"/>
        <family val="2"/>
      </rPr>
      <t>3</t>
    </r>
    <r>
      <rPr>
        <sz val="10"/>
        <rFont val="Arial"/>
        <family val="0"/>
      </rPr>
      <t>/day</t>
    </r>
  </si>
  <si>
    <t>gpd</t>
  </si>
  <si>
    <t>Electricity Rate</t>
  </si>
  <si>
    <t>$/kWh</t>
  </si>
  <si>
    <t>Sodium Hydroxide</t>
  </si>
  <si>
    <t>Bypass</t>
  </si>
  <si>
    <t>Chemical Costs</t>
  </si>
  <si>
    <t>Total Capacity</t>
  </si>
  <si>
    <t>Disinfectant</t>
  </si>
  <si>
    <t>Membrane Diameter</t>
  </si>
  <si>
    <t>(10.16 or 20.32 cm)</t>
  </si>
  <si>
    <t>in</t>
  </si>
  <si>
    <t>Decimal</t>
  </si>
  <si>
    <t>$/L</t>
  </si>
  <si>
    <r>
      <t xml:space="preserve">   H</t>
    </r>
    <r>
      <rPr>
        <vertAlign val="subscript"/>
        <sz val="10"/>
        <rFont val="Arial"/>
        <family val="2"/>
      </rPr>
      <t>2</t>
    </r>
    <r>
      <rPr>
        <sz val="10"/>
        <rFont val="Arial"/>
        <family val="0"/>
      </rPr>
      <t>PO</t>
    </r>
    <r>
      <rPr>
        <vertAlign val="subscript"/>
        <sz val="10"/>
        <rFont val="Arial"/>
        <family val="2"/>
      </rPr>
      <t>4</t>
    </r>
  </si>
  <si>
    <t>HCl 37%</t>
  </si>
  <si>
    <t>Max Vessels per Skid</t>
  </si>
  <si>
    <t xml:space="preserve">   NaOH</t>
  </si>
  <si>
    <t>$/kg 50%</t>
  </si>
  <si>
    <t>Allow Blending</t>
  </si>
  <si>
    <t>Recovery Rate</t>
  </si>
  <si>
    <t>Number of Pressure Vessels</t>
  </si>
  <si>
    <t>for 2:1 array</t>
  </si>
  <si>
    <t>Membrane Life</t>
  </si>
  <si>
    <t>Years</t>
  </si>
  <si>
    <t>Product TDS</t>
  </si>
  <si>
    <t xml:space="preserve">  Ave Intrinsic Rejection</t>
  </si>
  <si>
    <t>Product Flow</t>
  </si>
  <si>
    <t xml:space="preserve">  Ave Observed Rejection</t>
  </si>
  <si>
    <t xml:space="preserve">  Chloride Rejection</t>
  </si>
  <si>
    <t>%</t>
  </si>
  <si>
    <t>Concentrate TDS</t>
  </si>
  <si>
    <t xml:space="preserve">  Sulfate Rejection</t>
  </si>
  <si>
    <t>Productivity</t>
  </si>
  <si>
    <r>
      <t>m</t>
    </r>
    <r>
      <rPr>
        <vertAlign val="superscript"/>
        <sz val="10"/>
        <rFont val="Arial"/>
        <family val="2"/>
      </rPr>
      <t>3</t>
    </r>
    <r>
      <rPr>
        <sz val="10"/>
        <rFont val="Arial"/>
        <family val="0"/>
      </rPr>
      <t>/module</t>
    </r>
  </si>
  <si>
    <t>Bypass flow for blending</t>
  </si>
  <si>
    <t>Cleaning Rate</t>
  </si>
  <si>
    <t>per Year</t>
  </si>
  <si>
    <t>% blending</t>
  </si>
  <si>
    <t>Staff Days/day</t>
  </si>
  <si>
    <t>Administrative Area</t>
  </si>
  <si>
    <r>
      <t>m</t>
    </r>
    <r>
      <rPr>
        <vertAlign val="superscript"/>
        <sz val="10"/>
        <rFont val="Arial"/>
        <family val="2"/>
      </rPr>
      <t>2</t>
    </r>
  </si>
  <si>
    <r>
      <t>ft</t>
    </r>
    <r>
      <rPr>
        <vertAlign val="superscript"/>
        <sz val="10"/>
        <rFont val="Arial"/>
        <family val="2"/>
      </rPr>
      <t>2</t>
    </r>
  </si>
  <si>
    <t>Labor Rate</t>
  </si>
  <si>
    <t>$/hr</t>
  </si>
  <si>
    <t>kPa</t>
  </si>
  <si>
    <t>psi</t>
  </si>
  <si>
    <t>Building Area</t>
  </si>
  <si>
    <t>Cf,  conc. of salt in feed water</t>
  </si>
  <si>
    <r>
      <t>mole/m</t>
    </r>
    <r>
      <rPr>
        <vertAlign val="superscript"/>
        <sz val="10"/>
        <rFont val="Arial"/>
        <family val="2"/>
      </rPr>
      <t>3</t>
    </r>
  </si>
  <si>
    <t>Emergency Generatore Size</t>
  </si>
  <si>
    <t>hp</t>
  </si>
  <si>
    <r>
      <t>C</t>
    </r>
    <r>
      <rPr>
        <vertAlign val="subscript"/>
        <sz val="10"/>
        <rFont val="Arial"/>
        <family val="2"/>
      </rPr>
      <t>p</t>
    </r>
    <r>
      <rPr>
        <sz val="10"/>
        <rFont val="Arial"/>
        <family val="0"/>
      </rPr>
      <t>,  conc. of salt in product water</t>
    </r>
  </si>
  <si>
    <t>VST</t>
  </si>
  <si>
    <t>Lifetime</t>
  </si>
  <si>
    <t>Cr,  conc. of salt in reject</t>
  </si>
  <si>
    <t xml:space="preserve">   Height DIfference</t>
  </si>
  <si>
    <t>m</t>
  </si>
  <si>
    <t>ft</t>
  </si>
  <si>
    <r>
      <t>C</t>
    </r>
    <r>
      <rPr>
        <vertAlign val="subscript"/>
        <sz val="10"/>
        <rFont val="Arial"/>
        <family val="2"/>
      </rPr>
      <t>m</t>
    </r>
    <r>
      <rPr>
        <sz val="10"/>
        <rFont val="Arial"/>
        <family val="0"/>
      </rPr>
      <t xml:space="preserve">,  conc. of  </t>
    </r>
  </si>
  <si>
    <t xml:space="preserve">   Pipe Diameter</t>
  </si>
  <si>
    <t>kpa</t>
  </si>
  <si>
    <t xml:space="preserve">   Length of Pipe</t>
  </si>
  <si>
    <t xml:space="preserve">   Efficiency</t>
  </si>
  <si>
    <t>Information on treatment techniques included in WaTER for all USEPA regulated contaminants can be found in the USBR publication "Water Treatment Primer for Communities in Need"</t>
  </si>
  <si>
    <t xml:space="preserve">          Most flow rates are limited to 1 to 200 MGD</t>
  </si>
  <si>
    <r>
      <t>m</t>
    </r>
    <r>
      <rPr>
        <vertAlign val="superscript"/>
        <sz val="10"/>
        <rFont val="Arial"/>
        <family val="2"/>
      </rPr>
      <t>3</t>
    </r>
    <r>
      <rPr>
        <sz val="10"/>
        <rFont val="Arial"/>
        <family val="0"/>
      </rPr>
      <t>/s</t>
    </r>
  </si>
  <si>
    <r>
      <t>Operating pressure, P</t>
    </r>
    <r>
      <rPr>
        <vertAlign val="subscript"/>
        <sz val="10"/>
        <rFont val="Arial"/>
        <family val="2"/>
      </rPr>
      <t>app</t>
    </r>
  </si>
  <si>
    <t>Test solution TDS</t>
  </si>
  <si>
    <t>Odor Control?</t>
  </si>
  <si>
    <t>Yes (Y) or No (N)</t>
  </si>
  <si>
    <t xml:space="preserve">Avg. MW of TDS, </t>
  </si>
  <si>
    <t>Cations</t>
  </si>
  <si>
    <r>
      <t>mg/L as CaCO</t>
    </r>
    <r>
      <rPr>
        <b/>
        <vertAlign val="subscript"/>
        <sz val="10"/>
        <rFont val="Arial"/>
        <family val="2"/>
      </rPr>
      <t>3</t>
    </r>
  </si>
  <si>
    <t>Warnings</t>
  </si>
  <si>
    <t>Upper Limit</t>
  </si>
  <si>
    <t>Ion Product for Concentrate</t>
  </si>
  <si>
    <t>average "-" charge</t>
  </si>
  <si>
    <t>average "+" charge</t>
  </si>
  <si>
    <t>note: many of these values above did not include silica, don't know why, some were changed to incorp. Silica,</t>
  </si>
  <si>
    <t>(Alkalinity - Ca)</t>
  </si>
  <si>
    <t>(Bicarbonate Alk, Carbonate Alk, pH, pH as mg/L)</t>
  </si>
  <si>
    <t>(Bicarbonate Alk, CO2, pH, pH as mg/L)</t>
  </si>
  <si>
    <t>O&amp;M Summary for Recarbonation - Liquid CO2 as CO2 source</t>
  </si>
  <si>
    <r>
      <t>FeCl</t>
    </r>
    <r>
      <rPr>
        <b/>
        <vertAlign val="subscript"/>
        <sz val="10"/>
        <rFont val="Arial"/>
        <family val="2"/>
      </rPr>
      <t>3</t>
    </r>
    <r>
      <rPr>
        <b/>
        <sz val="10"/>
        <rFont val="Arial"/>
        <family val="2"/>
      </rPr>
      <t xml:space="preserve"> 6H</t>
    </r>
    <r>
      <rPr>
        <b/>
        <vertAlign val="subscript"/>
        <sz val="10"/>
        <rFont val="Arial"/>
        <family val="2"/>
      </rPr>
      <t>2</t>
    </r>
    <r>
      <rPr>
        <b/>
        <sz val="10"/>
        <rFont val="Arial"/>
        <family val="2"/>
      </rPr>
      <t>0</t>
    </r>
  </si>
  <si>
    <r>
      <t xml:space="preserve">1978 </t>
    </r>
    <r>
      <rPr>
        <b/>
        <sz val="10"/>
        <rFont val="Arial"/>
        <family val="2"/>
      </rPr>
      <t>Capital Cost:</t>
    </r>
  </si>
  <si>
    <r>
      <t xml:space="preserve">1978 </t>
    </r>
    <r>
      <rPr>
        <b/>
        <sz val="10"/>
        <rFont val="Arial"/>
        <family val="2"/>
      </rPr>
      <t>O&amp;M Cost:</t>
    </r>
  </si>
  <si>
    <r>
      <t>Al</t>
    </r>
    <r>
      <rPr>
        <b/>
        <vertAlign val="subscript"/>
        <sz val="10"/>
        <rFont val="Arial"/>
        <family val="2"/>
      </rPr>
      <t>2</t>
    </r>
    <r>
      <rPr>
        <b/>
        <sz val="10"/>
        <rFont val="Arial"/>
        <family val="2"/>
      </rPr>
      <t>(SO</t>
    </r>
    <r>
      <rPr>
        <b/>
        <vertAlign val="subscript"/>
        <sz val="10"/>
        <rFont val="Arial"/>
        <family val="2"/>
      </rPr>
      <t>4</t>
    </r>
    <r>
      <rPr>
        <b/>
        <sz val="10"/>
        <rFont val="Arial"/>
        <family val="2"/>
      </rPr>
      <t>)</t>
    </r>
    <r>
      <rPr>
        <b/>
        <vertAlign val="subscript"/>
        <sz val="10"/>
        <rFont val="Arial"/>
        <family val="2"/>
      </rPr>
      <t>3</t>
    </r>
    <r>
      <rPr>
        <b/>
        <sz val="10"/>
        <rFont val="Arial"/>
        <family val="2"/>
      </rPr>
      <t>-18H</t>
    </r>
    <r>
      <rPr>
        <b/>
        <vertAlign val="subscript"/>
        <sz val="10"/>
        <rFont val="Arial"/>
        <family val="2"/>
      </rPr>
      <t>2</t>
    </r>
    <r>
      <rPr>
        <b/>
        <sz val="10"/>
        <rFont val="Arial"/>
        <family val="2"/>
      </rPr>
      <t>O</t>
    </r>
  </si>
  <si>
    <r>
      <t>Al</t>
    </r>
    <r>
      <rPr>
        <b/>
        <vertAlign val="subscript"/>
        <sz val="10"/>
        <rFont val="Arial"/>
        <family val="2"/>
      </rPr>
      <t>6</t>
    </r>
    <r>
      <rPr>
        <b/>
        <sz val="10"/>
        <rFont val="Arial"/>
        <family val="2"/>
      </rPr>
      <t>(OH)</t>
    </r>
    <r>
      <rPr>
        <b/>
        <vertAlign val="subscript"/>
        <sz val="10"/>
        <rFont val="Arial"/>
        <family val="2"/>
      </rPr>
      <t>12</t>
    </r>
    <r>
      <rPr>
        <b/>
        <sz val="10"/>
        <rFont val="Arial"/>
        <family val="2"/>
      </rPr>
      <t>Cl</t>
    </r>
    <r>
      <rPr>
        <b/>
        <vertAlign val="subscript"/>
        <sz val="10"/>
        <rFont val="Arial"/>
        <family val="2"/>
      </rPr>
      <t>6</t>
    </r>
  </si>
  <si>
    <r>
      <t>1978</t>
    </r>
    <r>
      <rPr>
        <b/>
        <sz val="10"/>
        <rFont val="Arial"/>
        <family val="2"/>
      </rPr>
      <t xml:space="preserve"> Capital Cost:</t>
    </r>
  </si>
  <si>
    <r>
      <t>The molar ratio is 1:2 for (Cl</t>
    </r>
    <r>
      <rPr>
        <vertAlign val="subscript"/>
        <sz val="10"/>
        <rFont val="Arial"/>
        <family val="2"/>
      </rPr>
      <t>2</t>
    </r>
    <r>
      <rPr>
        <sz val="10"/>
        <rFont val="Arial"/>
        <family val="0"/>
      </rPr>
      <t xml:space="preserve"> to +2 metal cation) and 1:1 for (Cl</t>
    </r>
    <r>
      <rPr>
        <vertAlign val="subscript"/>
        <sz val="10"/>
        <rFont val="Arial"/>
        <family val="2"/>
      </rPr>
      <t>2</t>
    </r>
    <r>
      <rPr>
        <sz val="10"/>
        <rFont val="Arial"/>
        <family val="0"/>
      </rPr>
      <t xml:space="preserve"> to NO</t>
    </r>
    <r>
      <rPr>
        <vertAlign val="subscript"/>
        <sz val="10"/>
        <rFont val="Arial"/>
        <family val="2"/>
      </rPr>
      <t>2</t>
    </r>
    <r>
      <rPr>
        <vertAlign val="superscript"/>
        <sz val="10"/>
        <rFont val="Arial"/>
        <family val="2"/>
      </rPr>
      <t>-</t>
    </r>
    <r>
      <rPr>
        <sz val="10"/>
        <rFont val="Arial"/>
        <family val="0"/>
      </rPr>
      <t>)</t>
    </r>
  </si>
  <si>
    <t>Chlorine Feed</t>
  </si>
  <si>
    <t>Ammonia Feed</t>
  </si>
  <si>
    <t>Polymer dosage is based on experiment.  We will use an estimate of 0.1 mg/L</t>
  </si>
  <si>
    <t>mg/mmole NaCl</t>
  </si>
  <si>
    <t xml:space="preserve">Temperature </t>
  </si>
  <si>
    <r>
      <t>o</t>
    </r>
    <r>
      <rPr>
        <sz val="10"/>
        <rFont val="Arial"/>
        <family val="0"/>
      </rPr>
      <t>C</t>
    </r>
  </si>
  <si>
    <t xml:space="preserve">NaCl dissociation constant </t>
  </si>
  <si>
    <t>Transfer Pumps</t>
  </si>
  <si>
    <r>
      <t>C</t>
    </r>
    <r>
      <rPr>
        <vertAlign val="subscript"/>
        <sz val="10"/>
        <rFont val="Arial"/>
        <family val="2"/>
      </rPr>
      <t>f</t>
    </r>
    <r>
      <rPr>
        <sz val="10"/>
        <rFont val="Arial"/>
        <family val="0"/>
      </rPr>
      <t>,  conc. of salt in feed water</t>
    </r>
  </si>
  <si>
    <t>Osmotic pressure</t>
  </si>
  <si>
    <r>
      <t>Net driving pressure, NDP</t>
    </r>
    <r>
      <rPr>
        <vertAlign val="subscript"/>
        <sz val="10"/>
        <rFont val="Arial"/>
        <family val="2"/>
      </rPr>
      <t>o</t>
    </r>
  </si>
  <si>
    <t>A,  water transport coefficient</t>
  </si>
  <si>
    <t>Membranes</t>
  </si>
  <si>
    <t>@</t>
  </si>
  <si>
    <t>Electricity</t>
  </si>
  <si>
    <t>RO Skids</t>
  </si>
  <si>
    <t>$/Vessel</t>
  </si>
  <si>
    <t>Labor</t>
  </si>
  <si>
    <t>Building</t>
  </si>
  <si>
    <r>
      <t>$/m</t>
    </r>
    <r>
      <rPr>
        <vertAlign val="superscript"/>
        <sz val="10"/>
        <rFont val="Arial"/>
        <family val="2"/>
      </rPr>
      <t>2</t>
    </r>
  </si>
  <si>
    <t>Electrical</t>
  </si>
  <si>
    <r>
      <t>$/m</t>
    </r>
    <r>
      <rPr>
        <vertAlign val="superscript"/>
        <sz val="10"/>
        <rFont val="Arial"/>
        <family val="2"/>
      </rPr>
      <t>3</t>
    </r>
  </si>
  <si>
    <t>Insturmentation &amp; Controls</t>
  </si>
  <si>
    <t>Chlorine</t>
  </si>
  <si>
    <t>High Pressure Pumps</t>
  </si>
  <si>
    <t>kWh</t>
  </si>
  <si>
    <t>Membrane Replacement</t>
  </si>
  <si>
    <t>Cleaning Chemicals</t>
  </si>
  <si>
    <t>Product Water Pumps</t>
  </si>
  <si>
    <t>Cartridge Filters</t>
  </si>
  <si>
    <t>Repairs and Replacement</t>
  </si>
  <si>
    <t>Odor Control</t>
  </si>
  <si>
    <t>Insurance</t>
  </si>
  <si>
    <t>Process Piping</t>
  </si>
  <si>
    <t>Lab fees</t>
  </si>
  <si>
    <t>Yard Piping</t>
  </si>
  <si>
    <t>Total O &amp; M Cost</t>
  </si>
  <si>
    <t>Total Costs</t>
  </si>
  <si>
    <t>Capital Recovery</t>
  </si>
  <si>
    <t>Membrane Cleaning Equip</t>
  </si>
  <si>
    <t>Contractor Engineering &amp; Training</t>
  </si>
  <si>
    <t>JAN</t>
  </si>
  <si>
    <t>FEB</t>
  </si>
  <si>
    <t>MAR</t>
  </si>
  <si>
    <t>APR</t>
  </si>
  <si>
    <t>MAY</t>
  </si>
  <si>
    <t>JUN</t>
  </si>
  <si>
    <t>JUL</t>
  </si>
  <si>
    <t>AUG</t>
  </si>
  <si>
    <t>SEP</t>
  </si>
  <si>
    <t>OCT</t>
  </si>
  <si>
    <t>NOV</t>
  </si>
  <si>
    <t>DEC</t>
  </si>
  <si>
    <t>ANNUAL AVG</t>
  </si>
  <si>
    <t>5519 </t>
  </si>
  <si>
    <t>5617 </t>
  </si>
  <si>
    <t>6957*</t>
  </si>
  <si>
    <t>Base: 1913=100</t>
  </si>
  <si>
    <t>*= Revised</t>
  </si>
  <si>
    <t>ANNUAL AVERAGE</t>
  </si>
  <si>
    <t>y = 0.5748x - 13681</t>
  </si>
  <si>
    <t>Skilled Labor</t>
  </si>
  <si>
    <t>Construction Cost Index</t>
  </si>
  <si>
    <t>building cost index history</t>
  </si>
  <si>
    <t>Building Cost Index History (1915-2004)</t>
  </si>
  <si>
    <r>
      <t>HOW ENR BUILDS THE INDEX:</t>
    </r>
    <r>
      <rPr>
        <sz val="9"/>
        <color indexed="18"/>
        <rFont val="Arial"/>
        <family val="2"/>
      </rPr>
      <t xml:space="preserve"> 66.38 hours of skilled labor at the 20-city average of bricklayers, carpenters and structural ironworkers rates, plus 25 cwt of standard structural steel shapes at the mill price prior to 1996 and the fabricated 20-city price from 1996, plus 1.128 tons of portland cement at the 20-city price, plus 1,088 board-ft of 2 x 4 lumber at the 20-city price.</t>
    </r>
  </si>
  <si>
    <t>ANNUAL</t>
  </si>
  <si>
    <t>AVG</t>
  </si>
  <si>
    <t>3364 </t>
  </si>
  <si>
    <t>3859*</t>
  </si>
  <si>
    <t>just estimated by approximation</t>
  </si>
  <si>
    <t>1978 Index Type from EPA Manual</t>
  </si>
  <si>
    <t>Concentrate Treatment &amp; Piping</t>
  </si>
  <si>
    <t>Concentrate</t>
  </si>
  <si>
    <t>Annual cost</t>
  </si>
  <si>
    <t>Generators</t>
  </si>
  <si>
    <t>RO &amp; Building</t>
  </si>
  <si>
    <t>Outfall Length (enter "m" or "ft.")</t>
  </si>
  <si>
    <t xml:space="preserve">= unknown use of data </t>
  </si>
  <si>
    <t>Sitework</t>
  </si>
  <si>
    <t>Indirect Capital Costs</t>
  </si>
  <si>
    <t>Interest During Construction</t>
  </si>
  <si>
    <t>% of Total</t>
  </si>
  <si>
    <t>Contingencies</t>
  </si>
  <si>
    <t>AWWA San Antonio Conf Proceedings</t>
  </si>
  <si>
    <t>A&amp;E Fees, Proj. Management</t>
  </si>
  <si>
    <t>Working Capital</t>
  </si>
  <si>
    <t xml:space="preserve">% of Total </t>
  </si>
  <si>
    <t>Total Indirect Captial Cost</t>
  </si>
  <si>
    <t>Total Construction Cost</t>
  </si>
  <si>
    <t>Cost per gpd capacity</t>
  </si>
  <si>
    <r>
      <t>This model is updated on a continuous basis when funding and time permits.  Work on this model is not currently funded and has not been funded since FY04.  Although this is labeled as a "</t>
    </r>
    <r>
      <rPr>
        <sz val="10"/>
        <color indexed="10"/>
        <rFont val="Arial"/>
        <family val="2"/>
      </rPr>
      <t>Non Functional Version</t>
    </r>
    <r>
      <rPr>
        <sz val="10"/>
        <rFont val="Arial"/>
        <family val="2"/>
      </rPr>
      <t>" there are many components that work.  The non functional status comes from the fact that not everything has been fully checked and there are some components that do not funciton or do not function correctly.</t>
    </r>
  </si>
  <si>
    <t>Value in $1000</t>
  </si>
  <si>
    <t>Construction Cost</t>
  </si>
  <si>
    <t>Acid Cost ($/ton):</t>
  </si>
  <si>
    <t>1978 Capital Cost:</t>
  </si>
  <si>
    <t>1978 O&amp;M Cost:</t>
  </si>
  <si>
    <t>Chemical Cost $/yr:</t>
  </si>
  <si>
    <t>Sulfuric Acid feed</t>
  </si>
  <si>
    <t>Formula from Qasim, et al, Aug. 1992, AWWA</t>
  </si>
  <si>
    <t>Alternative dose</t>
  </si>
  <si>
    <t>Bicarbonate Alkalinity</t>
  </si>
  <si>
    <t>Calculated dose</t>
  </si>
  <si>
    <t>Chemical Cost $/ton bulk</t>
  </si>
  <si>
    <t>Cost $/100 lbs.</t>
  </si>
  <si>
    <t>Multiplier between dry and liquid</t>
  </si>
  <si>
    <t>Calculated dose rate</t>
  </si>
  <si>
    <t>Liquid Alum dose rate</t>
  </si>
  <si>
    <t>MW of PACL</t>
  </si>
  <si>
    <r>
      <t>m</t>
    </r>
    <r>
      <rPr>
        <vertAlign val="superscript"/>
        <sz val="10"/>
        <rFont val="Arial"/>
        <family val="2"/>
      </rPr>
      <t>3</t>
    </r>
    <r>
      <rPr>
        <sz val="10"/>
        <rFont val="Arial"/>
        <family val="0"/>
      </rPr>
      <t>/hr.</t>
    </r>
  </si>
  <si>
    <r>
      <t>Volume Treated (</t>
    </r>
    <r>
      <rPr>
        <sz val="10"/>
        <rFont val="Arial"/>
        <family val="2"/>
      </rPr>
      <t>):</t>
    </r>
  </si>
  <si>
    <t>$/ton</t>
  </si>
  <si>
    <t>Rapid Mix Feed Flow Rate</t>
  </si>
  <si>
    <r>
      <t>O&amp;M:</t>
    </r>
    <r>
      <rPr>
        <sz val="10"/>
        <rFont val="Arial"/>
        <family val="2"/>
      </rPr>
      <t xml:space="preserve"> Rapid Mix Feed Flow Rate:*</t>
    </r>
  </si>
  <si>
    <r>
      <t>Capital:</t>
    </r>
    <r>
      <rPr>
        <sz val="10"/>
        <rFont val="Arial"/>
        <family val="2"/>
      </rPr>
      <t xml:space="preserve"> Rapid Mix Feed Flow Rate</t>
    </r>
    <r>
      <rPr>
        <sz val="8"/>
        <rFont val="Arial"/>
        <family val="2"/>
      </rPr>
      <t xml:space="preserve"> (with OTF):</t>
    </r>
  </si>
  <si>
    <r>
      <t>Note</t>
    </r>
    <r>
      <rPr>
        <sz val="8"/>
        <rFont val="Arial"/>
        <family val="2"/>
      </rPr>
      <t>:  NF/RO Feed Flow = (Plant Production Flow) / (NF/RO Recovery)</t>
    </r>
  </si>
  <si>
    <r>
      <t>Note</t>
    </r>
    <r>
      <rPr>
        <sz val="8"/>
        <rFont val="Arial"/>
        <family val="2"/>
      </rPr>
      <t xml:space="preserve"> Rapid Mix Feed Flow = (Plant Production Flow) / (NF/RO Recovery)</t>
    </r>
  </si>
  <si>
    <t>Backwash rate</t>
  </si>
  <si>
    <r>
      <t>gpm/ft</t>
    </r>
    <r>
      <rPr>
        <vertAlign val="superscript"/>
        <sz val="10"/>
        <rFont val="Arial"/>
        <family val="2"/>
      </rPr>
      <t>2</t>
    </r>
  </si>
  <si>
    <r>
      <t>L-TSS/m</t>
    </r>
    <r>
      <rPr>
        <vertAlign val="superscript"/>
        <sz val="10"/>
        <rFont val="Arial"/>
        <family val="2"/>
      </rPr>
      <t>3</t>
    </r>
    <r>
      <rPr>
        <sz val="10"/>
        <rFont val="Arial"/>
        <family val="2"/>
      </rPr>
      <t>*</t>
    </r>
  </si>
  <si>
    <t>Tank Depth</t>
  </si>
  <si>
    <t>Required Media Volume</t>
  </si>
  <si>
    <t>Maximum Media Capacity</t>
  </si>
  <si>
    <t>Media Depth</t>
  </si>
  <si>
    <t>TSS Density</t>
  </si>
  <si>
    <t>Wash Cycle</t>
  </si>
  <si>
    <t>Total Suspended Solids</t>
  </si>
  <si>
    <t>Desired Flow Rate</t>
  </si>
  <si>
    <t>Backwash duration</t>
  </si>
  <si>
    <t>y = 0.186x + 4.0465</t>
  </si>
  <si>
    <t>General Form:  Y = mx+b</t>
  </si>
  <si>
    <t>Backwashing rates</t>
  </si>
  <si>
    <t>US Filter design (Quinault project)</t>
  </si>
  <si>
    <t>Temp range: 32 to 75 F</t>
  </si>
  <si>
    <t>Corresponding backwash range: 10 to 18 gpm/ft2</t>
  </si>
  <si>
    <t>oF</t>
  </si>
  <si>
    <t>Corresponding backwash out side of range stays at either 10 or 18 gpm/ft2</t>
  </si>
  <si>
    <t>Backwash frequency</t>
  </si>
  <si>
    <t>General Form:  A*X^B + C</t>
  </si>
  <si>
    <t>Capital Cost</t>
  </si>
  <si>
    <t>O&amp;M Cost</t>
  </si>
  <si>
    <t>A*e^(B*X) +C</t>
  </si>
  <si>
    <t>A=</t>
  </si>
  <si>
    <t>B=</t>
  </si>
  <si>
    <t>C=</t>
  </si>
  <si>
    <t>mMoles/L</t>
  </si>
  <si>
    <t>Chromium (Cr 2+):</t>
  </si>
  <si>
    <t>Nickel (Ni 2+):</t>
  </si>
  <si>
    <t>Iron (Fe 2+):</t>
  </si>
  <si>
    <t>Manganese (Mn 2+):</t>
  </si>
  <si>
    <t>Total:</t>
  </si>
  <si>
    <t>NaOH</t>
  </si>
  <si>
    <t>Stabilization</t>
  </si>
  <si>
    <t>pipelines</t>
  </si>
  <si>
    <t>intakes</t>
  </si>
  <si>
    <t>outfalls</t>
  </si>
  <si>
    <t>Primary Treatment</t>
  </si>
  <si>
    <t>Project Info</t>
  </si>
  <si>
    <t>Chlorine demand is usually found by experimentation, but in this case we will</t>
  </si>
  <si>
    <t>use the concentration of reduced transition metal ions and nitrite to calculate a chlorine demand.</t>
  </si>
  <si>
    <t>Chlorine storage and feed with Cylinder storage</t>
  </si>
  <si>
    <t>The addition of Chlorine and Ammonia to water produces chloramines.</t>
  </si>
  <si>
    <t>Data from water analysis.</t>
  </si>
  <si>
    <t>Chloramines are the "combined chlorine residual."  They are more persistent</t>
  </si>
  <si>
    <t>Chromium (Cr):</t>
  </si>
  <si>
    <t>in the water lines than "free chlorine," which is HOCl, and OCl-.</t>
  </si>
  <si>
    <t>Copper (Cu):</t>
  </si>
  <si>
    <t>If there is sufficient ammonia in the water already, it doesn't need to be added,</t>
  </si>
  <si>
    <t>Iron (Fe):</t>
  </si>
  <si>
    <t xml:space="preserve">of course.  If not, chlorine and aqueous ammonia should be added at the molar </t>
  </si>
  <si>
    <t>Volume Treated (L/sec)</t>
  </si>
  <si>
    <t>Manganese (Mn):</t>
  </si>
  <si>
    <t xml:space="preserve">ratio of 1:1, Cl2:NH3(aq).  We will use the moles of divalent metal ions </t>
  </si>
  <si>
    <t>and NO2- to calculate a chlorine demand.  The molar ratio is 1:2 Cl2 to divalent</t>
  </si>
  <si>
    <t>cations, and 1:1 for Cl2:NO2-.  The residual for Chloramines must be at least</t>
  </si>
  <si>
    <t>2 mg/L which translates to approximately .03 moles per liter at pH 7.</t>
  </si>
  <si>
    <t>Ammonia Needed/L:</t>
  </si>
  <si>
    <t>NH4OH Cost $/ton:</t>
  </si>
  <si>
    <t>same place and form.</t>
  </si>
  <si>
    <t>X=kg/day ammonia feed capacity</t>
  </si>
  <si>
    <t>A*X^B*e^(C*X)</t>
  </si>
  <si>
    <t>Ammonia Cost:</t>
  </si>
  <si>
    <t>Ozone Generator:</t>
  </si>
  <si>
    <t>Contact Chamber:</t>
  </si>
  <si>
    <t>Desired Flow Rate:</t>
  </si>
  <si>
    <t>Ozone Requirements:</t>
  </si>
  <si>
    <t>L/min</t>
  </si>
  <si>
    <t>Total ozone needed:</t>
  </si>
  <si>
    <t>min</t>
  </si>
  <si>
    <t>Contact chamber size:</t>
  </si>
  <si>
    <t>TOTAL CONSTRUCTION COSTS:</t>
  </si>
  <si>
    <t>TOTAL OPERATING COSTS:</t>
  </si>
  <si>
    <t>(decimal)</t>
  </si>
  <si>
    <t>Target Product TDS</t>
  </si>
  <si>
    <t>stages</t>
  </si>
  <si>
    <t>elements</t>
  </si>
  <si>
    <t>Ratio (Blend:Product)</t>
  </si>
  <si>
    <t>Run Cycle</t>
  </si>
  <si>
    <t>pump(s)</t>
  </si>
  <si>
    <t>General Form:  A *X ^B*e^(C*X)</t>
  </si>
  <si>
    <t>General Form:  A *X ^B+C</t>
  </si>
  <si>
    <t>O &amp; M Costs:</t>
  </si>
  <si>
    <t>General Form:  A*X^B+C</t>
  </si>
  <si>
    <t>Alum Feed</t>
  </si>
  <si>
    <t>General Form: A*X^(B)*e^(C*X)</t>
  </si>
  <si>
    <t>Dry Feed</t>
  </si>
  <si>
    <t>Liquid Feed</t>
  </si>
  <si>
    <t>kg/hr</t>
  </si>
  <si>
    <t>mmoles/L</t>
  </si>
  <si>
    <t>Bicarbonate Alkalinity:</t>
  </si>
  <si>
    <t>A =</t>
  </si>
  <si>
    <t>B =</t>
  </si>
  <si>
    <t xml:space="preserve">Plant Production Flow </t>
  </si>
  <si>
    <t>C =</t>
  </si>
  <si>
    <t>General Form: A*e^(B*X)+C</t>
  </si>
  <si>
    <t>Addition of Coagulants, Flocculants, and Lime Softening.</t>
  </si>
  <si>
    <t xml:space="preserve">Alum, Ferric hydroxide, and polymer are additives used to remove turbidity. </t>
  </si>
  <si>
    <t xml:space="preserve">Alum and ferric hydroxide are added in excess of their solubility, according to </t>
  </si>
  <si>
    <t>W.J. Weber, Jr., (Physicochemical Processes for Water Quality Control, co. 1972,</t>
  </si>
  <si>
    <t xml:space="preserve">John Wiley &amp; Sons, Inc.) the dosage is roughly 10^-4 moles per liter in the </t>
  </si>
  <si>
    <t>pH range of 6-8 for alum, and 5-8 for ferric hydroxide.  For each mole ferric</t>
  </si>
  <si>
    <t>or Aluminum sulfate add, 2 moles of hydroxide are formed.</t>
  </si>
  <si>
    <t>Alum Cost:</t>
  </si>
  <si>
    <t>Polymer dosage is based on experiment.  We will use an estimate of .1 mg/L</t>
  </si>
  <si>
    <t>to develop a cost estimate.</t>
  </si>
  <si>
    <t>or Aluminum sulfate added, 2 moles of hydroxide are formed.</t>
  </si>
  <si>
    <t>Ferric Sulfate Cost $/yr:</t>
  </si>
  <si>
    <t>General Form: A*X^B*e^(C*X)</t>
  </si>
  <si>
    <t>Alternative dosage rate (default = 0.5 mg/L):</t>
  </si>
  <si>
    <t>General Form: A*e^(B*X)</t>
  </si>
  <si>
    <t>November</t>
  </si>
  <si>
    <t>Coagulant: PolyAluminum Chloride (PACl) Feed Cost Calculations</t>
  </si>
  <si>
    <t>Coagulant: Ferric Sulfate &amp; Ferric Chloride</t>
  </si>
  <si>
    <t>Disinfection: Chlorine Cost Estimation Worksheet</t>
  </si>
  <si>
    <t>Disinfection: Chloramine Cost Estimation Spreadsheet</t>
  </si>
  <si>
    <t>Disinfection: Ozone</t>
  </si>
  <si>
    <t>Softening: Lime and Soda Ash</t>
  </si>
  <si>
    <t>Antiscalant: Polymer</t>
  </si>
  <si>
    <t>Coagulant: Aluminum Sulfate (Alum) (Dry) Feed Cost Calculations</t>
  </si>
  <si>
    <t>Coagulant: Aluminum Sulfate (Alum) (Liquid) Feed Cost Calculations</t>
  </si>
  <si>
    <t>Coagulant Aid: Poly-Electrolyte</t>
  </si>
  <si>
    <t>(not included here are: sodium thiosulfate, hydrogen peroxide, ammonia)</t>
  </si>
  <si>
    <t>Dechlorination:  Sodium sulfite, Sodium bisulfite, Sulfer dioxide</t>
  </si>
  <si>
    <t>De-Cl2</t>
  </si>
  <si>
    <t>Dechlorination with sodium sulfite, sodium bisulfite, and sulfer dioxide</t>
  </si>
  <si>
    <t>Oxidation: Potassium Permanganate</t>
  </si>
  <si>
    <t>Filtration: Gravity Media Filter</t>
  </si>
  <si>
    <t>Acid: Sulfuric &amp; Hydrochloric Acid</t>
  </si>
  <si>
    <t>Sulfuric &amp; Hydorchloric acid</t>
  </si>
  <si>
    <t>PACl</t>
  </si>
  <si>
    <t>KMnO4 $/lb (hopper trucks):</t>
  </si>
  <si>
    <t>FROM WATER ANALYSIS</t>
  </si>
  <si>
    <t>Lime</t>
  </si>
  <si>
    <t>d</t>
  </si>
  <si>
    <t>e</t>
  </si>
  <si>
    <t>f</t>
  </si>
  <si>
    <t>g</t>
  </si>
  <si>
    <t>h</t>
  </si>
  <si>
    <t>i</t>
  </si>
  <si>
    <t>j</t>
  </si>
  <si>
    <t>k</t>
  </si>
  <si>
    <t>n</t>
  </si>
  <si>
    <t>o</t>
  </si>
  <si>
    <t>p</t>
  </si>
  <si>
    <t>q</t>
  </si>
  <si>
    <t>r</t>
  </si>
  <si>
    <t>s</t>
  </si>
  <si>
    <t>t</t>
  </si>
  <si>
    <t>u</t>
  </si>
  <si>
    <t>v</t>
  </si>
  <si>
    <t>1 - 200 MGD</t>
  </si>
  <si>
    <t>2500 gpd - 1 MGD</t>
  </si>
  <si>
    <t>EPA-600/2-79-162c</t>
  </si>
  <si>
    <t>Estimating Water Treatment Costs.  Volume 3.  Cost Curves Applicable to 2,500 gpd to 1 MGD Treatment Plants</t>
  </si>
  <si>
    <t>Hansen, Sigurd, Robert Gumerman, and Ressell Culp.</t>
  </si>
  <si>
    <t>August 1979.Concract # 68-03-2516</t>
  </si>
  <si>
    <t>196 pages</t>
  </si>
  <si>
    <t>Assumptions</t>
  </si>
  <si>
    <t>- 97% pure</t>
  </si>
  <si>
    <t>- on-site mixing</t>
  </si>
  <si>
    <t>EPA-600/2-79-162c, figure 37-29)</t>
  </si>
  <si>
    <t>EPA-600/2-79-162b, figure 37-29</t>
  </si>
  <si>
    <t>EPA-600/2-79-162b</t>
  </si>
  <si>
    <t>= limit error</t>
  </si>
  <si>
    <t>Feed/Product Flow</t>
  </si>
  <si>
    <t>w</t>
  </si>
  <si>
    <t>y</t>
  </si>
  <si>
    <t>z</t>
  </si>
  <si>
    <t>aa</t>
  </si>
  <si>
    <t>bb</t>
  </si>
  <si>
    <t>cc</t>
  </si>
  <si>
    <t>dd</t>
  </si>
  <si>
    <t>ee</t>
  </si>
  <si>
    <t>ff</t>
  </si>
  <si>
    <t>gg</t>
  </si>
  <si>
    <t>hh</t>
  </si>
  <si>
    <t>ii</t>
  </si>
  <si>
    <t>jj</t>
  </si>
  <si>
    <t>kk</t>
  </si>
  <si>
    <t xml:space="preserve">   Capacity per Pump</t>
  </si>
  <si>
    <t>Soda Ash</t>
  </si>
  <si>
    <t>Ca (2+):</t>
  </si>
  <si>
    <t>Mg (2+):</t>
  </si>
  <si>
    <t>HCO3 (-):</t>
  </si>
  <si>
    <t>CO2 (2-):</t>
  </si>
  <si>
    <t>Mg</t>
  </si>
  <si>
    <t>Ca</t>
  </si>
  <si>
    <t>HCO3+CO2</t>
  </si>
  <si>
    <t>Ca(OH)2</t>
  </si>
  <si>
    <t>Excess:</t>
  </si>
  <si>
    <t>Ratio</t>
  </si>
  <si>
    <t>Limit</t>
  </si>
  <si>
    <t>eq</t>
  </si>
  <si>
    <t>Lime Cost  $/ton:</t>
  </si>
  <si>
    <t>Soda Ash Cost $/ton:</t>
  </si>
  <si>
    <t xml:space="preserve">Remaining Mg or Ca react with remaining alkalinity </t>
  </si>
  <si>
    <t>Na2CO3</t>
  </si>
  <si>
    <t>If Ca and/or Mg are in excess of Alkalinity, then add soda ash</t>
  </si>
  <si>
    <t>1*mg+1*Ca</t>
  </si>
  <si>
    <t>1*Mg</t>
  </si>
  <si>
    <t xml:space="preserve">Updated from </t>
  </si>
  <si>
    <t>EPA-600/2-79-162b, Aug. 1979</t>
  </si>
  <si>
    <t>General Form = A + B(lnx)</t>
  </si>
  <si>
    <t>General Form = Ax^B</t>
  </si>
  <si>
    <t>Estimating Water Treatment Costs</t>
  </si>
  <si>
    <t>x = kg Lime/hr</t>
  </si>
  <si>
    <t>Volume 2</t>
  </si>
  <si>
    <t>pp 61-64</t>
  </si>
  <si>
    <t>High Pressure Feed Pump</t>
  </si>
  <si>
    <t>Assumed Depth = 4.8 m</t>
  </si>
  <si>
    <t>G=70</t>
  </si>
  <si>
    <t>G=110</t>
  </si>
  <si>
    <t>G=150</t>
  </si>
  <si>
    <t>$ = a+b*x</t>
  </si>
  <si>
    <t>a</t>
  </si>
  <si>
    <t>b</t>
  </si>
  <si>
    <t>$=a+b*x</t>
  </si>
  <si>
    <t>G = 70</t>
  </si>
  <si>
    <t>G = 110</t>
  </si>
  <si>
    <t>G = 150</t>
  </si>
  <si>
    <t>Granular Activated Carbon Filtration</t>
  </si>
  <si>
    <t>Bed Life (months)</t>
  </si>
  <si>
    <t>H20 Analysis</t>
  </si>
  <si>
    <t>AlumFeed</t>
  </si>
  <si>
    <t>De-Cl2&amp;O4</t>
  </si>
  <si>
    <t>NHCL</t>
  </si>
  <si>
    <t>LimeFeed</t>
  </si>
  <si>
    <t>GravityFilt</t>
  </si>
  <si>
    <t xml:space="preserve">IX </t>
  </si>
  <si>
    <t>MF-P input</t>
  </si>
  <si>
    <t>RO&amp;NF Input</t>
  </si>
  <si>
    <t>Note:  If Warnings are present, they are higlighted with red fill</t>
  </si>
  <si>
    <t>Value</t>
  </si>
  <si>
    <t>e.g.</t>
  </si>
  <si>
    <t>Components of the WaTER program</t>
  </si>
  <si>
    <t>L</t>
  </si>
  <si>
    <t>Dechlorination / Ozonation mods.</t>
  </si>
  <si>
    <t>Concentrate disposal (evap. Ponds)</t>
  </si>
  <si>
    <t>Gravity Filter Structure</t>
  </si>
  <si>
    <t>Introduction to this model (WaTER)</t>
  </si>
  <si>
    <t>hr</t>
  </si>
  <si>
    <t>g/L*</t>
  </si>
  <si>
    <t>TOTAL CONSTRUCTION  COSTS:</t>
  </si>
  <si>
    <t>Rapid Sand:</t>
  </si>
  <si>
    <t>Coal/ Sand:</t>
  </si>
  <si>
    <t>Coal/ Sand/ Garnet:</t>
  </si>
  <si>
    <t>TOTAL  OPERATING COSTS:</t>
  </si>
  <si>
    <t>Coal/Sand</t>
  </si>
  <si>
    <t>Coal/Sand/Garnet</t>
  </si>
  <si>
    <t>General Form:  A + B*X + C*X^2</t>
  </si>
  <si>
    <t>General Form:  A *X^B*e^(CX)</t>
  </si>
  <si>
    <t>R.L. Sanks, Co: 1978, Ann Arbor Science Publishers, Inc.</t>
  </si>
  <si>
    <t>Construction cost is 100% Manufactured Equipment</t>
  </si>
  <si>
    <t>O&amp;M costs are included with the structure.</t>
  </si>
  <si>
    <t>Ion Exchange</t>
  </si>
  <si>
    <t>Equiv/L , CATION &gt;+1</t>
  </si>
  <si>
    <t>equiv/L</t>
  </si>
  <si>
    <t>Service Flow Rate :</t>
  </si>
  <si>
    <t>L/(hr*L resin)</t>
  </si>
  <si>
    <t>Cation Equivalents/Liter of Resin</t>
  </si>
  <si>
    <r>
      <t>in</t>
    </r>
    <r>
      <rPr>
        <vertAlign val="superscript"/>
        <sz val="10"/>
        <rFont val="Arial"/>
        <family val="2"/>
      </rPr>
      <t>2</t>
    </r>
  </si>
  <si>
    <t>Anion Equivalents/Liter of Resin</t>
  </si>
  <si>
    <t>Desired Run Cycle:</t>
  </si>
  <si>
    <t>days</t>
  </si>
  <si>
    <t>Medium:</t>
  </si>
  <si>
    <t>Vessel:</t>
  </si>
  <si>
    <t>Aspect ratio:</t>
  </si>
  <si>
    <t>height/dia</t>
  </si>
  <si>
    <t>Bed area :</t>
  </si>
  <si>
    <t>Base pressure vessel correlation:</t>
  </si>
  <si>
    <t>Tank cost at base pressure:</t>
  </si>
  <si>
    <t>based on paper on Michelle's desk</t>
  </si>
  <si>
    <r>
      <t>Applied pressure, P</t>
    </r>
    <r>
      <rPr>
        <vertAlign val="subscript"/>
        <sz val="10"/>
        <rFont val="Arial"/>
        <family val="2"/>
      </rPr>
      <t>app</t>
    </r>
  </si>
  <si>
    <r>
      <t>Net driving pressure , NDP</t>
    </r>
    <r>
      <rPr>
        <vertAlign val="subscript"/>
        <sz val="10"/>
        <rFont val="Arial"/>
        <family val="2"/>
      </rPr>
      <t>i</t>
    </r>
  </si>
  <si>
    <t>Cost factor for operating pressure:</t>
  </si>
  <si>
    <t>TOTAL TANK COST:</t>
  </si>
  <si>
    <t>kg</t>
  </si>
  <si>
    <t>TOTAL CHEMICAL COST PER YEAR:</t>
  </si>
  <si>
    <t>percent</t>
  </si>
  <si>
    <t>Regeneration fluid req'd :</t>
  </si>
  <si>
    <t>STORAGE TANK COST:</t>
  </si>
  <si>
    <t>General Form:  A*X^0.75 + B</t>
  </si>
  <si>
    <t>Electrodialysis Cost Estimation</t>
  </si>
  <si>
    <t>Sample Values:</t>
  </si>
  <si>
    <t>Value:</t>
  </si>
  <si>
    <t>Suggested Values</t>
  </si>
  <si>
    <t>Input from Interface</t>
  </si>
  <si>
    <t>Membrane Cost/m2:</t>
  </si>
  <si>
    <t>Membrane Life Expectancy (yrs):</t>
  </si>
  <si>
    <t>Construction Cost Items</t>
  </si>
  <si>
    <t>Construction Cost Factor (%):</t>
  </si>
  <si>
    <t>Ave Equivalent Weight:</t>
  </si>
  <si>
    <t>Electricity Cost $/kWh:</t>
  </si>
  <si>
    <t>Production Data</t>
  </si>
  <si>
    <t>Labor and Overhead</t>
  </si>
  <si>
    <t xml:space="preserve">  Labor cost, Lh ($/h)</t>
  </si>
  <si>
    <t>Delta N eq/m3:</t>
  </si>
  <si>
    <t xml:space="preserve">  Shifts per day, S (number/day)</t>
  </si>
  <si>
    <t>Desal Ratio:</t>
  </si>
  <si>
    <t xml:space="preserve">  Workers per shift, Ws (number/shift)</t>
  </si>
  <si>
    <t>Membrane Characteristics</t>
  </si>
  <si>
    <t>Transport efficiencies Sum&lt;=1.00</t>
  </si>
  <si>
    <t>Insert rows after Na+ or Cl-</t>
  </si>
  <si>
    <t xml:space="preserve">  System lifetime, r (yr)</t>
  </si>
  <si>
    <t>to add more ion efficiencies.</t>
  </si>
  <si>
    <t xml:space="preserve">  Annual interest rate, i (%)</t>
  </si>
  <si>
    <t>Na+:</t>
  </si>
  <si>
    <t xml:space="preserve">  Downtime, Dt (%)</t>
  </si>
  <si>
    <t>Sum cations efficiencies:</t>
  </si>
  <si>
    <t>Cl-:</t>
  </si>
  <si>
    <t>Sum anions efficiencies:</t>
  </si>
  <si>
    <t>Transport effieciency:</t>
  </si>
  <si>
    <t>Sum of Anion &amp; Cation Efficiency.</t>
  </si>
  <si>
    <r>
      <t>Limits</t>
    </r>
    <r>
      <rPr>
        <sz val="10"/>
        <rFont val="Arial"/>
        <family val="2"/>
      </rPr>
      <t xml:space="preserve"> (From EPA-600/2-79-162b, and EPA-600/3-79-162b</t>
    </r>
  </si>
  <si>
    <r>
      <t>H</t>
    </r>
    <r>
      <rPr>
        <vertAlign val="subscript"/>
        <sz val="10"/>
        <color indexed="17"/>
        <rFont val="Arial"/>
        <family val="2"/>
      </rPr>
      <t>2</t>
    </r>
    <r>
      <rPr>
        <sz val="10"/>
        <color indexed="17"/>
        <rFont val="Arial"/>
        <family val="0"/>
      </rPr>
      <t>PO</t>
    </r>
    <r>
      <rPr>
        <vertAlign val="subscript"/>
        <sz val="10"/>
        <color indexed="17"/>
        <rFont val="Arial"/>
        <family val="2"/>
      </rPr>
      <t>4</t>
    </r>
  </si>
  <si>
    <t>NF 90</t>
  </si>
  <si>
    <t>8" size</t>
  </si>
  <si>
    <t>BW30</t>
  </si>
  <si>
    <r>
      <t>Cost Category (m</t>
    </r>
    <r>
      <rPr>
        <vertAlign val="superscript"/>
        <sz val="10"/>
        <rFont val="Arial"/>
        <family val="2"/>
      </rPr>
      <t>3</t>
    </r>
    <r>
      <rPr>
        <sz val="10"/>
        <rFont val="Arial"/>
        <family val="2"/>
      </rPr>
      <t>)</t>
    </r>
  </si>
  <si>
    <r>
      <t>Cost Category   (ft</t>
    </r>
    <r>
      <rPr>
        <b/>
        <vertAlign val="superscript"/>
        <sz val="10"/>
        <rFont val="Arial"/>
        <family val="2"/>
      </rPr>
      <t>3</t>
    </r>
    <r>
      <rPr>
        <b/>
        <sz val="10"/>
        <rFont val="Arial"/>
        <family val="2"/>
      </rPr>
      <t>)</t>
    </r>
  </si>
  <si>
    <t>Percent of Subtotal</t>
  </si>
  <si>
    <t>Cost Category (Installed - lb/day)</t>
  </si>
  <si>
    <t>Cost Category (Installed - kg/day)</t>
  </si>
  <si>
    <t>Total resistance Rt = (Rd+Rc+Rm):</t>
  </si>
  <si>
    <t>30 -  300</t>
  </si>
  <si>
    <t>Current Efficiency:</t>
  </si>
  <si>
    <t xml:space="preserve">Voltage per cell Vc = Rt*CD+Vm: </t>
  </si>
  <si>
    <t>Energy Requirements</t>
  </si>
  <si>
    <t>Chemicals</t>
  </si>
  <si>
    <t>Maintenance</t>
  </si>
  <si>
    <t>Membrane Replacement:</t>
  </si>
  <si>
    <t>Membrane Requirements</t>
  </si>
  <si>
    <r>
      <t>Note</t>
    </r>
    <r>
      <rPr>
        <sz val="10"/>
        <rFont val="Arial"/>
        <family val="2"/>
      </rPr>
      <t>:  Peak daily flow should be used for capital costs and average daily flow should be used for O&amp;M costs</t>
    </r>
  </si>
  <si>
    <t>Comments on this model should be addressed to Michelle Chapman at the USBR in Denver</t>
  </si>
  <si>
    <t>MCHAPMAN@do.usbr.gov</t>
  </si>
  <si>
    <t>Comments</t>
  </si>
  <si>
    <t>We welcome any comments (especially corrections).</t>
  </si>
  <si>
    <t>Labor Cost:</t>
  </si>
  <si>
    <t>Number of cell pairs:</t>
  </si>
  <si>
    <t>Pumps</t>
  </si>
  <si>
    <t>Construction cost for clear well storage</t>
  </si>
  <si>
    <t>Below Ground (concrete)</t>
  </si>
  <si>
    <t>Element Productivity</t>
  </si>
  <si>
    <t>Number of Elements</t>
  </si>
  <si>
    <t>Number of elements per vessel</t>
  </si>
  <si>
    <t>elements / vessel</t>
  </si>
  <si>
    <t>Ground Level (steel)</t>
  </si>
  <si>
    <t>Data from EPA-600/2-79-162b, August 1979, pg453-454.  They are used in determining cost formula.</t>
  </si>
  <si>
    <t>lbs/day</t>
  </si>
  <si>
    <r>
      <t>m</t>
    </r>
    <r>
      <rPr>
        <vertAlign val="superscript"/>
        <sz val="10"/>
        <rFont val="Arial"/>
        <family val="2"/>
      </rPr>
      <t>3</t>
    </r>
  </si>
  <si>
    <r>
      <t>ft</t>
    </r>
    <r>
      <rPr>
        <vertAlign val="superscript"/>
        <sz val="10"/>
        <rFont val="Arial"/>
        <family val="2"/>
      </rPr>
      <t>3</t>
    </r>
  </si>
  <si>
    <t>Power (~26.5kWh per kg ozone):</t>
  </si>
  <si>
    <r>
      <t>Osmotic pressure, P</t>
    </r>
    <r>
      <rPr>
        <vertAlign val="subscript"/>
        <sz val="10"/>
        <rFont val="Arial"/>
        <family val="2"/>
      </rPr>
      <t>osm</t>
    </r>
  </si>
  <si>
    <t>$/1000 gal Product</t>
  </si>
  <si>
    <t>Total Direct Capital Costs</t>
  </si>
  <si>
    <r>
      <t>$/m</t>
    </r>
    <r>
      <rPr>
        <vertAlign val="superscript"/>
        <sz val="12"/>
        <rFont val="Arial"/>
        <family val="2"/>
      </rPr>
      <t>3</t>
    </r>
    <r>
      <rPr>
        <sz val="12"/>
        <rFont val="Arial"/>
        <family val="2"/>
      </rPr>
      <t xml:space="preserve"> Product</t>
    </r>
  </si>
  <si>
    <t>O&amp;M</t>
  </si>
  <si>
    <t>$/acre foot Product</t>
  </si>
  <si>
    <r>
      <t>Cost per m</t>
    </r>
    <r>
      <rPr>
        <b/>
        <vertAlign val="superscript"/>
        <sz val="12"/>
        <rFont val="Arial"/>
        <family val="0"/>
      </rPr>
      <t>3</t>
    </r>
    <r>
      <rPr>
        <b/>
        <sz val="12"/>
        <rFont val="Arial"/>
        <family val="0"/>
      </rPr>
      <t>/day capacity</t>
    </r>
  </si>
  <si>
    <t>Membrane &amp; Unit Configuration</t>
  </si>
  <si>
    <t>Flow &amp; Water Quality</t>
  </si>
  <si>
    <t>Operating pressure</t>
  </si>
  <si>
    <t>Membrane Manufacturer Specifications</t>
  </si>
  <si>
    <t>Date of Cost Indices Values</t>
  </si>
  <si>
    <r>
      <t>m</t>
    </r>
    <r>
      <rPr>
        <b/>
        <vertAlign val="superscript"/>
        <sz val="10"/>
        <rFont val="Arial"/>
        <family val="2"/>
      </rPr>
      <t>3</t>
    </r>
    <r>
      <rPr>
        <b/>
        <sz val="10"/>
        <rFont val="Arial"/>
        <family val="2"/>
      </rPr>
      <t>/day</t>
    </r>
  </si>
  <si>
    <t>Last check for accuracy of the MCL values</t>
  </si>
  <si>
    <t>Based on "Estimating the Cost of Membrane (RO or NF) Water Treatment Plants"  By William B. Suratt, P.E., Camp Dresser &amp; McKee Inc. Vero Beach Florida</t>
  </si>
  <si>
    <t>References</t>
  </si>
  <si>
    <t xml:space="preserve">    Presented at the AWWA Membrane Technology Conference, Reno, NV, 1995. also published as "Estimating the cost of membrane water treatment plants."</t>
  </si>
  <si>
    <t xml:space="preserve">AWWA Proceedings Membrane Technologies in the Water Industry. Orlando, Florida, March 10-13, 1991.  pp631-647. </t>
  </si>
  <si>
    <r>
      <t>o</t>
    </r>
    <r>
      <rPr>
        <sz val="10"/>
        <rFont val="Arial"/>
        <family val="0"/>
      </rPr>
      <t>F</t>
    </r>
  </si>
  <si>
    <t>Molecular weight of Alum</t>
  </si>
  <si>
    <t>Piping</t>
  </si>
  <si>
    <t>Controls</t>
  </si>
  <si>
    <t>Direct Costs (material and labor)</t>
  </si>
  <si>
    <t>Operating Costs</t>
  </si>
  <si>
    <t>Required Information</t>
  </si>
  <si>
    <t>Annual fixed-charge rate, AFC</t>
  </si>
  <si>
    <t>"References" Section</t>
  </si>
  <si>
    <t>"H2O analysis" - Valence changes with pH</t>
  </si>
  <si>
    <t>To Do List</t>
  </si>
  <si>
    <t>This is a list of items we have identified as needing work:</t>
  </si>
  <si>
    <t>Plant life expectancy, n</t>
  </si>
  <si>
    <t>Annual Interest Rate, i</t>
  </si>
  <si>
    <t>Present-worth factor, PWF</t>
  </si>
  <si>
    <r>
      <t xml:space="preserve">Plant </t>
    </r>
    <r>
      <rPr>
        <b/>
        <sz val="10"/>
        <rFont val="Arial"/>
        <family val="2"/>
      </rPr>
      <t>availability</t>
    </r>
    <r>
      <rPr>
        <sz val="10"/>
        <rFont val="Arial"/>
        <family val="2"/>
      </rPr>
      <t xml:space="preserve"> due to down time</t>
    </r>
  </si>
  <si>
    <r>
      <t xml:space="preserve">Planned </t>
    </r>
    <r>
      <rPr>
        <b/>
        <sz val="10"/>
        <rFont val="Arial"/>
        <family val="2"/>
      </rPr>
      <t>operation time</t>
    </r>
    <r>
      <rPr>
        <sz val="10"/>
        <rFont val="Arial"/>
        <family val="2"/>
      </rPr>
      <t xml:space="preserve"> per day </t>
    </r>
  </si>
  <si>
    <t>Captial-recovery factor, CRF</t>
  </si>
  <si>
    <t>Operating factor, OF</t>
  </si>
  <si>
    <t>Annual levelized cost, ALC</t>
  </si>
  <si>
    <t>Operating Cost</t>
  </si>
  <si>
    <t>Process</t>
  </si>
  <si>
    <t>$/kgal</t>
  </si>
  <si>
    <t>Alternative:</t>
  </si>
  <si>
    <t>Calculated:</t>
  </si>
  <si>
    <t>Based on:</t>
  </si>
  <si>
    <t>kgal/day</t>
  </si>
  <si>
    <t>Alum (dry feed)</t>
  </si>
  <si>
    <t>Alum (liquid feed)</t>
  </si>
  <si>
    <t xml:space="preserve">Ferric Sulfate </t>
  </si>
  <si>
    <t>Dose Rate</t>
  </si>
  <si>
    <t>Basis dose rate kg/day:</t>
  </si>
  <si>
    <t>Suggested:</t>
  </si>
  <si>
    <t>Potassium Permanganate</t>
  </si>
  <si>
    <t>Calculated KMnO4 Dose:</t>
  </si>
  <si>
    <t>Lime &amp; Soda Ash</t>
  </si>
  <si>
    <t>Calculated Lime:</t>
  </si>
  <si>
    <t>Calculated Soda Ash:</t>
  </si>
  <si>
    <t>Alternative Lime</t>
  </si>
  <si>
    <t>Alternative Soda Ash:</t>
  </si>
  <si>
    <t>Leave out Soda Ash "Y" or "N"?</t>
  </si>
  <si>
    <t>Basis Lime:</t>
  </si>
  <si>
    <t>Basis Soda:</t>
  </si>
  <si>
    <r>
      <t>&lt;400 m</t>
    </r>
    <r>
      <rPr>
        <vertAlign val="superscript"/>
        <sz val="10"/>
        <rFont val="Arial"/>
        <family val="2"/>
      </rPr>
      <t>2</t>
    </r>
  </si>
  <si>
    <r>
      <t>&gt;400 m</t>
    </r>
    <r>
      <rPr>
        <vertAlign val="superscript"/>
        <sz val="10"/>
        <rFont val="Arial"/>
        <family val="2"/>
      </rPr>
      <t>2</t>
    </r>
  </si>
  <si>
    <t>Basis:</t>
  </si>
  <si>
    <t>G Rating %</t>
  </si>
  <si>
    <t>Granular Activated Carbon</t>
  </si>
  <si>
    <t>Bed Life</t>
  </si>
  <si>
    <t>Months</t>
  </si>
  <si>
    <t>Gravity Filtration</t>
  </si>
  <si>
    <t>Alternative Bed Area:</t>
  </si>
  <si>
    <t>Calculated Bed Area:</t>
  </si>
  <si>
    <t>Backwashing:</t>
  </si>
  <si>
    <t>Structure:</t>
  </si>
  <si>
    <r>
      <t>yd</t>
    </r>
    <r>
      <rPr>
        <vertAlign val="superscript"/>
        <sz val="10"/>
        <rFont val="Arial"/>
        <family val="2"/>
      </rPr>
      <t>3</t>
    </r>
  </si>
  <si>
    <r>
      <t>yd</t>
    </r>
    <r>
      <rPr>
        <vertAlign val="superscript"/>
        <sz val="10"/>
        <rFont val="Arial"/>
        <family val="2"/>
      </rPr>
      <t>2</t>
    </r>
  </si>
  <si>
    <r>
      <t>$/yd</t>
    </r>
    <r>
      <rPr>
        <vertAlign val="superscript"/>
        <sz val="10"/>
        <rFont val="Arial"/>
        <family val="2"/>
      </rPr>
      <t>3</t>
    </r>
    <r>
      <rPr>
        <sz val="10"/>
        <rFont val="Arial"/>
        <family val="2"/>
      </rPr>
      <t xml:space="preserve"> Sand</t>
    </r>
  </si>
  <si>
    <r>
      <t>$/yd</t>
    </r>
    <r>
      <rPr>
        <vertAlign val="superscript"/>
        <sz val="10"/>
        <rFont val="Arial"/>
        <family val="2"/>
      </rPr>
      <t>3</t>
    </r>
    <r>
      <rPr>
        <sz val="10"/>
        <rFont val="Arial"/>
        <family val="2"/>
      </rPr>
      <t xml:space="preserve"> Coal</t>
    </r>
  </si>
  <si>
    <r>
      <t>$/yd</t>
    </r>
    <r>
      <rPr>
        <vertAlign val="superscript"/>
        <sz val="10"/>
        <rFont val="Arial"/>
        <family val="2"/>
      </rPr>
      <t>3</t>
    </r>
    <r>
      <rPr>
        <sz val="10"/>
        <rFont val="Arial"/>
        <family val="2"/>
      </rPr>
      <t xml:space="preserve"> Garnet</t>
    </r>
  </si>
  <si>
    <t>Media Cost Delivered</t>
  </si>
  <si>
    <t>yd</t>
  </si>
  <si>
    <t>Media costs assume equal parts of each type.</t>
  </si>
  <si>
    <t>*Media capacity based on information in 'Water Treatment and Plant Design',</t>
  </si>
  <si>
    <t>Cation</t>
  </si>
  <si>
    <t xml:space="preserve">Min Volume: </t>
  </si>
  <si>
    <t>Anion</t>
  </si>
  <si>
    <t>Number of elements</t>
  </si>
  <si>
    <t>Operating Pressure</t>
  </si>
  <si>
    <t>Below Ground Capacity:</t>
  </si>
  <si>
    <t>Daily Production:</t>
  </si>
  <si>
    <t>Plant Operations Schedule</t>
  </si>
  <si>
    <t>avongottberg@ionics.com, personal communication.</t>
  </si>
  <si>
    <t>Ms. Antonia von Gottberg</t>
  </si>
  <si>
    <t>(used to calculate energy &amp; chemical costs)</t>
  </si>
  <si>
    <t>(used to estimate production/year)</t>
  </si>
  <si>
    <t>Flow Rate Input Page &amp; Water Data Report</t>
  </si>
  <si>
    <r>
      <t>$/m</t>
    </r>
    <r>
      <rPr>
        <b/>
        <vertAlign val="superscript"/>
        <sz val="10"/>
        <rFont val="Arial"/>
        <family val="2"/>
      </rPr>
      <t>3</t>
    </r>
  </si>
  <si>
    <r>
      <t>lb/in</t>
    </r>
    <r>
      <rPr>
        <vertAlign val="superscript"/>
        <sz val="10"/>
        <rFont val="Arial"/>
        <family val="2"/>
      </rPr>
      <t>2</t>
    </r>
  </si>
  <si>
    <r>
      <t>$/m</t>
    </r>
    <r>
      <rPr>
        <vertAlign val="superscript"/>
        <sz val="10"/>
        <rFont val="Arial"/>
        <family val="2"/>
      </rPr>
      <t>3</t>
    </r>
    <r>
      <rPr>
        <sz val="10"/>
        <rFont val="Arial"/>
        <family val="2"/>
      </rPr>
      <t xml:space="preserve"> Cation Exchange Resin</t>
    </r>
  </si>
  <si>
    <r>
      <t>$/m</t>
    </r>
    <r>
      <rPr>
        <vertAlign val="superscript"/>
        <sz val="10"/>
        <rFont val="Arial"/>
        <family val="2"/>
      </rPr>
      <t>3</t>
    </r>
    <r>
      <rPr>
        <sz val="10"/>
        <rFont val="Arial"/>
        <family val="2"/>
      </rPr>
      <t xml:space="preserve"> Anion Exchange Resin</t>
    </r>
  </si>
  <si>
    <r>
      <t>mg/L as Cl</t>
    </r>
    <r>
      <rPr>
        <vertAlign val="subscript"/>
        <sz val="10"/>
        <rFont val="Arial"/>
        <family val="2"/>
      </rPr>
      <t>2</t>
    </r>
  </si>
  <si>
    <t>Cost Parameter</t>
  </si>
  <si>
    <t>Alternative Units</t>
  </si>
  <si>
    <t>Cost Indices Data</t>
  </si>
  <si>
    <t>Other</t>
  </si>
  <si>
    <t>Anions</t>
  </si>
  <si>
    <t>Worksheets included in this program:</t>
  </si>
  <si>
    <t>#</t>
  </si>
  <si>
    <t>Worksheet</t>
  </si>
  <si>
    <t>Project &amp; Stage Info</t>
  </si>
  <si>
    <t>Report</t>
  </si>
  <si>
    <t>Cost Index</t>
  </si>
  <si>
    <t>H2O Analysis</t>
  </si>
  <si>
    <t>RO &amp; NF Input</t>
  </si>
  <si>
    <t>RO &amp; NF Output</t>
  </si>
  <si>
    <t>CO2</t>
  </si>
  <si>
    <t>Acid</t>
  </si>
  <si>
    <t>IronFeed</t>
  </si>
  <si>
    <t>PolyAC</t>
  </si>
  <si>
    <t>Cl2</t>
  </si>
  <si>
    <t>NHCl</t>
  </si>
  <si>
    <t>Lime Feed</t>
  </si>
  <si>
    <t>PolyElectrolyte</t>
  </si>
  <si>
    <t>KMnO4</t>
  </si>
  <si>
    <t>GAC</t>
  </si>
  <si>
    <t>Gravity Filter</t>
  </si>
  <si>
    <t>UFSCC</t>
  </si>
  <si>
    <t>IX</t>
  </si>
  <si>
    <t>MF Input</t>
  </si>
  <si>
    <t>MF Output</t>
  </si>
  <si>
    <t>ConcOutfall</t>
  </si>
  <si>
    <t>IonicsED</t>
  </si>
  <si>
    <t>ED2</t>
  </si>
  <si>
    <t>StandardAnalyses</t>
  </si>
  <si>
    <t>S&amp;DSI</t>
  </si>
  <si>
    <t>LSI</t>
  </si>
  <si>
    <t>Stiff &amp; Davis</t>
  </si>
  <si>
    <t>Upflow Solids Contact Clarifier (UFSCC)</t>
  </si>
  <si>
    <t>Seawater</t>
  </si>
  <si>
    <t>Chromium</t>
  </si>
  <si>
    <t>Cyanide</t>
  </si>
  <si>
    <t>Flouride</t>
  </si>
  <si>
    <t>TDS</t>
  </si>
  <si>
    <t>Cost reports for water treatment processes</t>
  </si>
  <si>
    <t>Total capital cost (1st and 2nd stage)</t>
  </si>
  <si>
    <r>
      <t>Construction Cost</t>
    </r>
    <r>
      <rPr>
        <b/>
        <vertAlign val="superscript"/>
        <sz val="10"/>
        <rFont val="Arial"/>
        <family val="2"/>
      </rPr>
      <t>2</t>
    </r>
    <r>
      <rPr>
        <sz val="10"/>
        <rFont val="Arial"/>
        <family val="2"/>
      </rPr>
      <t xml:space="preserve"> </t>
    </r>
  </si>
  <si>
    <r>
      <t xml:space="preserve">O&amp;M </t>
    </r>
    <r>
      <rPr>
        <sz val="10"/>
        <rFont val="Arial"/>
        <family val="2"/>
      </rPr>
      <t>Cost</t>
    </r>
    <r>
      <rPr>
        <vertAlign val="superscript"/>
        <sz val="10"/>
        <rFont val="Arial"/>
        <family val="2"/>
      </rPr>
      <t>2</t>
    </r>
    <r>
      <rPr>
        <sz val="10"/>
        <rFont val="Arial"/>
        <family val="2"/>
      </rPr>
      <t xml:space="preserve"> </t>
    </r>
  </si>
  <si>
    <r>
      <t>2</t>
    </r>
    <r>
      <rPr>
        <sz val="10"/>
        <rFont val="MS Sans Serif"/>
        <family val="0"/>
      </rPr>
      <t xml:space="preserve"> from Elarde &amp; Bergman, </t>
    </r>
    <r>
      <rPr>
        <u val="single"/>
        <sz val="10"/>
        <rFont val="MS Sans Serif"/>
        <family val="2"/>
      </rPr>
      <t>The Cost of Membrane Filtration for Municipal Water Supplies</t>
    </r>
    <r>
      <rPr>
        <sz val="10"/>
        <rFont val="MS Sans Serif"/>
        <family val="0"/>
      </rPr>
      <t xml:space="preserve">, </t>
    </r>
  </si>
  <si>
    <r>
      <t xml:space="preserve">2001 </t>
    </r>
    <r>
      <rPr>
        <b/>
        <sz val="10"/>
        <rFont val="Arial"/>
        <family val="2"/>
      </rPr>
      <t>O&amp;M Cost</t>
    </r>
    <r>
      <rPr>
        <b/>
        <sz val="10"/>
        <rFont val="Arial"/>
        <family val="2"/>
      </rPr>
      <t>:</t>
    </r>
  </si>
  <si>
    <r>
      <t>%</t>
    </r>
    <r>
      <rPr>
        <vertAlign val="superscript"/>
        <sz val="10"/>
        <rFont val="Arial"/>
        <family val="2"/>
      </rPr>
      <t>1</t>
    </r>
    <r>
      <rPr>
        <sz val="10"/>
        <rFont val="Arial"/>
        <family val="2"/>
      </rPr>
      <t xml:space="preserve"> </t>
    </r>
  </si>
  <si>
    <t xml:space="preserve"> AWWA Membrane Conference Proceedings, 2001</t>
  </si>
  <si>
    <r>
      <t xml:space="preserve">1 from Oneby, Nordgren, and Ericson, </t>
    </r>
    <r>
      <rPr>
        <u val="single"/>
        <sz val="10"/>
        <rFont val="MS Sans Serif"/>
        <family val="2"/>
      </rPr>
      <t>Membrane Microfiltration As A Cost Effective Solution For A Small Utility</t>
    </r>
    <r>
      <rPr>
        <sz val="10"/>
        <rFont val="MS Sans Serif"/>
        <family val="0"/>
      </rPr>
      <t>,</t>
    </r>
  </si>
  <si>
    <t>Total O&amp;M cost (1st and 2nd stage)</t>
  </si>
  <si>
    <t>ft2</t>
  </si>
  <si>
    <t xml:space="preserve">   Size </t>
  </si>
  <si>
    <t xml:space="preserve">   Number Transfer Pumps</t>
  </si>
  <si>
    <t xml:space="preserve">   Pressure Differential</t>
  </si>
  <si>
    <t>WTcost is a Visual Basic version of this program (with some edits and additions) developed by Irvine Moch.  This program is for sale through Irvine Moch &amp; Associates.</t>
  </si>
  <si>
    <t xml:space="preserve">  Capacity per Pump</t>
  </si>
  <si>
    <t xml:space="preserve">  Size</t>
  </si>
  <si>
    <t>Product Water Pump</t>
  </si>
  <si>
    <t>skids</t>
  </si>
  <si>
    <t>vessels / skid</t>
  </si>
  <si>
    <t>RO &amp; NF OUTPUT</t>
  </si>
  <si>
    <t>L/Min.</t>
  </si>
  <si>
    <t>L/Sec.</t>
  </si>
  <si>
    <t>Membrane Stage</t>
  </si>
  <si>
    <t>(if applicable)</t>
  </si>
  <si>
    <t xml:space="preserve">   Number Pumps</t>
  </si>
  <si>
    <t>Process input</t>
  </si>
  <si>
    <t>Process Flow Calculation</t>
  </si>
  <si>
    <t>Plant availability (%)</t>
  </si>
  <si>
    <t>Recovery rate</t>
  </si>
  <si>
    <t>90M10C</t>
  </si>
  <si>
    <t>Feed pump horsepower</t>
  </si>
  <si>
    <t>Cost per membrane</t>
  </si>
  <si>
    <t>Feed pump (kwh)</t>
  </si>
  <si>
    <t>kwh</t>
  </si>
  <si>
    <t>Backflush (kwh)</t>
  </si>
  <si>
    <t>Pump efficiency</t>
  </si>
  <si>
    <t>gfd</t>
  </si>
  <si>
    <t>Flux</t>
  </si>
  <si>
    <t>Project Name</t>
  </si>
  <si>
    <t>Date</t>
  </si>
  <si>
    <t>Stage</t>
  </si>
  <si>
    <t>A1</t>
  </si>
  <si>
    <t>RO &amp; NF INPUT</t>
  </si>
  <si>
    <t xml:space="preserve">   Pump Style</t>
  </si>
  <si>
    <t>Model Development</t>
  </si>
  <si>
    <r>
      <t>m</t>
    </r>
    <r>
      <rPr>
        <vertAlign val="superscript"/>
        <sz val="10"/>
        <rFont val="Arial"/>
        <family val="2"/>
      </rPr>
      <t>3</t>
    </r>
    <r>
      <rPr>
        <sz val="10"/>
        <rFont val="Arial"/>
        <family val="2"/>
      </rPr>
      <t>/(m</t>
    </r>
    <r>
      <rPr>
        <vertAlign val="superscript"/>
        <sz val="10"/>
        <rFont val="Arial"/>
        <family val="2"/>
      </rPr>
      <t>2</t>
    </r>
    <r>
      <rPr>
        <sz val="10"/>
        <rFont val="Arial"/>
        <family val="2"/>
      </rPr>
      <t xml:space="preserve"> * day)</t>
    </r>
  </si>
  <si>
    <t>Motor efficiency</t>
  </si>
  <si>
    <t>Design feed pressure</t>
  </si>
  <si>
    <t>Backflush pressure</t>
  </si>
  <si>
    <t>Backwash intervals</t>
  </si>
  <si>
    <t>minutes</t>
  </si>
  <si>
    <t>Backwash and backflush duration</t>
  </si>
  <si>
    <t>MF Backwash</t>
  </si>
  <si>
    <t>Design dosage</t>
  </si>
  <si>
    <t>mg/l</t>
  </si>
  <si>
    <t>MF Feed</t>
  </si>
  <si>
    <t>MF Product</t>
  </si>
  <si>
    <t>Solution concentration</t>
  </si>
  <si>
    <t>Labor Rate (salary and benefits)</t>
  </si>
  <si>
    <t>Amortization time</t>
  </si>
  <si>
    <t>Microfiltration</t>
  </si>
  <si>
    <r>
      <t>mole*charge</t>
    </r>
    <r>
      <rPr>
        <vertAlign val="superscript"/>
        <sz val="10"/>
        <rFont val="Arial"/>
        <family val="2"/>
      </rPr>
      <t>2</t>
    </r>
    <r>
      <rPr>
        <sz val="10"/>
        <rFont val="Arial"/>
        <family val="2"/>
      </rPr>
      <t>/L</t>
    </r>
  </si>
  <si>
    <t>MF Input (Pressurized MF)</t>
  </si>
  <si>
    <t>L/day</t>
  </si>
  <si>
    <t>css</t>
  </si>
  <si>
    <r>
      <t>$/m</t>
    </r>
    <r>
      <rPr>
        <vertAlign val="superscript"/>
        <sz val="10"/>
        <rFont val="Arial"/>
        <family val="2"/>
      </rPr>
      <t>3</t>
    </r>
    <r>
      <rPr>
        <sz val="10"/>
        <rFont val="Arial"/>
        <family val="2"/>
      </rPr>
      <t xml:space="preserve"> Product</t>
    </r>
  </si>
  <si>
    <t>Feed Flow</t>
  </si>
  <si>
    <t>Feed Water Analysis</t>
  </si>
  <si>
    <t>Feed TDS</t>
  </si>
  <si>
    <t>Flow per module</t>
  </si>
  <si>
    <t>Direct Capital Costs</t>
  </si>
  <si>
    <t>$/90M10C</t>
  </si>
  <si>
    <t>Boron</t>
  </si>
  <si>
    <t>Chemicals (Sodium Hypochlorite)</t>
  </si>
  <si>
    <t>Miscellaneous</t>
  </si>
  <si>
    <t>Plant interconnecting piping</t>
  </si>
  <si>
    <t>Cleaning Chemicals(NaOCl)</t>
  </si>
  <si>
    <t>Engineering</t>
  </si>
  <si>
    <t>Repairs and Replacement and Misc.</t>
  </si>
  <si>
    <t>% of Total direct</t>
  </si>
  <si>
    <t>kW</t>
  </si>
  <si>
    <t>Production Flow</t>
  </si>
  <si>
    <t>gph</t>
  </si>
  <si>
    <t>Production Flow to be treated</t>
  </si>
  <si>
    <r>
      <t>m</t>
    </r>
    <r>
      <rPr>
        <vertAlign val="superscript"/>
        <sz val="10"/>
        <rFont val="Arial"/>
        <family val="2"/>
      </rPr>
      <t>3</t>
    </r>
    <r>
      <rPr>
        <sz val="10"/>
        <rFont val="Arial"/>
        <family val="2"/>
      </rPr>
      <t>/Hr.</t>
    </r>
  </si>
  <si>
    <t xml:space="preserve"> (ohms/cm)/cm2</t>
  </si>
  <si>
    <t>Concentrate side resistance "Rc"</t>
  </si>
  <si>
    <t xml:space="preserve">Dilute side resistance "Rd" </t>
  </si>
  <si>
    <t>(ohms/cm)/cm2:</t>
  </si>
  <si>
    <t>(ohms/cm)/cm2</t>
  </si>
  <si>
    <t>Area/membrane pair  Asahi is 0.85 m^2</t>
  </si>
  <si>
    <t xml:space="preserve">Membrane resistance "Rm" </t>
  </si>
  <si>
    <t xml:space="preserve">Current density </t>
  </si>
  <si>
    <t>amps/m2</t>
  </si>
  <si>
    <t xml:space="preserve">Power requirements </t>
  </si>
  <si>
    <t>kWhr/m3:</t>
  </si>
  <si>
    <t xml:space="preserve">Pumping energy requirements </t>
  </si>
  <si>
    <t>kWhr/m3</t>
  </si>
  <si>
    <t xml:space="preserve">Total </t>
  </si>
  <si>
    <t>kWh/day</t>
  </si>
  <si>
    <t xml:space="preserve">Total Membrane Area </t>
  </si>
  <si>
    <t>equiv/m3</t>
  </si>
  <si>
    <t>Delta N</t>
  </si>
  <si>
    <t>Total Membrane Area</t>
  </si>
  <si>
    <t>Power requirements</t>
  </si>
  <si>
    <t xml:space="preserve"> kWhr/m3</t>
  </si>
  <si>
    <t xml:space="preserve">Membrane Voltage Potential "Vm" </t>
  </si>
  <si>
    <t>volts/pair</t>
  </si>
  <si>
    <t>Current density</t>
  </si>
  <si>
    <t>Dilute side resistance "Rd"</t>
  </si>
  <si>
    <r>
      <t>Cl</t>
    </r>
    <r>
      <rPr>
        <vertAlign val="subscript"/>
        <sz val="10"/>
        <rFont val="Arial"/>
        <family val="2"/>
      </rPr>
      <t xml:space="preserve">2 </t>
    </r>
    <r>
      <rPr>
        <sz val="10"/>
        <rFont val="Arial"/>
        <family val="0"/>
      </rPr>
      <t>needed</t>
    </r>
  </si>
  <si>
    <t>Distrib.</t>
  </si>
  <si>
    <t>Plant Production Flow</t>
  </si>
  <si>
    <t>Chloramines</t>
  </si>
  <si>
    <t>Chlorine Dioxide</t>
  </si>
  <si>
    <t>Cost  per gpd capacity</t>
  </si>
  <si>
    <r>
      <t>$/ft</t>
    </r>
    <r>
      <rPr>
        <vertAlign val="superscript"/>
        <sz val="10"/>
        <rFont val="Arial"/>
        <family val="2"/>
      </rPr>
      <t>2</t>
    </r>
  </si>
  <si>
    <t xml:space="preserve">Recovery </t>
  </si>
  <si>
    <t>Memcor, 90M10C</t>
  </si>
  <si>
    <t>Microfilter system equipment</t>
  </si>
  <si>
    <t>Number of microfilter</t>
  </si>
  <si>
    <t>Total costs</t>
  </si>
  <si>
    <t xml:space="preserve">O&amp;M </t>
  </si>
  <si>
    <t>CC</t>
  </si>
  <si>
    <t>Storage Capacity (m3)</t>
  </si>
  <si>
    <t>Below Ground CC</t>
  </si>
  <si>
    <t>Ground Level CC</t>
  </si>
  <si>
    <t>Ground Level Capacity:</t>
  </si>
  <si>
    <t>Specific gravity (NaOCl)</t>
  </si>
  <si>
    <t xml:space="preserve">Design MF product flow rate </t>
  </si>
  <si>
    <t>second</t>
  </si>
  <si>
    <t>m2</t>
  </si>
  <si>
    <t>Resin Expansion Coefficient</t>
  </si>
  <si>
    <t>Height differential:</t>
  </si>
  <si>
    <t>Area per module</t>
  </si>
  <si>
    <t>Transmembrane pressure (Pa)</t>
  </si>
  <si>
    <t>Viscosity (Pa s)</t>
  </si>
  <si>
    <t>Calculated paramters determined by configuration and operating conditions</t>
  </si>
  <si>
    <t>Schmidt Number</t>
  </si>
  <si>
    <t>c</t>
  </si>
  <si>
    <t>Solving the design equations</t>
  </si>
  <si>
    <r>
      <t>Pure water permeability (m</t>
    </r>
    <r>
      <rPr>
        <vertAlign val="superscript"/>
        <sz val="10"/>
        <rFont val="Arial"/>
        <family val="2"/>
      </rPr>
      <t>3</t>
    </r>
    <r>
      <rPr>
        <sz val="10"/>
        <rFont val="Arial"/>
        <family val="0"/>
      </rPr>
      <t>/s)</t>
    </r>
  </si>
  <si>
    <t>mol/m3</t>
  </si>
  <si>
    <t>g/mol Calcium Carbonate</t>
  </si>
  <si>
    <t>g CaCO3 /m3 treated</t>
  </si>
  <si>
    <t>g sludge/m3 treated assuming 30% solids</t>
  </si>
  <si>
    <t>lbs sludge per day</t>
  </si>
  <si>
    <t>kg sludge per day</t>
  </si>
  <si>
    <t>Temperature Coefficient =1.023^(-25+T)</t>
  </si>
  <si>
    <r>
      <t>Feed Flow  (m</t>
    </r>
    <r>
      <rPr>
        <vertAlign val="superscript"/>
        <sz val="10"/>
        <rFont val="Arial"/>
        <family val="2"/>
      </rPr>
      <t>3</t>
    </r>
    <r>
      <rPr>
        <sz val="10"/>
        <rFont val="Arial"/>
        <family val="0"/>
      </rPr>
      <t>/s)</t>
    </r>
  </si>
  <si>
    <r>
      <t>Area (m</t>
    </r>
    <r>
      <rPr>
        <vertAlign val="superscript"/>
        <sz val="10"/>
        <rFont val="Arial"/>
        <family val="2"/>
      </rPr>
      <t>2</t>
    </r>
    <r>
      <rPr>
        <sz val="10"/>
        <rFont val="Arial"/>
        <family val="0"/>
      </rPr>
      <t>)</t>
    </r>
  </si>
  <si>
    <r>
      <t>Channel height d</t>
    </r>
    <r>
      <rPr>
        <vertAlign val="subscript"/>
        <sz val="10"/>
        <rFont val="Arial"/>
        <family val="2"/>
      </rPr>
      <t>h</t>
    </r>
    <r>
      <rPr>
        <sz val="10"/>
        <rFont val="Arial"/>
        <family val="0"/>
      </rPr>
      <t>(m)</t>
    </r>
  </si>
  <si>
    <r>
      <t>C</t>
    </r>
    <r>
      <rPr>
        <vertAlign val="subscript"/>
        <sz val="10"/>
        <rFont val="Arial"/>
        <family val="2"/>
      </rPr>
      <t>f</t>
    </r>
    <r>
      <rPr>
        <sz val="10"/>
        <rFont val="Arial"/>
        <family val="0"/>
      </rPr>
      <t xml:space="preserve"> (mol/m</t>
    </r>
    <r>
      <rPr>
        <vertAlign val="superscript"/>
        <sz val="10"/>
        <rFont val="Arial"/>
        <family val="2"/>
      </rPr>
      <t>3</t>
    </r>
    <r>
      <rPr>
        <sz val="10"/>
        <rFont val="Arial"/>
        <family val="0"/>
      </rPr>
      <t>)</t>
    </r>
  </si>
  <si>
    <r>
      <t>Density (kg/m</t>
    </r>
    <r>
      <rPr>
        <vertAlign val="superscript"/>
        <sz val="10"/>
        <rFont val="Arial"/>
        <family val="2"/>
      </rPr>
      <t>3</t>
    </r>
    <r>
      <rPr>
        <sz val="10"/>
        <rFont val="Arial"/>
        <family val="0"/>
      </rPr>
      <t>)</t>
    </r>
  </si>
  <si>
    <r>
      <t>a (Pa m</t>
    </r>
    <r>
      <rPr>
        <vertAlign val="superscript"/>
        <sz val="10"/>
        <rFont val="Arial"/>
        <family val="2"/>
      </rPr>
      <t>3</t>
    </r>
    <r>
      <rPr>
        <sz val="10"/>
        <rFont val="Arial"/>
        <family val="0"/>
      </rPr>
      <t>mol</t>
    </r>
    <r>
      <rPr>
        <vertAlign val="superscript"/>
        <sz val="10"/>
        <rFont val="Arial"/>
        <family val="2"/>
      </rPr>
      <t>-1</t>
    </r>
    <r>
      <rPr>
        <sz val="10"/>
        <rFont val="Arial"/>
        <family val="0"/>
      </rPr>
      <t>)</t>
    </r>
  </si>
  <si>
    <t>° C</t>
  </si>
  <si>
    <t>uS/cm</t>
  </si>
  <si>
    <r>
      <t>Diffusivity of NaCl (m</t>
    </r>
    <r>
      <rPr>
        <vertAlign val="superscript"/>
        <sz val="10"/>
        <rFont val="Arial"/>
        <family val="2"/>
      </rPr>
      <t>2</t>
    </r>
    <r>
      <rPr>
        <sz val="10"/>
        <rFont val="Arial"/>
        <family val="0"/>
      </rPr>
      <t>/s)</t>
    </r>
  </si>
  <si>
    <r>
      <t>J</t>
    </r>
    <r>
      <rPr>
        <vertAlign val="subscript"/>
        <sz val="10"/>
        <rFont val="Arial"/>
        <family val="2"/>
      </rPr>
      <t>v</t>
    </r>
    <r>
      <rPr>
        <sz val="10"/>
        <rFont val="Arial"/>
        <family val="0"/>
      </rPr>
      <t xml:space="preserve"> (m/s) 1st pass</t>
    </r>
  </si>
  <si>
    <r>
      <t>P</t>
    </r>
    <r>
      <rPr>
        <vertAlign val="subscript"/>
        <sz val="10"/>
        <rFont val="Arial"/>
        <family val="2"/>
      </rPr>
      <t>v</t>
    </r>
    <r>
      <rPr>
        <sz val="10"/>
        <rFont val="Arial"/>
        <family val="0"/>
      </rPr>
      <t>/t</t>
    </r>
    <r>
      <rPr>
        <vertAlign val="subscript"/>
        <sz val="10"/>
        <rFont val="Arial"/>
        <family val="2"/>
      </rPr>
      <t>m</t>
    </r>
    <r>
      <rPr>
        <sz val="10"/>
        <rFont val="Arial"/>
        <family val="0"/>
      </rPr>
      <t xml:space="preserve"> (m</t>
    </r>
    <r>
      <rPr>
        <vertAlign val="superscript"/>
        <sz val="10"/>
        <rFont val="Arial"/>
        <family val="2"/>
      </rPr>
      <t>3</t>
    </r>
    <r>
      <rPr>
        <sz val="10"/>
        <rFont val="Arial"/>
        <family val="0"/>
      </rPr>
      <t>m</t>
    </r>
    <r>
      <rPr>
        <vertAlign val="superscript"/>
        <sz val="10"/>
        <rFont val="Arial"/>
        <family val="2"/>
      </rPr>
      <t>-2</t>
    </r>
    <r>
      <rPr>
        <sz val="10"/>
        <rFont val="Arial"/>
        <family val="0"/>
      </rPr>
      <t>s</t>
    </r>
    <r>
      <rPr>
        <vertAlign val="superscript"/>
        <sz val="10"/>
        <rFont val="Arial"/>
        <family val="2"/>
      </rPr>
      <t>-1</t>
    </r>
    <r>
      <rPr>
        <sz val="10"/>
        <rFont val="Arial"/>
        <family val="0"/>
      </rPr>
      <t>Pa</t>
    </r>
    <r>
      <rPr>
        <vertAlign val="superscript"/>
        <sz val="10"/>
        <rFont val="Arial"/>
        <family val="2"/>
      </rPr>
      <t>-1</t>
    </r>
    <r>
      <rPr>
        <sz val="10"/>
        <rFont val="Arial"/>
        <family val="0"/>
      </rPr>
      <t>)</t>
    </r>
  </si>
  <si>
    <t>Secondary Eff</t>
  </si>
  <si>
    <t>2nd Eff RO Perm</t>
  </si>
  <si>
    <t>2nd Eff RO Conc</t>
  </si>
  <si>
    <t>2nd Eff NF Perm</t>
  </si>
  <si>
    <t>2nd Eff NF Conc</t>
  </si>
  <si>
    <r>
      <t>Average U</t>
    </r>
    <r>
      <rPr>
        <vertAlign val="subscript"/>
        <sz val="10"/>
        <rFont val="Arial"/>
        <family val="2"/>
      </rPr>
      <t>c</t>
    </r>
    <r>
      <rPr>
        <sz val="10"/>
        <rFont val="Arial"/>
        <family val="0"/>
      </rPr>
      <t xml:space="preserve"> (m/s)</t>
    </r>
  </si>
  <si>
    <r>
      <t>J</t>
    </r>
    <r>
      <rPr>
        <vertAlign val="subscript"/>
        <sz val="10"/>
        <rFont val="Arial"/>
        <family val="2"/>
      </rPr>
      <t>v</t>
    </r>
    <r>
      <rPr>
        <sz val="10"/>
        <rFont val="Arial"/>
        <family val="0"/>
      </rPr>
      <t>/k</t>
    </r>
  </si>
  <si>
    <r>
      <t>Intrinsic Rejection R</t>
    </r>
    <r>
      <rPr>
        <vertAlign val="superscript"/>
        <sz val="10"/>
        <rFont val="Arial"/>
        <family val="2"/>
      </rPr>
      <t>o</t>
    </r>
  </si>
  <si>
    <r>
      <t>Appartent Rejection R</t>
    </r>
    <r>
      <rPr>
        <vertAlign val="subscript"/>
        <sz val="10"/>
        <rFont val="Arial"/>
        <family val="2"/>
      </rPr>
      <t>a</t>
    </r>
  </si>
  <si>
    <r>
      <t>C</t>
    </r>
    <r>
      <rPr>
        <vertAlign val="subscript"/>
        <sz val="10"/>
        <rFont val="Arial"/>
        <family val="2"/>
      </rPr>
      <t>w</t>
    </r>
    <r>
      <rPr>
        <sz val="10"/>
        <rFont val="Arial"/>
        <family val="0"/>
      </rPr>
      <t xml:space="preserve"> (mol/L)</t>
    </r>
  </si>
  <si>
    <r>
      <t>C</t>
    </r>
    <r>
      <rPr>
        <vertAlign val="subscript"/>
        <sz val="10"/>
        <rFont val="Arial"/>
        <family val="2"/>
      </rPr>
      <t>p</t>
    </r>
    <r>
      <rPr>
        <sz val="10"/>
        <rFont val="Arial"/>
        <family val="0"/>
      </rPr>
      <t xml:space="preserve"> (mol/L)</t>
    </r>
  </si>
  <si>
    <t>ENR Materials Cost Index</t>
  </si>
  <si>
    <t>Month</t>
  </si>
  <si>
    <t>Year</t>
  </si>
  <si>
    <t>Wage ($/hr)</t>
  </si>
  <si>
    <t>Building Cost</t>
  </si>
  <si>
    <t>Cement ($/ton)</t>
  </si>
  <si>
    <t>Steel ($/CWT)</t>
  </si>
  <si>
    <t>Implement eH-pH diagrams to automatically change valence with pH</t>
  </si>
  <si>
    <t>Not currently being used</t>
  </si>
  <si>
    <t>No Air Stripper</t>
  </si>
  <si>
    <t>Ratio for 1995 (1913 basis)</t>
  </si>
  <si>
    <t>Desalination Costs</t>
  </si>
  <si>
    <t>With Base of</t>
  </si>
  <si>
    <t>From Reference</t>
  </si>
  <si>
    <r>
      <t>Fe</t>
    </r>
    <r>
      <rPr>
        <b/>
        <vertAlign val="subscript"/>
        <sz val="10"/>
        <rFont val="Arial"/>
        <family val="2"/>
      </rPr>
      <t>2</t>
    </r>
    <r>
      <rPr>
        <b/>
        <sz val="10"/>
        <rFont val="Arial"/>
        <family val="2"/>
      </rPr>
      <t>(SO</t>
    </r>
    <r>
      <rPr>
        <b/>
        <vertAlign val="subscript"/>
        <sz val="10"/>
        <rFont val="Arial"/>
        <family val="2"/>
      </rPr>
      <t>4</t>
    </r>
    <r>
      <rPr>
        <b/>
        <sz val="10"/>
        <rFont val="Arial"/>
        <family val="2"/>
      </rPr>
      <t>)</t>
    </r>
    <r>
      <rPr>
        <b/>
        <vertAlign val="subscript"/>
        <sz val="10"/>
        <rFont val="Arial"/>
        <family val="2"/>
      </rPr>
      <t>3</t>
    </r>
    <r>
      <rPr>
        <b/>
        <sz val="10"/>
        <rFont val="Arial"/>
        <family val="2"/>
      </rPr>
      <t>-7H</t>
    </r>
    <r>
      <rPr>
        <b/>
        <vertAlign val="subscript"/>
        <sz val="10"/>
        <rFont val="Arial"/>
        <family val="2"/>
      </rPr>
      <t>2</t>
    </r>
    <r>
      <rPr>
        <b/>
        <sz val="10"/>
        <rFont val="Arial"/>
        <family val="2"/>
      </rPr>
      <t>O</t>
    </r>
  </si>
  <si>
    <t>Calculated Alum Dose Rate (6 mmol/mmol HCO3)</t>
  </si>
  <si>
    <t>PACl Dose Rate</t>
  </si>
  <si>
    <t>PACl Dose Rate (18:1 HCO3:PACl)</t>
  </si>
  <si>
    <r>
      <t>C</t>
    </r>
    <r>
      <rPr>
        <vertAlign val="subscript"/>
        <sz val="10"/>
        <rFont val="Arial"/>
        <family val="2"/>
      </rPr>
      <t>r</t>
    </r>
    <r>
      <rPr>
        <sz val="10"/>
        <rFont val="Arial"/>
        <family val="0"/>
      </rPr>
      <t xml:space="preserve"> (mol/L)</t>
    </r>
  </si>
  <si>
    <r>
      <t>Exp (J</t>
    </r>
    <r>
      <rPr>
        <vertAlign val="subscript"/>
        <sz val="10"/>
        <rFont val="Arial"/>
        <family val="2"/>
      </rPr>
      <t>v</t>
    </r>
    <r>
      <rPr>
        <sz val="10"/>
        <rFont val="Arial"/>
        <family val="0"/>
      </rPr>
      <t>/k)</t>
    </r>
  </si>
  <si>
    <r>
      <t>J</t>
    </r>
    <r>
      <rPr>
        <vertAlign val="subscript"/>
        <sz val="10"/>
        <rFont val="Arial"/>
        <family val="2"/>
      </rPr>
      <t>v</t>
    </r>
    <r>
      <rPr>
        <sz val="10"/>
        <rFont val="Arial"/>
        <family val="0"/>
      </rPr>
      <t xml:space="preserve"> Theoretical (m</t>
    </r>
    <r>
      <rPr>
        <vertAlign val="superscript"/>
        <sz val="10"/>
        <rFont val="Arial"/>
        <family val="2"/>
      </rPr>
      <t>3</t>
    </r>
    <r>
      <rPr>
        <sz val="10"/>
        <rFont val="Arial"/>
        <family val="0"/>
      </rPr>
      <t>m</t>
    </r>
    <r>
      <rPr>
        <vertAlign val="superscript"/>
        <sz val="10"/>
        <rFont val="Arial"/>
        <family val="2"/>
      </rPr>
      <t>-2</t>
    </r>
    <r>
      <rPr>
        <sz val="10"/>
        <rFont val="Arial"/>
        <family val="0"/>
      </rPr>
      <t>s)</t>
    </r>
  </si>
  <si>
    <r>
      <t>m</t>
    </r>
    <r>
      <rPr>
        <vertAlign val="superscript"/>
        <sz val="10"/>
        <rFont val="Arial"/>
        <family val="2"/>
      </rPr>
      <t>3</t>
    </r>
    <r>
      <rPr>
        <sz val="10"/>
        <rFont val="Arial"/>
        <family val="2"/>
      </rPr>
      <t>m</t>
    </r>
    <r>
      <rPr>
        <vertAlign val="superscript"/>
        <sz val="10"/>
        <rFont val="Arial"/>
        <family val="2"/>
      </rPr>
      <t>-2</t>
    </r>
    <r>
      <rPr>
        <sz val="10"/>
        <rFont val="Arial"/>
        <family val="0"/>
      </rPr>
      <t>Pa</t>
    </r>
    <r>
      <rPr>
        <vertAlign val="superscript"/>
        <sz val="10"/>
        <rFont val="Arial"/>
        <family val="2"/>
      </rPr>
      <t>-1</t>
    </r>
    <r>
      <rPr>
        <sz val="10"/>
        <rFont val="Arial"/>
        <family val="2"/>
      </rPr>
      <t>sec</t>
    </r>
    <r>
      <rPr>
        <vertAlign val="superscript"/>
        <sz val="10"/>
        <rFont val="Arial"/>
        <family val="2"/>
      </rPr>
      <t>-1</t>
    </r>
  </si>
  <si>
    <r>
      <t>C</t>
    </r>
    <r>
      <rPr>
        <vertAlign val="subscript"/>
        <sz val="10"/>
        <rFont val="Arial"/>
        <family val="2"/>
      </rPr>
      <t>m</t>
    </r>
    <r>
      <rPr>
        <sz val="10"/>
        <rFont val="Arial"/>
        <family val="0"/>
      </rPr>
      <t>,  bulk conc.</t>
    </r>
  </si>
  <si>
    <t>$/module</t>
  </si>
  <si>
    <t>Number of Modules</t>
  </si>
  <si>
    <t xml:space="preserve">   Citric Acid</t>
  </si>
  <si>
    <t>Chemical cost per kg NaCl:</t>
  </si>
  <si>
    <t>Manufacturer's</t>
  </si>
  <si>
    <t>Site</t>
  </si>
  <si>
    <t>Solving Design Equations for Site Conditions</t>
  </si>
  <si>
    <t>Test Solution</t>
  </si>
  <si>
    <t>Site Concentrate</t>
  </si>
  <si>
    <t xml:space="preserve">  Apparent Rejection</t>
  </si>
  <si>
    <t>Total Recovery:</t>
  </si>
  <si>
    <t>10mg/L Cl2 +2.5 mg/L Ammonia</t>
  </si>
  <si>
    <t>20 mg/L Cl2+5 mg/L Ammonia</t>
  </si>
  <si>
    <t>FS8822HR400 Prem</t>
  </si>
  <si>
    <t>Some Example Membrane Specifications</t>
  </si>
  <si>
    <t>AntiScalant</t>
  </si>
  <si>
    <t>Polyelectrolyte</t>
  </si>
  <si>
    <t>Cost of Chemical</t>
  </si>
  <si>
    <t>$/500 lb</t>
  </si>
  <si>
    <t>De-Chlorination</t>
  </si>
  <si>
    <t>Sodium Sulfite</t>
  </si>
  <si>
    <t>Free Chlorine Level</t>
  </si>
  <si>
    <t>Sodium Sulfite: Cost</t>
  </si>
  <si>
    <t>Calculated Dose</t>
  </si>
  <si>
    <t>Alternative Dose</t>
  </si>
  <si>
    <t>$/</t>
  </si>
  <si>
    <t>Sodium Bisulfite: Cost</t>
  </si>
  <si>
    <t>Sulfur Dioxide: Cost</t>
  </si>
  <si>
    <t>37% HCL</t>
  </si>
  <si>
    <r>
      <t>SO</t>
    </r>
    <r>
      <rPr>
        <vertAlign val="subscript"/>
        <sz val="10"/>
        <rFont val="Arial"/>
        <family val="2"/>
      </rPr>
      <t>2</t>
    </r>
  </si>
  <si>
    <r>
      <t>Na</t>
    </r>
    <r>
      <rPr>
        <vertAlign val="subscript"/>
        <sz val="10"/>
        <rFont val="Arial"/>
        <family val="2"/>
      </rPr>
      <t>2</t>
    </r>
    <r>
      <rPr>
        <sz val="10"/>
        <rFont val="Arial"/>
        <family val="2"/>
      </rPr>
      <t>SO</t>
    </r>
    <r>
      <rPr>
        <vertAlign val="subscript"/>
        <sz val="10"/>
        <rFont val="Arial"/>
        <family val="2"/>
      </rPr>
      <t>3</t>
    </r>
  </si>
  <si>
    <r>
      <t>NaHSO</t>
    </r>
    <r>
      <rPr>
        <vertAlign val="subscript"/>
        <sz val="10"/>
        <rFont val="Arial"/>
        <family val="2"/>
      </rPr>
      <t>3</t>
    </r>
  </si>
  <si>
    <t>Cost $/ton:</t>
  </si>
  <si>
    <r>
      <t>mg/mg Chlorine (Cl</t>
    </r>
    <r>
      <rPr>
        <vertAlign val="subscript"/>
        <sz val="10"/>
        <rFont val="Arial"/>
        <family val="2"/>
      </rPr>
      <t>2</t>
    </r>
    <r>
      <rPr>
        <sz val="10"/>
        <rFont val="MS Sans Serif"/>
        <family val="0"/>
      </rPr>
      <t>)</t>
    </r>
  </si>
  <si>
    <t>Chemical options:</t>
  </si>
  <si>
    <t>Sodium bisulfite</t>
  </si>
  <si>
    <t>Silica</t>
  </si>
  <si>
    <t>ENR Skilled Labor Index</t>
  </si>
  <si>
    <t>base cost</t>
  </si>
  <si>
    <t>ENR October 1978 (1913 basis)</t>
  </si>
  <si>
    <t>Ratio for October 1978 (1913 basis)</t>
  </si>
  <si>
    <t xml:space="preserve">EPA October 1978 Costs </t>
  </si>
  <si>
    <t>Excavation and Sitework,   Labor</t>
  </si>
  <si>
    <t>ENR Cement Cost ($/ton)</t>
  </si>
  <si>
    <t>ENR Steel Cost ($/cwt)</t>
  </si>
  <si>
    <t xml:space="preserve">$                   </t>
  </si>
  <si>
    <t xml:space="preserve">$/yr              </t>
  </si>
  <si>
    <t>ENR Building Cost Index</t>
  </si>
  <si>
    <t>ENR Labor Rate ($/hr)</t>
  </si>
  <si>
    <t>Interest Rate (%)</t>
  </si>
  <si>
    <t>N</t>
  </si>
  <si>
    <t>ENR Materials Index</t>
  </si>
  <si>
    <t>Electricity Cost ($/kWhr)</t>
  </si>
  <si>
    <t xml:space="preserve">1000 cfs and 300 cfs. </t>
  </si>
  <si>
    <t xml:space="preserve">   Capacity per pump</t>
  </si>
  <si>
    <t>Loading Rate</t>
  </si>
  <si>
    <t>gpm/sqft</t>
  </si>
  <si>
    <t>ENR Construction Cost Index</t>
  </si>
  <si>
    <t>Water Rate ($/kgal)</t>
  </si>
  <si>
    <t>See http://www.enr.com</t>
  </si>
  <si>
    <t>Used For</t>
  </si>
  <si>
    <t>Housing</t>
  </si>
  <si>
    <t>Excavation, Site Work &amp; Labor</t>
  </si>
  <si>
    <t>Piping &amp; Valves</t>
  </si>
  <si>
    <t>Steel</t>
  </si>
  <si>
    <t>Concrete</t>
  </si>
  <si>
    <t>Power</t>
  </si>
  <si>
    <t>Cost of Feed Source Water</t>
  </si>
  <si>
    <t>On Construction &amp; Bond Money</t>
  </si>
  <si>
    <t>For Bond Period</t>
  </si>
  <si>
    <t>Manufactured &amp; Electrical Equipment</t>
  </si>
  <si>
    <t>Piping and Valves</t>
  </si>
  <si>
    <t>Total Vessel Volume</t>
  </si>
  <si>
    <r>
      <t>Filter area (m</t>
    </r>
    <r>
      <rPr>
        <vertAlign val="superscript"/>
        <sz val="10"/>
        <rFont val="Arial"/>
        <family val="2"/>
      </rPr>
      <t>2</t>
    </r>
    <r>
      <rPr>
        <sz val="10"/>
        <rFont val="Arial"/>
        <family val="2"/>
      </rPr>
      <t>):</t>
    </r>
  </si>
  <si>
    <t>modular system flow rate</t>
  </si>
  <si>
    <t>No. membranes per module</t>
  </si>
  <si>
    <t>Sodium Hypochlorite Cost</t>
  </si>
  <si>
    <t>Feed flow</t>
  </si>
  <si>
    <t>Product flow</t>
  </si>
  <si>
    <t>Backwash</t>
  </si>
  <si>
    <t>Number of Membranes</t>
  </si>
  <si>
    <t>Membrane Modules</t>
  </si>
  <si>
    <t>Membrane Module equipment cost</t>
  </si>
  <si>
    <t>Installation</t>
  </si>
  <si>
    <t>% of Module Cost</t>
  </si>
  <si>
    <t>% of Module and misc.</t>
  </si>
  <si>
    <t>Manfactured &amp; Electrical Equipment</t>
  </si>
  <si>
    <t>Excavation , Site Work &amp; Labor</t>
  </si>
  <si>
    <t>mgd</t>
  </si>
  <si>
    <t>BLS Electrical Machinery and Equipment Code 117</t>
  </si>
  <si>
    <t>ENR Building Cost Index (1967 Base)</t>
  </si>
  <si>
    <t>ENR Skilled Labor Wage Index (1967 Base)</t>
  </si>
  <si>
    <t>BLS Valves an Fittings Code 114901</t>
  </si>
  <si>
    <t>-</t>
  </si>
  <si>
    <t>BLS Concrete Ingredients Code 132</t>
  </si>
  <si>
    <t>BLS Steel Mill Products Code 1013</t>
  </si>
  <si>
    <t>BLS = Bureau of Labor Statistics</t>
  </si>
  <si>
    <t>http://www.enr.com/features/conEco/costIndexes/mostRecentIndexes.asp</t>
  </si>
  <si>
    <t>http://www.eia.doe.gov/cneaf/electricity/epm/table5_6_a.html</t>
  </si>
  <si>
    <t>http://www.eia.doe.gov/cneaf/electricity/epm/epm_sum.html</t>
  </si>
  <si>
    <r>
      <t>Source of DOE data:</t>
    </r>
    <r>
      <rPr>
        <sz val="10"/>
        <rFont val="Arial"/>
        <family val="2"/>
      </rPr>
      <t xml:space="preserve"> Energy Information Administration, Form EIA-826, "Monthly Electric Sales and Revenue Report with State Distributions Report."</t>
    </r>
  </si>
  <si>
    <t>Notes</t>
  </si>
  <si>
    <t>Rates and Lifecycles</t>
  </si>
  <si>
    <r>
      <t>2</t>
    </r>
    <r>
      <rPr>
        <sz val="10"/>
        <rFont val="Arial"/>
        <family val="2"/>
      </rPr>
      <t xml:space="preserve"> EPA-600/2-79-162 "Estimating Water Treatment Costs"</t>
    </r>
  </si>
  <si>
    <r>
      <t>3</t>
    </r>
    <r>
      <rPr>
        <sz val="10"/>
        <rFont val="Arial"/>
        <family val="2"/>
      </rPr>
      <t xml:space="preserve">  DOE - Department of Energy "Electric Power Monthly"</t>
    </r>
  </si>
  <si>
    <t>Total Power</t>
  </si>
  <si>
    <t>Poly Aluminum Chloride</t>
  </si>
  <si>
    <t>kWh/Kgal</t>
  </si>
  <si>
    <t>WATER RECOVERY</t>
  </si>
  <si>
    <t>All cost numbers are only within +,- 15%</t>
  </si>
  <si>
    <t>Second Stage Capital Costs</t>
  </si>
  <si>
    <t>First Stage Capital Costs</t>
  </si>
  <si>
    <t>Capacity</t>
  </si>
  <si>
    <t>Staff days/day</t>
  </si>
  <si>
    <t>Energy $/kW*h</t>
  </si>
  <si>
    <t>Cost $/100 lbs.:</t>
  </si>
  <si>
    <t>Maintenance Material</t>
  </si>
  <si>
    <t>Labor $/hour</t>
  </si>
  <si>
    <t>Resin w/ Tank &amp; Regeneration Tank</t>
  </si>
  <si>
    <t>Pumping</t>
  </si>
  <si>
    <t>Number of Vessels (Reality check)</t>
  </si>
  <si>
    <t xml:space="preserve">    80,000 gallon</t>
  </si>
  <si>
    <t>This number is the efficiency of the energy recovery device - it reduces the size of the High Pressure pump</t>
  </si>
  <si>
    <t xml:space="preserve">   100,000 gallon</t>
  </si>
  <si>
    <t>Rowpu  SW30M-6040</t>
  </si>
  <si>
    <t>Alkalinity</t>
  </si>
  <si>
    <t>Acidity</t>
  </si>
  <si>
    <t>C1</t>
  </si>
  <si>
    <t>C2</t>
  </si>
  <si>
    <t>MW</t>
  </si>
  <si>
    <t xml:space="preserve">Installed Capital Cost </t>
  </si>
  <si>
    <t>PD</t>
  </si>
  <si>
    <t>Pump, drive, Piping and driver</t>
  </si>
  <si>
    <t>Diameter (m)</t>
  </si>
  <si>
    <r>
      <t>Flow m</t>
    </r>
    <r>
      <rPr>
        <vertAlign val="superscript"/>
        <sz val="10"/>
        <rFont val="MS Sans Serif"/>
        <family val="2"/>
      </rPr>
      <t>3</t>
    </r>
    <r>
      <rPr>
        <sz val="10"/>
        <rFont val="MS Sans Serif"/>
        <family val="0"/>
      </rPr>
      <t>/s</t>
    </r>
  </si>
  <si>
    <t>dP1 kPa</t>
  </si>
  <si>
    <t>dP2 kPa</t>
  </si>
  <si>
    <t>3 - 1200 HP</t>
  </si>
  <si>
    <t>Cent</t>
  </si>
  <si>
    <t>*PD, VST or CSS</t>
  </si>
  <si>
    <t>VST or CSS</t>
  </si>
  <si>
    <t>Caustic Soda</t>
  </si>
  <si>
    <t>98% NaOH</t>
  </si>
  <si>
    <r>
      <t>99.16% NaHCO</t>
    </r>
    <r>
      <rPr>
        <vertAlign val="subscript"/>
        <sz val="10"/>
        <rFont val="MS Sans Serif"/>
        <family val="2"/>
      </rPr>
      <t>3</t>
    </r>
  </si>
  <si>
    <t>90% CaO</t>
  </si>
  <si>
    <t>Hydraded Lime</t>
  </si>
  <si>
    <r>
      <t>93% Ca(OH)</t>
    </r>
    <r>
      <rPr>
        <vertAlign val="subscript"/>
        <sz val="10"/>
        <rFont val="MS Sans Serif"/>
        <family val="2"/>
      </rPr>
      <t>2</t>
    </r>
  </si>
  <si>
    <r>
      <t>TDS</t>
    </r>
    <r>
      <rPr>
        <vertAlign val="subscript"/>
        <sz val="10"/>
        <rFont val="Arial"/>
        <family val="2"/>
      </rPr>
      <t xml:space="preserve"> stab</t>
    </r>
  </si>
  <si>
    <t>TDS Factor</t>
  </si>
  <si>
    <r>
      <t>LSI</t>
    </r>
    <r>
      <rPr>
        <vertAlign val="subscript"/>
        <sz val="10"/>
        <rFont val="Arial"/>
        <family val="2"/>
      </rPr>
      <t>stab</t>
    </r>
  </si>
  <si>
    <r>
      <t>pCa</t>
    </r>
    <r>
      <rPr>
        <vertAlign val="subscript"/>
        <sz val="10"/>
        <rFont val="Arial"/>
        <family val="2"/>
      </rPr>
      <t>c</t>
    </r>
  </si>
  <si>
    <r>
      <t>pAlk</t>
    </r>
    <r>
      <rPr>
        <vertAlign val="subscript"/>
        <sz val="10"/>
        <rFont val="Arial"/>
        <family val="2"/>
      </rPr>
      <t>c</t>
    </r>
  </si>
  <si>
    <r>
      <t>pH</t>
    </r>
    <r>
      <rPr>
        <vertAlign val="subscript"/>
        <sz val="10"/>
        <rFont val="Arial"/>
        <family val="2"/>
      </rPr>
      <t>sc</t>
    </r>
    <r>
      <rPr>
        <sz val="10"/>
        <rFont val="Arial"/>
        <family val="2"/>
      </rPr>
      <t xml:space="preserve"> =</t>
    </r>
  </si>
  <si>
    <t>From Feed Water Analysis</t>
  </si>
  <si>
    <t>From Concentrate Analysis</t>
  </si>
  <si>
    <t>R2 = 0.9871</t>
  </si>
  <si>
    <t>C (45) = 0.0368Ln(x) + 1.5825</t>
  </si>
  <si>
    <t>C (30) = 0.0372Ln(x) + 1.865</t>
  </si>
  <si>
    <t>C (35) = 0.0383Ln(x) + 1.7581</t>
  </si>
  <si>
    <t>C (40) = 0.0371Ln(x) + 1.6678</t>
  </si>
  <si>
    <t>C (25)= 0.0372Ln(x) + 1.965</t>
  </si>
  <si>
    <t>C (20) = 0.0372Ln(x) + 2.0658</t>
  </si>
  <si>
    <t>C (15) = 0.037Ln(x) + 2.1775</t>
  </si>
  <si>
    <t>C (10) = 0.0362Ln(x) + 2.2963</t>
  </si>
  <si>
    <t>C (5) = 0.0377Ln(x) + 2.412</t>
  </si>
  <si>
    <r>
      <t>S&amp;DSI</t>
    </r>
    <r>
      <rPr>
        <vertAlign val="subscript"/>
        <sz val="10"/>
        <rFont val="Arial"/>
        <family val="2"/>
      </rPr>
      <t>f</t>
    </r>
  </si>
  <si>
    <t>For the Concentrate Stream with Acid</t>
  </si>
  <si>
    <t>= goal seek cells</t>
  </si>
  <si>
    <r>
      <t xml:space="preserve">Alk </t>
    </r>
    <r>
      <rPr>
        <vertAlign val="subscript"/>
        <sz val="10"/>
        <rFont val="Arial"/>
        <family val="2"/>
      </rPr>
      <t>C acid</t>
    </r>
  </si>
  <si>
    <r>
      <t xml:space="preserve">Alk </t>
    </r>
    <r>
      <rPr>
        <vertAlign val="subscript"/>
        <sz val="10"/>
        <rFont val="Arial"/>
        <family val="2"/>
      </rPr>
      <t>c acid</t>
    </r>
    <r>
      <rPr>
        <sz val="10"/>
        <rFont val="Arial"/>
        <family val="2"/>
      </rPr>
      <t>/CO</t>
    </r>
    <r>
      <rPr>
        <vertAlign val="subscript"/>
        <sz val="10"/>
        <rFont val="Arial"/>
        <family val="2"/>
      </rPr>
      <t>2 acid</t>
    </r>
  </si>
  <si>
    <r>
      <t>S&amp;DSI</t>
    </r>
    <r>
      <rPr>
        <vertAlign val="subscript"/>
        <sz val="10"/>
        <rFont val="Arial"/>
        <family val="2"/>
      </rPr>
      <t xml:space="preserve"> (c adjusted)</t>
    </r>
  </si>
  <si>
    <r>
      <t>pH</t>
    </r>
    <r>
      <rPr>
        <vertAlign val="subscript"/>
        <sz val="10"/>
        <rFont val="Arial"/>
        <family val="2"/>
      </rPr>
      <t>c acid</t>
    </r>
  </si>
  <si>
    <t>for concentrate Ionic Strength and Temperature</t>
  </si>
  <si>
    <t>For water with TDS &gt; 15000 mg/L</t>
  </si>
  <si>
    <t>Energy Recovery for Seawater</t>
  </si>
  <si>
    <t xml:space="preserve">   Motor Efficiency</t>
  </si>
  <si>
    <t xml:space="preserve">   Pump Efficiency</t>
  </si>
  <si>
    <t xml:space="preserve">   Coupling Efficiency</t>
  </si>
  <si>
    <t xml:space="preserve">   Number of Pumps</t>
  </si>
  <si>
    <t xml:space="preserve">   Differential Pressure</t>
  </si>
  <si>
    <t>Efficiency</t>
  </si>
  <si>
    <t>Transfer Pumps (to HPP)</t>
  </si>
  <si>
    <t xml:space="preserve">   Pipe X-Sectional Area</t>
  </si>
  <si>
    <t>Velocity (m/s)</t>
  </si>
  <si>
    <t>m/s</t>
  </si>
  <si>
    <t>ft/sec</t>
  </si>
  <si>
    <r>
      <t>Alk</t>
    </r>
    <r>
      <rPr>
        <vertAlign val="subscript"/>
        <sz val="10"/>
        <rFont val="Arial"/>
        <family val="2"/>
      </rPr>
      <t>stab</t>
    </r>
    <r>
      <rPr>
        <sz val="10"/>
        <rFont val="Arial"/>
        <family val="2"/>
      </rPr>
      <t>/CO</t>
    </r>
    <r>
      <rPr>
        <vertAlign val="subscript"/>
        <sz val="10"/>
        <rFont val="Arial"/>
        <family val="2"/>
      </rPr>
      <t>2stab</t>
    </r>
  </si>
  <si>
    <t>Recarbonation Basins</t>
  </si>
  <si>
    <t>Excavation &amp; Sitework</t>
  </si>
  <si>
    <t>Pipe &amp; Valves</t>
  </si>
  <si>
    <t>Miscellaneous &amp; contingency</t>
  </si>
  <si>
    <t xml:space="preserve">  Subtotal</t>
  </si>
  <si>
    <t xml:space="preserve">  Total</t>
  </si>
  <si>
    <t>Average</t>
  </si>
  <si>
    <t>Construction Cost for Liquid CO2 as CO2 Source</t>
  </si>
  <si>
    <t>Manufactured Equipment</t>
  </si>
  <si>
    <t>Micsellaneous &amp; Contingency</t>
  </si>
  <si>
    <t>Maintenance Material $/yr</t>
  </si>
  <si>
    <t>Total Cost</t>
  </si>
  <si>
    <t>$/kWhr</t>
  </si>
  <si>
    <t>$/hr Labor</t>
  </si>
  <si>
    <t>Labor Hr/yr * $/Hr</t>
  </si>
  <si>
    <t>Energy kWhr/yr * $/kWhr</t>
  </si>
  <si>
    <t>Hypochlorite</t>
  </si>
  <si>
    <t>Y</t>
  </si>
  <si>
    <t>Pipe Diameter</t>
  </si>
  <si>
    <t>Length</t>
  </si>
  <si>
    <t>dP</t>
  </si>
  <si>
    <t>Schedule 80 Pipe Cost</t>
  </si>
  <si>
    <t>Total Pipe Cost</t>
  </si>
  <si>
    <t>Velocity</t>
  </si>
  <si>
    <t>m/sec</t>
  </si>
  <si>
    <t>Concentrate Flow</t>
  </si>
  <si>
    <t>$/m</t>
  </si>
  <si>
    <r>
      <t>m</t>
    </r>
    <r>
      <rPr>
        <vertAlign val="superscript"/>
        <sz val="10"/>
        <rFont val="MS Sans Serif"/>
        <family val="2"/>
      </rPr>
      <t>3</t>
    </r>
    <r>
      <rPr>
        <sz val="10"/>
        <rFont val="MS Sans Serif"/>
        <family val="0"/>
      </rPr>
      <t>/sec</t>
    </r>
  </si>
  <si>
    <t>Use this one.</t>
  </si>
  <si>
    <t>Lime &amp; Soda ash</t>
  </si>
  <si>
    <t>Single Basin Volume</t>
  </si>
  <si>
    <t>B =- 0.0207*Temp + 2.491</t>
  </si>
  <si>
    <t>C (x,T)= 0.0372*Ln(x)-0.0209*T+2.499</t>
  </si>
  <si>
    <t>Product Stabilization</t>
  </si>
  <si>
    <t>Gas</t>
  </si>
  <si>
    <r>
      <t>CO</t>
    </r>
    <r>
      <rPr>
        <vertAlign val="subscript"/>
        <sz val="10"/>
        <rFont val="MS Sans Serif"/>
        <family val="2"/>
      </rPr>
      <t>2(g)</t>
    </r>
  </si>
  <si>
    <t>Ion Product for concentrate</t>
  </si>
  <si>
    <t>Incomplete</t>
  </si>
  <si>
    <r>
      <t>"C"</t>
    </r>
    <r>
      <rPr>
        <vertAlign val="subscript"/>
        <sz val="10"/>
        <rFont val="Arial"/>
        <family val="2"/>
      </rPr>
      <t>c</t>
    </r>
  </si>
  <si>
    <r>
      <t>pH</t>
    </r>
    <r>
      <rPr>
        <vertAlign val="subscript"/>
        <sz val="10"/>
        <rFont val="Arial"/>
        <family val="2"/>
      </rPr>
      <t>s</t>
    </r>
    <r>
      <rPr>
        <sz val="10"/>
        <rFont val="Arial"/>
        <family val="2"/>
      </rPr>
      <t xml:space="preserve"> </t>
    </r>
  </si>
  <si>
    <t>add $300,000 for top of the line DAC</t>
  </si>
  <si>
    <t>Maint Materials</t>
  </si>
  <si>
    <t>Manf &amp; Elect</t>
  </si>
  <si>
    <t>Ionics Electrodialysis Reversal</t>
  </si>
  <si>
    <t>From Water Analysis</t>
  </si>
  <si>
    <r>
      <t>pH</t>
    </r>
    <r>
      <rPr>
        <vertAlign val="subscript"/>
        <sz val="10"/>
        <rFont val="MS Sans Serif"/>
        <family val="2"/>
      </rPr>
      <t>c</t>
    </r>
  </si>
  <si>
    <t>K from 'Stiff&amp;Davis'</t>
  </si>
  <si>
    <r>
      <t>Use pCa and pAlk and pH vs MO Alk/CO</t>
    </r>
    <r>
      <rPr>
        <vertAlign val="subscript"/>
        <sz val="10"/>
        <rFont val="MS Sans Serif"/>
        <family val="2"/>
      </rPr>
      <t>2</t>
    </r>
    <r>
      <rPr>
        <sz val="10"/>
        <rFont val="MS Sans Serif"/>
        <family val="0"/>
      </rPr>
      <t xml:space="preserve"> from 'Stiff&amp;Davis' sheet</t>
    </r>
  </si>
  <si>
    <r>
      <t>Ca</t>
    </r>
    <r>
      <rPr>
        <vertAlign val="subscript"/>
        <sz val="10"/>
        <rFont val="MS Sans Serif"/>
        <family val="2"/>
      </rPr>
      <t>f</t>
    </r>
    <r>
      <rPr>
        <sz val="10"/>
        <rFont val="MS Sans Serif"/>
        <family val="0"/>
      </rPr>
      <t xml:space="preserve"> in mg/L CaCO</t>
    </r>
    <r>
      <rPr>
        <vertAlign val="subscript"/>
        <sz val="10"/>
        <rFont val="MS Sans Serif"/>
        <family val="2"/>
      </rPr>
      <t>3</t>
    </r>
  </si>
  <si>
    <r>
      <t>Alk</t>
    </r>
    <r>
      <rPr>
        <vertAlign val="subscript"/>
        <sz val="10"/>
        <rFont val="MS Sans Serif"/>
        <family val="2"/>
      </rPr>
      <t>f</t>
    </r>
    <r>
      <rPr>
        <sz val="10"/>
        <rFont val="MS Sans Serif"/>
        <family val="0"/>
      </rPr>
      <t xml:space="preserve"> in mg/L CaCO</t>
    </r>
    <r>
      <rPr>
        <vertAlign val="subscript"/>
        <sz val="10"/>
        <rFont val="MS Sans Serif"/>
        <family val="2"/>
      </rPr>
      <t>3</t>
    </r>
  </si>
  <si>
    <t>From Report or RO&amp;NF</t>
  </si>
  <si>
    <t>Rejection</t>
  </si>
  <si>
    <r>
      <t>TDS</t>
    </r>
    <r>
      <rPr>
        <vertAlign val="subscript"/>
        <sz val="10"/>
        <rFont val="MS Sans Serif"/>
        <family val="2"/>
      </rPr>
      <t>f</t>
    </r>
  </si>
  <si>
    <t>Concentrate Values</t>
  </si>
  <si>
    <r>
      <t>Ca</t>
    </r>
    <r>
      <rPr>
        <vertAlign val="subscript"/>
        <sz val="10"/>
        <rFont val="MS Sans Serif"/>
        <family val="2"/>
      </rPr>
      <t>c</t>
    </r>
  </si>
  <si>
    <r>
      <t>Alk</t>
    </r>
    <r>
      <rPr>
        <vertAlign val="subscript"/>
        <sz val="10"/>
        <rFont val="MS Sans Serif"/>
        <family val="2"/>
      </rPr>
      <t>c</t>
    </r>
  </si>
  <si>
    <r>
      <t>TDS</t>
    </r>
    <r>
      <rPr>
        <vertAlign val="subscript"/>
        <sz val="10"/>
        <rFont val="MS Sans Serif"/>
        <family val="2"/>
      </rPr>
      <t>c</t>
    </r>
  </si>
  <si>
    <t>Product Values</t>
  </si>
  <si>
    <r>
      <t>Ca</t>
    </r>
    <r>
      <rPr>
        <vertAlign val="subscript"/>
        <sz val="10"/>
        <rFont val="MS Sans Serif"/>
        <family val="2"/>
      </rPr>
      <t>p</t>
    </r>
  </si>
  <si>
    <r>
      <t>Alk</t>
    </r>
    <r>
      <rPr>
        <vertAlign val="subscript"/>
        <sz val="10"/>
        <rFont val="MS Sans Serif"/>
        <family val="2"/>
      </rPr>
      <t>p</t>
    </r>
  </si>
  <si>
    <r>
      <t>TDS</t>
    </r>
    <r>
      <rPr>
        <vertAlign val="subscript"/>
        <sz val="10"/>
        <rFont val="MS Sans Serif"/>
        <family val="2"/>
      </rPr>
      <t>p</t>
    </r>
  </si>
  <si>
    <r>
      <t>CO</t>
    </r>
    <r>
      <rPr>
        <vertAlign val="subscript"/>
        <sz val="10"/>
        <rFont val="MS Sans Serif"/>
        <family val="2"/>
      </rPr>
      <t>2c</t>
    </r>
  </si>
  <si>
    <r>
      <t>CO</t>
    </r>
    <r>
      <rPr>
        <vertAlign val="subscript"/>
        <sz val="10"/>
        <rFont val="MS Sans Serif"/>
        <family val="2"/>
      </rPr>
      <t>2p</t>
    </r>
  </si>
  <si>
    <t>Calculated from alkalinity &amp; pH</t>
  </si>
  <si>
    <r>
      <t>pH</t>
    </r>
    <r>
      <rPr>
        <vertAlign val="subscript"/>
        <sz val="10"/>
        <rFont val="MS Sans Serif"/>
        <family val="2"/>
      </rPr>
      <t>f</t>
    </r>
  </si>
  <si>
    <r>
      <t>pCa</t>
    </r>
    <r>
      <rPr>
        <vertAlign val="subscript"/>
        <sz val="10"/>
        <rFont val="MS Sans Serif"/>
        <family val="2"/>
      </rPr>
      <t>c</t>
    </r>
  </si>
  <si>
    <r>
      <t>pAlk</t>
    </r>
    <r>
      <rPr>
        <vertAlign val="subscript"/>
        <sz val="10"/>
        <rFont val="MS Sans Serif"/>
        <family val="2"/>
      </rPr>
      <t>c</t>
    </r>
  </si>
  <si>
    <r>
      <t>pCa</t>
    </r>
    <r>
      <rPr>
        <vertAlign val="subscript"/>
        <sz val="10"/>
        <rFont val="MS Sans Serif"/>
        <family val="2"/>
      </rPr>
      <t>p</t>
    </r>
  </si>
  <si>
    <r>
      <t>pAlk</t>
    </r>
    <r>
      <rPr>
        <vertAlign val="subscript"/>
        <sz val="10"/>
        <rFont val="MS Sans Serif"/>
        <family val="2"/>
      </rPr>
      <t>p</t>
    </r>
  </si>
  <si>
    <t>H2SO4</t>
  </si>
  <si>
    <t>HCl</t>
  </si>
  <si>
    <t>"C"</t>
  </si>
  <si>
    <t>SW30-8040</t>
  </si>
  <si>
    <t>FilmTec</t>
  </si>
  <si>
    <t>Membrane Manufacturer</t>
  </si>
  <si>
    <t>Model #</t>
  </si>
  <si>
    <t>BW30-400</t>
  </si>
  <si>
    <t>Hydranautics</t>
  </si>
  <si>
    <t>8040LHYCPA2</t>
  </si>
  <si>
    <t xml:space="preserve">DuPont </t>
  </si>
  <si>
    <t>6880T B-10 Twin</t>
  </si>
  <si>
    <t>Koch/Fluid Systems</t>
  </si>
  <si>
    <t>NF</t>
  </si>
  <si>
    <t>Type</t>
  </si>
  <si>
    <t>TFC-S4 (4920 S)</t>
  </si>
  <si>
    <t>Membrane Diameter (cm)</t>
  </si>
  <si>
    <t>Date last checked:</t>
  </si>
  <si>
    <t>Area per module (m2)</t>
  </si>
  <si>
    <t>Temperature (oC)</t>
  </si>
  <si>
    <r>
      <t>Operating pressure, P</t>
    </r>
    <r>
      <rPr>
        <sz val="10"/>
        <rFont val="Arial"/>
        <family val="2"/>
      </rPr>
      <t>app (kPa)</t>
    </r>
  </si>
  <si>
    <t>Productivity (m3/day)</t>
  </si>
  <si>
    <t>TFC-SR2 8" (8723 SR2-400)</t>
  </si>
  <si>
    <t>Typical Seawater Data Set</t>
  </si>
  <si>
    <t>Number of Skids (manual input)</t>
  </si>
  <si>
    <t>Number of Skids (automatic calc)</t>
  </si>
  <si>
    <r>
      <t>pH</t>
    </r>
    <r>
      <rPr>
        <vertAlign val="subscript"/>
        <sz val="10"/>
        <rFont val="MS Sans Serif"/>
        <family val="2"/>
      </rPr>
      <t>s</t>
    </r>
  </si>
  <si>
    <t>TDS (mg/L)</t>
  </si>
  <si>
    <t>Temperature °C</t>
  </si>
  <si>
    <t>R2 = 0.987</t>
  </si>
  <si>
    <t>R2 = 0.9923</t>
  </si>
  <si>
    <t>R2 = 0.9785</t>
  </si>
  <si>
    <t>R2 = 0.9811</t>
  </si>
  <si>
    <t>R2 = 0.9854</t>
  </si>
  <si>
    <t>R2 = 0.9862</t>
  </si>
  <si>
    <t>R2 = 0.9882</t>
  </si>
  <si>
    <t>x = TDS in mg/L</t>
  </si>
  <si>
    <t>A</t>
  </si>
  <si>
    <t>B</t>
  </si>
  <si>
    <t>C (x) = A Ln (x) +B</t>
  </si>
  <si>
    <t>R2 = 0.9983</t>
  </si>
  <si>
    <t>Calculated Values</t>
  </si>
  <si>
    <t>Producer Price Index</t>
  </si>
  <si>
    <r>
      <t>Series Id:  </t>
    </r>
    <r>
      <rPr>
        <sz val="10"/>
        <color indexed="8"/>
        <rFont val="Courier New"/>
        <family val="3"/>
      </rPr>
      <t>WPU117</t>
    </r>
  </si>
  <si>
    <t>Not Seasonally Adjusted</t>
  </si>
  <si>
    <r>
      <t>Group:      </t>
    </r>
    <r>
      <rPr>
        <sz val="10"/>
        <color indexed="8"/>
        <rFont val="Courier New"/>
        <family val="3"/>
      </rPr>
      <t>Machinery and equipment</t>
    </r>
  </si>
  <si>
    <r>
      <t>Item:       </t>
    </r>
    <r>
      <rPr>
        <sz val="10"/>
        <color indexed="8"/>
        <rFont val="Courier New"/>
        <family val="3"/>
      </rPr>
      <t>Electrical machinery and equipment</t>
    </r>
  </si>
  <si>
    <r>
      <t>Base Date:  </t>
    </r>
    <r>
      <rPr>
        <sz val="10"/>
        <color indexed="8"/>
        <rFont val="Courier New"/>
        <family val="3"/>
      </rPr>
      <t>8200</t>
    </r>
  </si>
  <si>
    <t>Jan</t>
  </si>
  <si>
    <t>Feb</t>
  </si>
  <si>
    <t>Mar</t>
  </si>
  <si>
    <t>Apr</t>
  </si>
  <si>
    <t>May</t>
  </si>
  <si>
    <t>Jun</t>
  </si>
  <si>
    <t>Jul</t>
  </si>
  <si>
    <t>Aug</t>
  </si>
  <si>
    <t>Sep</t>
  </si>
  <si>
    <t>Oct</t>
  </si>
  <si>
    <t>Nov</t>
  </si>
  <si>
    <t>Dec</t>
  </si>
  <si>
    <t>Annual</t>
  </si>
  <si>
    <t>114.1(P)</t>
  </si>
  <si>
    <t>113.9(P)</t>
  </si>
  <si>
    <t>114.5(P)</t>
  </si>
  <si>
    <t>114.6(P)</t>
  </si>
  <si>
    <r>
      <t>Series Id:  </t>
    </r>
    <r>
      <rPr>
        <sz val="10"/>
        <color indexed="8"/>
        <rFont val="Courier New"/>
        <family val="3"/>
      </rPr>
      <t>WPU1017</t>
    </r>
  </si>
  <si>
    <r>
      <t>Group:      </t>
    </r>
    <r>
      <rPr>
        <sz val="10"/>
        <color indexed="8"/>
        <rFont val="Courier New"/>
        <family val="3"/>
      </rPr>
      <t>Metals and metal products</t>
    </r>
  </si>
  <si>
    <r>
      <t>Item:       </t>
    </r>
    <r>
      <rPr>
        <sz val="10"/>
        <color indexed="8"/>
        <rFont val="Courier New"/>
        <family val="3"/>
      </rPr>
      <t>Steel mill products</t>
    </r>
  </si>
  <si>
    <t>120.8(P)</t>
  </si>
  <si>
    <t>126.9(P)</t>
  </si>
  <si>
    <t>135.4(P)</t>
  </si>
  <si>
    <t>142.8(P)</t>
  </si>
  <si>
    <t>P : Preliminary. All indexes are subject to revision four months after original publication.</t>
  </si>
  <si>
    <t>http://www.bls.gov/ppi/home.htm#data</t>
  </si>
  <si>
    <t>PPI Page =&gt; "Get Detailed PPI Statistics" =&gt; "Create Customized Tables" =&gt; "Commodity Data"</t>
  </si>
  <si>
    <r>
      <t>Series Id:  </t>
    </r>
    <r>
      <rPr>
        <sz val="10"/>
        <color indexed="8"/>
        <rFont val="Courier New"/>
        <family val="3"/>
      </rPr>
      <t>WPS114901</t>
    </r>
  </si>
  <si>
    <t>Seasonally Adjusted</t>
  </si>
  <si>
    <r>
      <t>Item:       </t>
    </r>
    <r>
      <rPr>
        <sz val="10"/>
        <color indexed="8"/>
        <rFont val="Courier New"/>
        <family val="3"/>
      </rPr>
      <t>Valves and fittings</t>
    </r>
  </si>
  <si>
    <r>
      <t>Series Id:  </t>
    </r>
    <r>
      <rPr>
        <sz val="10"/>
        <color indexed="8"/>
        <rFont val="Courier New"/>
        <family val="3"/>
      </rPr>
      <t>WPU114901</t>
    </r>
  </si>
  <si>
    <r>
      <t>Series Id:  </t>
    </r>
    <r>
      <rPr>
        <sz val="10"/>
        <color indexed="8"/>
        <rFont val="Courier New"/>
        <family val="3"/>
      </rPr>
      <t>WPS117</t>
    </r>
  </si>
  <si>
    <r>
      <t>Series Id:  </t>
    </r>
    <r>
      <rPr>
        <sz val="10"/>
        <color indexed="8"/>
        <rFont val="Courier New"/>
        <family val="3"/>
      </rPr>
      <t>WPS132</t>
    </r>
  </si>
  <si>
    <r>
      <t>Group:      </t>
    </r>
    <r>
      <rPr>
        <sz val="10"/>
        <color indexed="8"/>
        <rFont val="Courier New"/>
        <family val="3"/>
      </rPr>
      <t>Nonmetallic mineral products</t>
    </r>
  </si>
  <si>
    <r>
      <t>Item:       </t>
    </r>
    <r>
      <rPr>
        <sz val="10"/>
        <color indexed="8"/>
        <rFont val="Courier New"/>
        <family val="3"/>
      </rPr>
      <t>Concrete ingredients and related products</t>
    </r>
  </si>
  <si>
    <t>166.9(P)</t>
  </si>
  <si>
    <t>167.2(P)</t>
  </si>
  <si>
    <t>167.8(P)</t>
  </si>
  <si>
    <t>168.8(P)</t>
  </si>
  <si>
    <r>
      <t>Series Id:  </t>
    </r>
    <r>
      <rPr>
        <sz val="10"/>
        <color indexed="8"/>
        <rFont val="Courier New"/>
        <family val="3"/>
      </rPr>
      <t>WPU132</t>
    </r>
  </si>
  <si>
    <t>166.7(P)</t>
  </si>
  <si>
    <t>168.3(P)</t>
  </si>
  <si>
    <t>169.5(P)</t>
  </si>
  <si>
    <r>
      <t>Series Id:  </t>
    </r>
    <r>
      <rPr>
        <sz val="10"/>
        <color indexed="8"/>
        <rFont val="Courier New"/>
        <family val="3"/>
      </rPr>
      <t>WPS1013</t>
    </r>
  </si>
  <si>
    <r>
      <t>Base Date:  </t>
    </r>
    <r>
      <rPr>
        <sz val="10"/>
        <color indexed="8"/>
        <rFont val="Courier New"/>
        <family val="3"/>
      </rPr>
      <t>6700</t>
    </r>
  </si>
  <si>
    <r>
      <t>Series Id:  </t>
    </r>
    <r>
      <rPr>
        <sz val="10"/>
        <color indexed="8"/>
        <rFont val="Courier New"/>
        <family val="3"/>
      </rPr>
      <t>WPU1013</t>
    </r>
  </si>
  <si>
    <t>Material</t>
  </si>
  <si>
    <t>UV</t>
  </si>
  <si>
    <t>Double Wall Fiberglass Tanks</t>
  </si>
  <si>
    <t>Required Tank Capacity</t>
  </si>
  <si>
    <t>liters</t>
  </si>
  <si>
    <r>
      <t xml:space="preserve">Nov 2000 </t>
    </r>
    <r>
      <rPr>
        <b/>
        <sz val="10"/>
        <rFont val="Arial"/>
        <family val="2"/>
      </rPr>
      <t>Construction Cost</t>
    </r>
  </si>
  <si>
    <t>Equipment</t>
  </si>
  <si>
    <r>
      <t>Construction Cost</t>
    </r>
    <r>
      <rPr>
        <sz val="10"/>
        <rFont val="Arial"/>
        <family val="2"/>
      </rPr>
      <t xml:space="preserve"> Equations (From http://www.get-a-quote.net)</t>
    </r>
  </si>
  <si>
    <t>gallons</t>
  </si>
  <si>
    <t>http://data.bls.gov/labjava/outside.jsp?survey=wp</t>
  </si>
  <si>
    <t>October 1978 Index used in EPA Manual</t>
  </si>
  <si>
    <t>ENR June 2000 (1913 basis)</t>
  </si>
  <si>
    <t>BLS October 1978 (1982 Basis)</t>
  </si>
  <si>
    <t>BLS October 1978 (1967 Basis)</t>
  </si>
  <si>
    <t>122.1(P)</t>
  </si>
  <si>
    <t>127.8(P)</t>
  </si>
  <si>
    <t>135.9(P)</t>
  </si>
  <si>
    <t>143.2(P)</t>
  </si>
  <si>
    <t>ENR October 1978 (1967 basis)</t>
  </si>
  <si>
    <t>"C" Values dependent on Temperature and TDS in mg/L from figure 2 in ASTM D 3739</t>
  </si>
  <si>
    <r>
      <t>LSI</t>
    </r>
    <r>
      <rPr>
        <vertAlign val="subscript"/>
        <sz val="10"/>
        <rFont val="MS Sans Serif"/>
        <family val="2"/>
      </rPr>
      <t>c</t>
    </r>
  </si>
  <si>
    <r>
      <t>LSI</t>
    </r>
    <r>
      <rPr>
        <vertAlign val="subscript"/>
        <sz val="10"/>
        <rFont val="MS Sans Serif"/>
        <family val="2"/>
      </rPr>
      <t>p</t>
    </r>
  </si>
  <si>
    <t>pHf</t>
  </si>
  <si>
    <t>Brackish 1</t>
  </si>
  <si>
    <t>Brackish 2</t>
  </si>
  <si>
    <t>Brackish 3</t>
  </si>
  <si>
    <t>Hi Brackish</t>
  </si>
  <si>
    <t>Municipal</t>
  </si>
  <si>
    <r>
      <t>LSI</t>
    </r>
    <r>
      <rPr>
        <vertAlign val="subscript"/>
        <sz val="10"/>
        <rFont val="MS Sans Serif"/>
        <family val="2"/>
      </rPr>
      <t>f</t>
    </r>
  </si>
  <si>
    <t>Energy cost for Concentrate outfall</t>
  </si>
  <si>
    <t>Evap Ponds</t>
  </si>
  <si>
    <t>Deep Well injection</t>
  </si>
  <si>
    <r>
      <t>"C"</t>
    </r>
    <r>
      <rPr>
        <vertAlign val="subscript"/>
        <sz val="10"/>
        <rFont val="Arial"/>
        <family val="2"/>
      </rPr>
      <t>acid</t>
    </r>
  </si>
  <si>
    <r>
      <t>LSI</t>
    </r>
    <r>
      <rPr>
        <vertAlign val="subscript"/>
        <sz val="10"/>
        <rFont val="Arial"/>
        <family val="2"/>
      </rPr>
      <t>c</t>
    </r>
  </si>
  <si>
    <r>
      <t>LSI</t>
    </r>
    <r>
      <rPr>
        <vertAlign val="subscript"/>
        <sz val="10"/>
        <rFont val="Arial"/>
        <family val="2"/>
      </rPr>
      <t>f</t>
    </r>
  </si>
  <si>
    <t>w/Acid</t>
  </si>
  <si>
    <r>
      <t>CO</t>
    </r>
    <r>
      <rPr>
        <vertAlign val="subscript"/>
        <sz val="10"/>
        <rFont val="MS Sans Serif"/>
        <family val="2"/>
      </rPr>
      <t>2f</t>
    </r>
  </si>
  <si>
    <r>
      <t>pCa</t>
    </r>
    <r>
      <rPr>
        <vertAlign val="subscript"/>
        <sz val="10"/>
        <rFont val="MS Sans Serif"/>
        <family val="2"/>
      </rPr>
      <t>f</t>
    </r>
  </si>
  <si>
    <t>Air Stripping</t>
  </si>
  <si>
    <t>Pre-Treatment</t>
  </si>
  <si>
    <t>NF/RO Feed</t>
  </si>
  <si>
    <t>Media feed</t>
  </si>
  <si>
    <t>Media Feed</t>
  </si>
  <si>
    <t>Chemical Feed Systems (Main Process)</t>
  </si>
  <si>
    <r>
      <t>Ca</t>
    </r>
    <r>
      <rPr>
        <vertAlign val="superscript"/>
        <sz val="10"/>
        <rFont val="Arial"/>
        <family val="2"/>
      </rPr>
      <t>+2</t>
    </r>
    <r>
      <rPr>
        <sz val="10"/>
        <rFont val="Arial"/>
        <family val="2"/>
      </rPr>
      <t xml:space="preserve"> mg/L as CaCO</t>
    </r>
    <r>
      <rPr>
        <vertAlign val="subscript"/>
        <sz val="10"/>
        <rFont val="Arial"/>
        <family val="2"/>
      </rPr>
      <t>3</t>
    </r>
  </si>
  <si>
    <r>
      <t>Alk</t>
    </r>
    <r>
      <rPr>
        <vertAlign val="subscript"/>
        <sz val="10"/>
        <rFont val="Arial"/>
        <family val="2"/>
      </rPr>
      <t xml:space="preserve">f </t>
    </r>
    <r>
      <rPr>
        <sz val="10"/>
        <rFont val="Arial"/>
        <family val="2"/>
      </rPr>
      <t>mg/L as CaCO</t>
    </r>
    <r>
      <rPr>
        <vertAlign val="subscript"/>
        <sz val="10"/>
        <rFont val="Arial"/>
        <family val="2"/>
      </rPr>
      <t>3</t>
    </r>
  </si>
  <si>
    <r>
      <t>CO</t>
    </r>
    <r>
      <rPr>
        <vertAlign val="subscript"/>
        <sz val="10"/>
        <rFont val="Arial"/>
        <family val="2"/>
      </rPr>
      <t>2</t>
    </r>
    <r>
      <rPr>
        <sz val="10"/>
        <rFont val="Arial"/>
        <family val="2"/>
      </rPr>
      <t xml:space="preserve"> mg/L as CO</t>
    </r>
    <r>
      <rPr>
        <vertAlign val="subscript"/>
        <sz val="10"/>
        <rFont val="Arial"/>
        <family val="2"/>
      </rPr>
      <t>2</t>
    </r>
  </si>
  <si>
    <t>pAlkf</t>
  </si>
  <si>
    <t>Guess mg/L</t>
  </si>
  <si>
    <t>Contact time :</t>
  </si>
  <si>
    <t>Average Equivalent Weight</t>
  </si>
  <si>
    <t>Total Equiv/L</t>
  </si>
  <si>
    <t>Average Equivalent Weight:</t>
  </si>
  <si>
    <t>Total Dissolved Solids (TDS)</t>
  </si>
  <si>
    <t>Total Suspended Solids (TSS)</t>
  </si>
  <si>
    <t>Average Molecular Weight</t>
  </si>
  <si>
    <t>Total Ionic Strength</t>
  </si>
  <si>
    <t>Ratio Cation/Anion</t>
  </si>
  <si>
    <t>Equiv./Liter (w/Valence &gt;+1)</t>
  </si>
  <si>
    <t>Total Equiv/L (Valence &gt;+1)</t>
  </si>
  <si>
    <t>Moles/Liter (w/Valence &gt;+1)</t>
  </si>
  <si>
    <t>Total Moles/L (Valence &gt;+1)</t>
  </si>
  <si>
    <t>Total Moles/L</t>
  </si>
  <si>
    <t>Total TDS</t>
  </si>
  <si>
    <t>moles/L</t>
  </si>
  <si>
    <t>pOH</t>
  </si>
  <si>
    <t>Flow Rate:</t>
  </si>
  <si>
    <t>Ozone level required (typically 1-5 mg/L)</t>
  </si>
  <si>
    <r>
      <t>Note:</t>
    </r>
    <r>
      <rPr>
        <sz val="10"/>
        <rFont val="Arial"/>
        <family val="2"/>
      </rPr>
      <t xml:space="preserve"> Ozone requirements (ozone demand) are based on water quality analysis outside of this program</t>
    </r>
  </si>
  <si>
    <t>Guess mg/L Acid</t>
  </si>
  <si>
    <r>
      <t>Alk</t>
    </r>
    <r>
      <rPr>
        <vertAlign val="subscript"/>
        <sz val="10"/>
        <rFont val="Arial"/>
        <family val="2"/>
      </rPr>
      <t>stab</t>
    </r>
  </si>
  <si>
    <r>
      <t>CO</t>
    </r>
    <r>
      <rPr>
        <vertAlign val="subscript"/>
        <sz val="10"/>
        <rFont val="Arial"/>
        <family val="2"/>
      </rPr>
      <t>2 stab</t>
    </r>
  </si>
  <si>
    <r>
      <t>"C"</t>
    </r>
    <r>
      <rPr>
        <vertAlign val="subscript"/>
        <sz val="10"/>
        <rFont val="Arial"/>
        <family val="2"/>
      </rPr>
      <t>stab</t>
    </r>
  </si>
  <si>
    <r>
      <t>Ca</t>
    </r>
    <r>
      <rPr>
        <vertAlign val="subscript"/>
        <sz val="10"/>
        <rFont val="Arial"/>
        <family val="2"/>
      </rPr>
      <t xml:space="preserve"> stab</t>
    </r>
  </si>
  <si>
    <t>Stiff and Davis Saturation Index</t>
  </si>
  <si>
    <r>
      <t>H</t>
    </r>
    <r>
      <rPr>
        <vertAlign val="superscript"/>
        <sz val="10"/>
        <rFont val="Arial"/>
        <family val="2"/>
      </rPr>
      <t>+</t>
    </r>
  </si>
  <si>
    <t>Major Ions mg/L</t>
  </si>
  <si>
    <r>
      <t>Ca</t>
    </r>
    <r>
      <rPr>
        <vertAlign val="subscript"/>
        <sz val="10"/>
        <rFont val="Arial"/>
        <family val="2"/>
      </rPr>
      <t>c</t>
    </r>
    <r>
      <rPr>
        <sz val="10"/>
        <rFont val="Arial"/>
        <family val="2"/>
      </rPr>
      <t>=</t>
    </r>
  </si>
  <si>
    <r>
      <t>Alk</t>
    </r>
    <r>
      <rPr>
        <vertAlign val="subscript"/>
        <sz val="10"/>
        <rFont val="Arial"/>
        <family val="2"/>
      </rPr>
      <t>c</t>
    </r>
    <r>
      <rPr>
        <sz val="10"/>
        <rFont val="Arial"/>
        <family val="2"/>
      </rPr>
      <t>=</t>
    </r>
  </si>
  <si>
    <r>
      <t>Ionic Strength</t>
    </r>
    <r>
      <rPr>
        <vertAlign val="subscript"/>
        <sz val="10"/>
        <rFont val="Arial"/>
        <family val="2"/>
      </rPr>
      <t>f</t>
    </r>
    <r>
      <rPr>
        <sz val="10"/>
        <rFont val="Arial"/>
        <family val="2"/>
      </rPr>
      <t xml:space="preserve"> =</t>
    </r>
  </si>
  <si>
    <r>
      <t>Ionic Strength</t>
    </r>
    <r>
      <rPr>
        <vertAlign val="subscript"/>
        <sz val="10"/>
        <rFont val="Arial"/>
        <family val="2"/>
      </rPr>
      <t>c</t>
    </r>
    <r>
      <rPr>
        <sz val="10"/>
        <rFont val="Arial"/>
        <family val="2"/>
      </rPr>
      <t xml:space="preserve"> =</t>
    </r>
  </si>
  <si>
    <r>
      <t>pH</t>
    </r>
    <r>
      <rPr>
        <vertAlign val="subscript"/>
        <sz val="10"/>
        <rFont val="Arial"/>
        <family val="2"/>
      </rPr>
      <t>s</t>
    </r>
    <r>
      <rPr>
        <sz val="10"/>
        <rFont val="Arial"/>
        <family val="2"/>
      </rPr>
      <t xml:space="preserve"> =</t>
    </r>
  </si>
  <si>
    <t>K</t>
  </si>
  <si>
    <t>Temp</t>
  </si>
  <si>
    <t>x3</t>
  </si>
  <si>
    <t>x2</t>
  </si>
  <si>
    <t>x</t>
  </si>
  <si>
    <t>r2</t>
  </si>
  <si>
    <r>
      <t>$/yd</t>
    </r>
    <r>
      <rPr>
        <vertAlign val="superscript"/>
        <sz val="10"/>
        <rFont val="Arial"/>
        <family val="2"/>
      </rPr>
      <t>3</t>
    </r>
    <r>
      <rPr>
        <sz val="10"/>
        <rFont val="Arial"/>
        <family val="2"/>
      </rPr>
      <t xml:space="preserve"> Greensand</t>
    </r>
  </si>
  <si>
    <t>Sand/Greensand/Coal</t>
  </si>
  <si>
    <t>Coal/GreenSand/Coal</t>
  </si>
  <si>
    <t>3 - 300 HP</t>
  </si>
  <si>
    <t>3 - 500 HP</t>
  </si>
  <si>
    <r>
      <t>pH vs Alk/CO</t>
    </r>
    <r>
      <rPr>
        <vertAlign val="subscript"/>
        <sz val="10"/>
        <rFont val="MS Sans Serif"/>
        <family val="2"/>
      </rPr>
      <t>2</t>
    </r>
  </si>
  <si>
    <t>Fig 3 D 4582 1998 Annual Book of ASTM Standards Volume 11.02 Water (II)</t>
  </si>
  <si>
    <t>pH of Water</t>
  </si>
  <si>
    <r>
      <t>MO Alk/CO</t>
    </r>
    <r>
      <rPr>
        <vertAlign val="subscript"/>
        <sz val="10"/>
        <rFont val="MS Sans Serif"/>
        <family val="2"/>
      </rPr>
      <t>2</t>
    </r>
  </si>
  <si>
    <r>
      <t>Expressed as mg/L CaCO</t>
    </r>
    <r>
      <rPr>
        <vertAlign val="subscript"/>
        <sz val="10"/>
        <rFont val="MS Sans Serif"/>
        <family val="2"/>
      </rPr>
      <t>3</t>
    </r>
    <r>
      <rPr>
        <sz val="10"/>
        <rFont val="MS Sans Serif"/>
        <family val="0"/>
      </rPr>
      <t>/mg/L CO</t>
    </r>
    <r>
      <rPr>
        <vertAlign val="subscript"/>
        <sz val="10"/>
        <rFont val="MS Sans Serif"/>
        <family val="2"/>
      </rPr>
      <t>2</t>
    </r>
  </si>
  <si>
    <r>
      <t>pH=0.423 Ln(Alk/CO</t>
    </r>
    <r>
      <rPr>
        <vertAlign val="subscript"/>
        <sz val="10"/>
        <rFont val="MS Sans Serif"/>
        <family val="2"/>
      </rPr>
      <t>2</t>
    </r>
    <r>
      <rPr>
        <sz val="10"/>
        <rFont val="MS Sans Serif"/>
        <family val="0"/>
      </rPr>
      <t>) + 6.3022</t>
    </r>
  </si>
  <si>
    <r>
      <t>Guess mg H</t>
    </r>
    <r>
      <rPr>
        <vertAlign val="subscript"/>
        <sz val="10"/>
        <rFont val="Arial"/>
        <family val="2"/>
      </rPr>
      <t>2</t>
    </r>
    <r>
      <rPr>
        <sz val="10"/>
        <rFont val="Arial"/>
        <family val="2"/>
      </rPr>
      <t>SO</t>
    </r>
    <r>
      <rPr>
        <vertAlign val="subscript"/>
        <sz val="10"/>
        <rFont val="Arial"/>
        <family val="2"/>
      </rPr>
      <t>4</t>
    </r>
    <r>
      <rPr>
        <sz val="10"/>
        <rFont val="Arial"/>
        <family val="2"/>
      </rPr>
      <t xml:space="preserve"> </t>
    </r>
  </si>
  <si>
    <r>
      <t xml:space="preserve">Alk </t>
    </r>
    <r>
      <rPr>
        <vertAlign val="subscript"/>
        <sz val="10"/>
        <rFont val="Arial"/>
        <family val="2"/>
      </rPr>
      <t>acid</t>
    </r>
  </si>
  <si>
    <r>
      <t>CO</t>
    </r>
    <r>
      <rPr>
        <vertAlign val="subscript"/>
        <sz val="10"/>
        <rFont val="Arial"/>
        <family val="2"/>
      </rPr>
      <t>2 acid</t>
    </r>
  </si>
  <si>
    <r>
      <t>Alk</t>
    </r>
    <r>
      <rPr>
        <vertAlign val="subscript"/>
        <sz val="10"/>
        <rFont val="Arial"/>
        <family val="2"/>
      </rPr>
      <t>c acid</t>
    </r>
  </si>
  <si>
    <r>
      <t>pH</t>
    </r>
    <r>
      <rPr>
        <vertAlign val="subscript"/>
        <sz val="10"/>
        <rFont val="Arial"/>
        <family val="2"/>
      </rPr>
      <t>f acid</t>
    </r>
  </si>
  <si>
    <t>Guess mg HCl</t>
  </si>
  <si>
    <t>SO4</t>
  </si>
  <si>
    <t>HCO3</t>
  </si>
  <si>
    <t>Na</t>
  </si>
  <si>
    <t>TDS Concentrate</t>
  </si>
  <si>
    <r>
      <t>Alk</t>
    </r>
    <r>
      <rPr>
        <vertAlign val="subscript"/>
        <sz val="10"/>
        <rFont val="Arial"/>
        <family val="2"/>
      </rPr>
      <t>f</t>
    </r>
    <r>
      <rPr>
        <sz val="10"/>
        <rFont val="Arial"/>
        <family val="2"/>
      </rPr>
      <t>/CO</t>
    </r>
    <r>
      <rPr>
        <vertAlign val="subscript"/>
        <sz val="10"/>
        <rFont val="Arial"/>
        <family val="2"/>
      </rPr>
      <t>2</t>
    </r>
  </si>
  <si>
    <t>pCa</t>
  </si>
  <si>
    <t>pAlk</t>
  </si>
  <si>
    <t>8040 HSY SWC</t>
  </si>
  <si>
    <t>American Water Chemicals $/500 lb.:</t>
  </si>
  <si>
    <t>per ton, tanks</t>
  </si>
  <si>
    <t>NF &amp; RO Conditioning</t>
  </si>
  <si>
    <r>
      <t>pH</t>
    </r>
    <r>
      <rPr>
        <vertAlign val="subscript"/>
        <sz val="10"/>
        <rFont val="Arial"/>
        <family val="2"/>
      </rPr>
      <t>c</t>
    </r>
    <r>
      <rPr>
        <sz val="10"/>
        <rFont val="Arial"/>
        <family val="2"/>
      </rPr>
      <t xml:space="preserve"> =</t>
    </r>
  </si>
  <si>
    <r>
      <t>S&amp;DSI</t>
    </r>
    <r>
      <rPr>
        <vertAlign val="subscript"/>
        <sz val="10"/>
        <rFont val="Arial"/>
        <family val="2"/>
      </rPr>
      <t>c</t>
    </r>
  </si>
  <si>
    <t>Membrane</t>
  </si>
  <si>
    <t>$ each</t>
  </si>
  <si>
    <t>Backwash Flow</t>
  </si>
  <si>
    <t>L/hr</t>
  </si>
  <si>
    <t xml:space="preserve">Media </t>
  </si>
  <si>
    <t>Estimating Construction Costs for NF90 Membrane Treatment Plant</t>
  </si>
  <si>
    <t>K =</t>
  </si>
  <si>
    <r>
      <t>(.0016*T+.5528)I</t>
    </r>
    <r>
      <rPr>
        <vertAlign val="superscript"/>
        <sz val="10"/>
        <rFont val="MS Sans Serif"/>
        <family val="2"/>
      </rPr>
      <t>3</t>
    </r>
    <r>
      <rPr>
        <sz val="10"/>
        <rFont val="MS Sans Serif"/>
        <family val="0"/>
      </rPr>
      <t>+(.0002T^2-.0142T-2.2695)*I</t>
    </r>
    <r>
      <rPr>
        <vertAlign val="superscript"/>
        <sz val="10"/>
        <rFont val="MS Sans Serif"/>
        <family val="2"/>
      </rPr>
      <t>2</t>
    </r>
    <r>
      <rPr>
        <sz val="10"/>
        <rFont val="MS Sans Serif"/>
        <family val="2"/>
      </rPr>
      <t>+(-.0004T^2+.0266T+2.9072)I+(-.0206T+2.598)</t>
    </r>
  </si>
  <si>
    <t>T</t>
  </si>
  <si>
    <t>I</t>
  </si>
  <si>
    <t>Curve Fits: x = ionic strength</t>
  </si>
  <si>
    <t>Curve fit: T = Temperature, I = Ionic Strength</t>
  </si>
  <si>
    <r>
      <t>Alk</t>
    </r>
    <r>
      <rPr>
        <vertAlign val="subscript"/>
        <sz val="10"/>
        <rFont val="Arial"/>
        <family val="2"/>
      </rPr>
      <t>c</t>
    </r>
    <r>
      <rPr>
        <sz val="10"/>
        <rFont val="Arial"/>
        <family val="2"/>
      </rPr>
      <t>/CO</t>
    </r>
    <r>
      <rPr>
        <vertAlign val="subscript"/>
        <sz val="10"/>
        <rFont val="Arial"/>
        <family val="2"/>
      </rPr>
      <t>2</t>
    </r>
  </si>
  <si>
    <t>Maintanace Materials</t>
  </si>
  <si>
    <t>Purity</t>
  </si>
  <si>
    <t>Microfiltration / Ultrafiltration</t>
  </si>
  <si>
    <t>AWWA Membrane Conference Proceedings, 2001</t>
  </si>
  <si>
    <t>$ = a*x^b</t>
  </si>
  <si>
    <r>
      <t xml:space="preserve">2001 </t>
    </r>
    <r>
      <rPr>
        <b/>
        <sz val="10"/>
        <rFont val="Arial"/>
        <family val="2"/>
      </rPr>
      <t>Construction Cost</t>
    </r>
  </si>
  <si>
    <t>PolyElectrolyte Cost $/yr:</t>
  </si>
  <si>
    <t>AntiScalant Cost $/yr:</t>
  </si>
  <si>
    <t>KMnO4 Cost $/yr:</t>
  </si>
  <si>
    <t>Alternative dose rate (mg/L)</t>
  </si>
  <si>
    <t>Basis Ammonia kg/day:</t>
  </si>
  <si>
    <t>Energy</t>
  </si>
  <si>
    <t>Materials</t>
  </si>
  <si>
    <t>Default Free Chlorine Level (mg/L)</t>
  </si>
  <si>
    <r>
      <t>m</t>
    </r>
    <r>
      <rPr>
        <vertAlign val="superscript"/>
        <sz val="10"/>
        <rFont val="Arial"/>
        <family val="2"/>
      </rPr>
      <t>3</t>
    </r>
    <r>
      <rPr>
        <sz val="10"/>
        <rFont val="Arial"/>
        <family val="2"/>
      </rPr>
      <t>/day</t>
    </r>
  </si>
  <si>
    <t>Water Usage (totally dissolved)</t>
  </si>
  <si>
    <t>Free Chlorine Level (mg/L)</t>
  </si>
  <si>
    <t>g/L</t>
  </si>
  <si>
    <t>Density</t>
  </si>
  <si>
    <t>mL/L</t>
  </si>
  <si>
    <t>Dose Rate by volume</t>
  </si>
  <si>
    <r>
      <t>Calc Dose 96% H</t>
    </r>
    <r>
      <rPr>
        <vertAlign val="subscript"/>
        <sz val="10"/>
        <rFont val="Arial"/>
        <family val="2"/>
      </rPr>
      <t>2</t>
    </r>
    <r>
      <rPr>
        <sz val="10"/>
        <rFont val="Arial"/>
        <family val="2"/>
      </rPr>
      <t>SO</t>
    </r>
    <r>
      <rPr>
        <vertAlign val="subscript"/>
        <sz val="10"/>
        <rFont val="Arial"/>
        <family val="2"/>
      </rPr>
      <t xml:space="preserve">4 </t>
    </r>
    <r>
      <rPr>
        <sz val="10"/>
        <rFont val="Arial"/>
        <family val="2"/>
      </rPr>
      <t>(mg/L)</t>
    </r>
  </si>
  <si>
    <t>Calc Dose 37% HCl (mg/L)</t>
  </si>
  <si>
    <t>Calculated Dose:</t>
  </si>
  <si>
    <t>Alternative Dose:</t>
  </si>
  <si>
    <t>Dose by mass</t>
  </si>
  <si>
    <t>Dose by volume</t>
  </si>
  <si>
    <t>Production TDS (target)</t>
  </si>
  <si>
    <t>Percent of Mono-valent ions</t>
  </si>
  <si>
    <t>Percent of Multi-valent ions</t>
  </si>
  <si>
    <t>Average Daily Flow</t>
  </si>
  <si>
    <t>Production Capacity</t>
  </si>
  <si>
    <t>Average Daily Flow (for O&amp;M)</t>
  </si>
  <si>
    <t>Peak Daily Flow (for capital)</t>
  </si>
  <si>
    <t>gal/year</t>
  </si>
  <si>
    <t>kgal/year</t>
  </si>
  <si>
    <r>
      <t>m</t>
    </r>
    <r>
      <rPr>
        <b/>
        <vertAlign val="superscript"/>
        <sz val="10"/>
        <rFont val="Arial"/>
        <family val="2"/>
      </rPr>
      <t>3</t>
    </r>
    <r>
      <rPr>
        <b/>
        <sz val="10"/>
        <rFont val="Arial"/>
        <family val="2"/>
      </rPr>
      <t>/year</t>
    </r>
  </si>
  <si>
    <r>
      <t>m</t>
    </r>
    <r>
      <rPr>
        <vertAlign val="superscript"/>
        <sz val="10"/>
        <rFont val="Arial"/>
        <family val="2"/>
      </rPr>
      <t>3</t>
    </r>
    <r>
      <rPr>
        <sz val="10"/>
        <rFont val="Arial"/>
        <family val="2"/>
      </rPr>
      <t>/year</t>
    </r>
  </si>
  <si>
    <t>Calculated dose rate (mg/L)</t>
  </si>
  <si>
    <r>
      <t>aqueous at 24% SO</t>
    </r>
    <r>
      <rPr>
        <vertAlign val="subscript"/>
        <sz val="10"/>
        <rFont val="Arial"/>
        <family val="2"/>
      </rPr>
      <t>2</t>
    </r>
  </si>
  <si>
    <t>Sulfur dioxide</t>
  </si>
  <si>
    <t>liquified gas in pressureized containers</t>
  </si>
  <si>
    <r>
      <t>Na</t>
    </r>
    <r>
      <rPr>
        <vertAlign val="subscript"/>
        <sz val="10"/>
        <rFont val="Arial"/>
        <family val="2"/>
      </rPr>
      <t>2</t>
    </r>
    <r>
      <rPr>
        <sz val="10"/>
        <rFont val="MS Sans Serif"/>
        <family val="0"/>
      </rPr>
      <t>SO</t>
    </r>
    <r>
      <rPr>
        <vertAlign val="subscript"/>
        <sz val="10"/>
        <rFont val="Arial"/>
        <family val="2"/>
      </rPr>
      <t>3</t>
    </r>
  </si>
  <si>
    <r>
      <t>SO</t>
    </r>
    <r>
      <rPr>
        <vertAlign val="subscript"/>
        <sz val="10"/>
        <rFont val="Arial"/>
        <family val="2"/>
      </rPr>
      <t>2</t>
    </r>
    <r>
      <rPr>
        <sz val="10"/>
        <rFont val="MS Sans Serif"/>
        <family val="0"/>
      </rPr>
      <t xml:space="preserve"> + HClO + H</t>
    </r>
    <r>
      <rPr>
        <vertAlign val="subscript"/>
        <sz val="10"/>
        <rFont val="Arial"/>
        <family val="2"/>
      </rPr>
      <t>2</t>
    </r>
    <r>
      <rPr>
        <sz val="10"/>
        <rFont val="MS Sans Serif"/>
        <family val="0"/>
      </rPr>
      <t>O -&gt; H</t>
    </r>
    <r>
      <rPr>
        <vertAlign val="subscript"/>
        <sz val="10"/>
        <rFont val="Arial"/>
        <family val="2"/>
      </rPr>
      <t>2</t>
    </r>
    <r>
      <rPr>
        <sz val="10"/>
        <rFont val="MS Sans Serif"/>
        <family val="0"/>
      </rPr>
      <t>SO</t>
    </r>
    <r>
      <rPr>
        <vertAlign val="subscript"/>
        <sz val="10"/>
        <rFont val="Arial"/>
        <family val="2"/>
      </rPr>
      <t>4</t>
    </r>
    <r>
      <rPr>
        <sz val="10"/>
        <rFont val="Arial"/>
        <family val="2"/>
      </rPr>
      <t xml:space="preserve"> + HCl </t>
    </r>
  </si>
  <si>
    <r>
      <t>NaHSO</t>
    </r>
    <r>
      <rPr>
        <vertAlign val="subscript"/>
        <sz val="10"/>
        <rFont val="Arial"/>
        <family val="2"/>
      </rPr>
      <t>3</t>
    </r>
    <r>
      <rPr>
        <sz val="10"/>
        <rFont val="MS Sans Serif"/>
        <family val="0"/>
      </rPr>
      <t xml:space="preserve"> + HClO -&gt; NaCl + H</t>
    </r>
    <r>
      <rPr>
        <vertAlign val="subscript"/>
        <sz val="10"/>
        <rFont val="Arial"/>
        <family val="2"/>
      </rPr>
      <t>2</t>
    </r>
    <r>
      <rPr>
        <sz val="10"/>
        <rFont val="MS Sans Serif"/>
        <family val="0"/>
      </rPr>
      <t>SO</t>
    </r>
    <r>
      <rPr>
        <vertAlign val="subscript"/>
        <sz val="10"/>
        <rFont val="Arial"/>
        <family val="2"/>
      </rPr>
      <t>4</t>
    </r>
  </si>
  <si>
    <r>
      <t>H</t>
    </r>
    <r>
      <rPr>
        <vertAlign val="subscript"/>
        <sz val="10"/>
        <rFont val="Arial"/>
        <family val="2"/>
      </rPr>
      <t>2</t>
    </r>
    <r>
      <rPr>
        <sz val="10"/>
        <rFont val="MS Sans Serif"/>
        <family val="0"/>
      </rPr>
      <t>SO</t>
    </r>
    <r>
      <rPr>
        <vertAlign val="subscript"/>
        <sz val="10"/>
        <rFont val="Arial"/>
        <family val="2"/>
      </rPr>
      <t>3</t>
    </r>
    <r>
      <rPr>
        <sz val="10"/>
        <rFont val="MS Sans Serif"/>
        <family val="0"/>
      </rPr>
      <t xml:space="preserve"> + NH</t>
    </r>
    <r>
      <rPr>
        <vertAlign val="subscript"/>
        <sz val="10"/>
        <rFont val="Arial"/>
        <family val="2"/>
      </rPr>
      <t>2</t>
    </r>
    <r>
      <rPr>
        <sz val="10"/>
        <rFont val="MS Sans Serif"/>
        <family val="0"/>
      </rPr>
      <t>Cl + H</t>
    </r>
    <r>
      <rPr>
        <vertAlign val="subscript"/>
        <sz val="10"/>
        <rFont val="Arial"/>
        <family val="2"/>
      </rPr>
      <t>2</t>
    </r>
    <r>
      <rPr>
        <sz val="10"/>
        <rFont val="MS Sans Serif"/>
        <family val="0"/>
      </rPr>
      <t>O -&gt; NH</t>
    </r>
    <r>
      <rPr>
        <vertAlign val="subscript"/>
        <sz val="10"/>
        <rFont val="Arial"/>
        <family val="2"/>
      </rPr>
      <t>4</t>
    </r>
    <r>
      <rPr>
        <sz val="10"/>
        <rFont val="MS Sans Serif"/>
        <family val="0"/>
      </rPr>
      <t>Cl + H</t>
    </r>
    <r>
      <rPr>
        <vertAlign val="subscript"/>
        <sz val="10"/>
        <rFont val="Arial"/>
        <family val="2"/>
      </rPr>
      <t>2</t>
    </r>
    <r>
      <rPr>
        <sz val="10"/>
        <rFont val="MS Sans Serif"/>
        <family val="0"/>
      </rPr>
      <t>SO</t>
    </r>
    <r>
      <rPr>
        <vertAlign val="subscript"/>
        <sz val="10"/>
        <rFont val="Arial"/>
        <family val="2"/>
      </rPr>
      <t>4</t>
    </r>
  </si>
  <si>
    <t>1:1 Molar Ratio</t>
  </si>
  <si>
    <t>MM</t>
  </si>
  <si>
    <t>Ferric Chloride</t>
  </si>
  <si>
    <t>5 - 150</t>
  </si>
  <si>
    <t>Membrane Type</t>
  </si>
  <si>
    <t>Recovery</t>
  </si>
  <si>
    <t>NaCl Rejection</t>
  </si>
  <si>
    <t>Blending? (Y or N)</t>
  </si>
  <si>
    <t>Retention Time (min)</t>
  </si>
  <si>
    <t>Flow rate</t>
  </si>
  <si>
    <t>L/sec</t>
  </si>
  <si>
    <t>gal/min</t>
  </si>
  <si>
    <t>Alternative Flow Rate:</t>
  </si>
  <si>
    <t>Cation Resin Volume:</t>
  </si>
  <si>
    <t>Anion Resin Volume</t>
  </si>
  <si>
    <t>To Remove Cation Equivalents/L:</t>
  </si>
  <si>
    <t>Lower limit</t>
  </si>
  <si>
    <t>Acid addition H2SO4</t>
  </si>
  <si>
    <t>assumptions</t>
  </si>
  <si>
    <t xml:space="preserve">Paremeter </t>
  </si>
  <si>
    <t>assuming H2SO4 limits and not HCL</t>
  </si>
  <si>
    <t>units</t>
  </si>
  <si>
    <t>b/w pump</t>
  </si>
  <si>
    <t>gravity filter</t>
  </si>
  <si>
    <t>high pressure pump</t>
  </si>
  <si>
    <t>transfer pump</t>
  </si>
  <si>
    <t>product water pump</t>
  </si>
  <si>
    <t>To Remove Anion Equivalents /L:</t>
  </si>
  <si>
    <t>Based on Lime dose:</t>
  </si>
  <si>
    <t>Based on Soda Ash:</t>
  </si>
  <si>
    <t>Recovery per Stage</t>
  </si>
  <si>
    <t>Pipe Diameter:</t>
  </si>
  <si>
    <r>
      <t>m</t>
    </r>
    <r>
      <rPr>
        <vertAlign val="superscript"/>
        <sz val="10"/>
        <rFont val="Arial"/>
        <family val="2"/>
      </rPr>
      <t>3</t>
    </r>
    <r>
      <rPr>
        <sz val="10"/>
        <rFont val="Arial"/>
        <family val="2"/>
      </rPr>
      <t>/s</t>
    </r>
  </si>
  <si>
    <t>Number of pumps:</t>
  </si>
  <si>
    <t>Full flow rate:</t>
  </si>
  <si>
    <t>Basis flow rate</t>
  </si>
  <si>
    <t>CSS</t>
  </si>
  <si>
    <t>Discharge pressure:</t>
  </si>
  <si>
    <t>HP</t>
  </si>
  <si>
    <t>Pump Efficiency:</t>
  </si>
  <si>
    <t>Motor Efficiency:</t>
  </si>
  <si>
    <t>Power consumption:</t>
  </si>
  <si>
    <t>Power Cost $/year</t>
  </si>
  <si>
    <t>kWhr</t>
  </si>
  <si>
    <t>Lubrication ($/L oil)</t>
  </si>
  <si>
    <r>
      <t>Cooling water ($/m</t>
    </r>
    <r>
      <rPr>
        <vertAlign val="superscript"/>
        <sz val="10"/>
        <rFont val="Arial"/>
        <family val="2"/>
      </rPr>
      <t>3</t>
    </r>
    <r>
      <rPr>
        <sz val="10"/>
        <rFont val="Arial"/>
        <family val="2"/>
      </rPr>
      <t xml:space="preserve"> water)</t>
    </r>
  </si>
  <si>
    <t>Maintenance (hr/Hp)</t>
  </si>
  <si>
    <t>Single Stage Tubine</t>
  </si>
  <si>
    <t>assuming from qasim</t>
  </si>
  <si>
    <r>
      <t>Limits</t>
    </r>
    <r>
      <rPr>
        <sz val="10"/>
        <rFont val="Arial"/>
        <family val="2"/>
      </rPr>
      <t xml:space="preserve"> (From EPA-600/2-79-162b, figure 30-32)</t>
    </r>
  </si>
  <si>
    <r>
      <t>Limits</t>
    </r>
    <r>
      <rPr>
        <sz val="10"/>
        <rFont val="Arial"/>
        <family val="2"/>
      </rPr>
      <t xml:space="preserve"> (From EPA-600/2-79-162b, figure 39-41)</t>
    </r>
  </si>
  <si>
    <r>
      <t>Calculated Cl</t>
    </r>
    <r>
      <rPr>
        <vertAlign val="subscript"/>
        <sz val="10"/>
        <rFont val="Arial"/>
        <family val="2"/>
      </rPr>
      <t>2</t>
    </r>
    <r>
      <rPr>
        <sz val="10"/>
        <rFont val="Arial"/>
        <family val="2"/>
      </rPr>
      <t xml:space="preserve"> Dose</t>
    </r>
  </si>
  <si>
    <r>
      <t>Alternative Cl</t>
    </r>
    <r>
      <rPr>
        <vertAlign val="subscript"/>
        <sz val="10"/>
        <rFont val="Arial"/>
        <family val="2"/>
      </rPr>
      <t>2</t>
    </r>
    <r>
      <rPr>
        <sz val="10"/>
        <rFont val="Arial"/>
        <family val="2"/>
      </rPr>
      <t xml:space="preserve"> Dose</t>
    </r>
  </si>
  <si>
    <r>
      <t>Basis Cl</t>
    </r>
    <r>
      <rPr>
        <vertAlign val="subscript"/>
        <sz val="10"/>
        <rFont val="Arial"/>
        <family val="2"/>
      </rPr>
      <t>2</t>
    </r>
    <r>
      <rPr>
        <sz val="10"/>
        <rFont val="Arial"/>
        <family val="2"/>
      </rPr>
      <t xml:space="preserve"> Dose</t>
    </r>
  </si>
  <si>
    <r>
      <t>Cl</t>
    </r>
    <r>
      <rPr>
        <vertAlign val="subscript"/>
        <sz val="10"/>
        <rFont val="Arial"/>
        <family val="2"/>
      </rPr>
      <t>2</t>
    </r>
    <r>
      <rPr>
        <sz val="10"/>
        <rFont val="Arial"/>
        <family val="2"/>
      </rPr>
      <t xml:space="preserve"> Cost $/ton:</t>
    </r>
  </si>
  <si>
    <r>
      <t>Desired NH</t>
    </r>
    <r>
      <rPr>
        <vertAlign val="subscript"/>
        <sz val="10"/>
        <rFont val="Arial"/>
        <family val="2"/>
      </rPr>
      <t>2</t>
    </r>
    <r>
      <rPr>
        <sz val="10"/>
        <rFont val="Arial"/>
        <family val="2"/>
      </rPr>
      <t>Cl Residual</t>
    </r>
  </si>
  <si>
    <r>
      <t>Cl</t>
    </r>
    <r>
      <rPr>
        <vertAlign val="subscript"/>
        <sz val="10"/>
        <rFont val="Arial"/>
        <family val="2"/>
      </rPr>
      <t>2</t>
    </r>
    <r>
      <rPr>
        <sz val="10"/>
        <rFont val="Arial"/>
        <family val="2"/>
      </rPr>
      <t xml:space="preserve"> needed/L:</t>
    </r>
  </si>
  <si>
    <t>= future work and problems that need to be fixed</t>
  </si>
  <si>
    <r>
      <t>Limits</t>
    </r>
    <r>
      <rPr>
        <sz val="10"/>
        <rFont val="Arial"/>
        <family val="2"/>
      </rPr>
      <t xml:space="preserve"> (From EPA-600/2-79-162b, figure 16-18)</t>
    </r>
  </si>
  <si>
    <t>assuming ferrics sulfate and not ferrous chloride limits</t>
  </si>
  <si>
    <t>Antiscalent Polymer</t>
  </si>
  <si>
    <r>
      <t>Limits</t>
    </r>
    <r>
      <rPr>
        <sz val="10"/>
        <rFont val="Arial"/>
        <family val="2"/>
      </rPr>
      <t xml:space="preserve"> (From EPA-600/2-79-162b, figure 1-3)</t>
    </r>
  </si>
  <si>
    <r>
      <t>Limits</t>
    </r>
    <r>
      <rPr>
        <sz val="10"/>
        <rFont val="Arial"/>
        <family val="2"/>
      </rPr>
      <t xml:space="preserve"> (From EPA-600/2-79-162b, figure 11-13)</t>
    </r>
  </si>
  <si>
    <r>
      <t>Limits</t>
    </r>
    <r>
      <rPr>
        <sz val="10"/>
        <rFont val="Arial"/>
        <family val="2"/>
      </rPr>
      <t xml:space="preserve"> (From EPA-600/2-79-162b, figure 21-23)</t>
    </r>
  </si>
  <si>
    <r>
      <t>Limits</t>
    </r>
    <r>
      <rPr>
        <sz val="10"/>
        <rFont val="Arial"/>
        <family val="2"/>
      </rPr>
      <t xml:space="preserve"> (From EPA-600/2-79-162b, figure 24-26)</t>
    </r>
  </si>
  <si>
    <r>
      <t>Limits</t>
    </r>
    <r>
      <rPr>
        <sz val="10"/>
        <rFont val="Arial"/>
        <family val="2"/>
      </rPr>
      <t xml:space="preserve"> (From EPA-600/2-79-162b, figure 42-44)</t>
    </r>
  </si>
  <si>
    <r>
      <t>Limits</t>
    </r>
    <r>
      <rPr>
        <sz val="10"/>
        <rFont val="Arial"/>
        <family val="2"/>
      </rPr>
      <t xml:space="preserve"> (From EPA-600/2-79-162b, figure 27-29)</t>
    </r>
  </si>
  <si>
    <t xml:space="preserve">not in epa </t>
  </si>
  <si>
    <r>
      <t>Limits</t>
    </r>
    <r>
      <rPr>
        <sz val="10"/>
        <rFont val="Arial"/>
        <family val="2"/>
      </rPr>
      <t xml:space="preserve"> (From EPA-600/2-79-162b, figure 67-69)</t>
    </r>
  </si>
  <si>
    <t>What is relationship of BW pump to filter area for min and max calcs</t>
  </si>
  <si>
    <t>wrong calculation/referece in table</t>
  </si>
  <si>
    <t>Variable Speed Turbine</t>
  </si>
  <si>
    <t>Centrifugal, Singe Stage</t>
  </si>
  <si>
    <t>Operating Cost Depend on Number and Horsepower only.</t>
  </si>
  <si>
    <t>Residual;</t>
  </si>
  <si>
    <t>Residual:</t>
  </si>
  <si>
    <t>Desalination</t>
  </si>
  <si>
    <t>Reverse Osmosis/Nanofiltration</t>
  </si>
  <si>
    <t>Disinfection</t>
  </si>
  <si>
    <t>Misc. Equipment</t>
  </si>
  <si>
    <t>Clearwell</t>
  </si>
  <si>
    <t>Number of Stages (1 or 2)</t>
  </si>
  <si>
    <t>Second Stage</t>
  </si>
  <si>
    <t>Acidification</t>
  </si>
  <si>
    <t>Chlorination</t>
  </si>
  <si>
    <t>Calculated Dose Rate:</t>
  </si>
  <si>
    <t>Alternative Dose Rate:</t>
  </si>
  <si>
    <t>Calculated Chlorine Dose:</t>
  </si>
  <si>
    <t>Outfall</t>
  </si>
  <si>
    <t>Concentrate Disposal</t>
  </si>
  <si>
    <t>Intake</t>
  </si>
  <si>
    <t>Relationship between ORP &amp; Dose, see Membrane Manual 29</t>
  </si>
  <si>
    <t>Change to reflect more accurate costs</t>
  </si>
  <si>
    <t>Look in M41</t>
  </si>
  <si>
    <t>This sheet originally from Ellen</t>
  </si>
  <si>
    <t>Ionics Formulas for USBR Pricing of an EDR System</t>
  </si>
  <si>
    <t>hp calc may change if hp calc changes for RO sheet</t>
  </si>
  <si>
    <r>
      <t>pH</t>
    </r>
    <r>
      <rPr>
        <vertAlign val="subscript"/>
        <sz val="10"/>
        <rFont val="Arial"/>
        <family val="2"/>
      </rPr>
      <t>p stab</t>
    </r>
    <r>
      <rPr>
        <sz val="10"/>
        <rFont val="Arial"/>
        <family val="2"/>
      </rPr>
      <t xml:space="preserve"> (actual pH after chem. addition)</t>
    </r>
  </si>
  <si>
    <t xml:space="preserve"> PMB 161, Suite 6, 1812 Marsh Road, Wilmington, DE 19910-4528</t>
  </si>
  <si>
    <t xml:space="preserve">(302) 477-0420, Fax: (302) 477-0242, E- Mail:imoch@aol.com </t>
  </si>
  <si>
    <t>I. Moch &amp; Assoc., Inc.</t>
  </si>
  <si>
    <r>
      <t xml:space="preserve">Electricity Cost ($/kWHr) </t>
    </r>
    <r>
      <rPr>
        <vertAlign val="superscript"/>
        <sz val="10"/>
        <rFont val="Arial"/>
        <family val="2"/>
      </rPr>
      <t>3</t>
    </r>
  </si>
  <si>
    <t>Project title, date, list of worksheets in WaTER</t>
  </si>
  <si>
    <t>Production Capacity and water data report</t>
  </si>
  <si>
    <t>Process information input and cost output</t>
  </si>
  <si>
    <t>Cost indices, interest rates, amortization</t>
  </si>
  <si>
    <t>Water quality input</t>
  </si>
  <si>
    <t>Input of membrane and system parameters</t>
  </si>
  <si>
    <t>Cost and energy output</t>
  </si>
  <si>
    <t>Recarbonation basin</t>
  </si>
  <si>
    <t xml:space="preserve">WaTER or "Water Treatment Estimation Routine" is a model for estimating the cost of drinking water treatment.  WaTER is the MS Excel program that is the basis for the Visual Basic program called "WTCost".  WaTER was developed by the U.S. Bureau of Reclamation (USBR) "Water Treatment Engineering and Research Group".  WaTER is updated on a semi continuous basis (adding new treatment techniques, modifying costs, etc.).  WaTER can be downloaded at: </t>
  </si>
  <si>
    <t>http://www.usbr.gov/pmts/water/awtr.html</t>
  </si>
  <si>
    <r>
      <t>pH</t>
    </r>
    <r>
      <rPr>
        <vertAlign val="subscript"/>
        <sz val="10"/>
        <rFont val="Arial"/>
        <family val="2"/>
      </rPr>
      <t>s</t>
    </r>
    <r>
      <rPr>
        <sz val="10"/>
        <rFont val="Arial"/>
        <family val="2"/>
      </rPr>
      <t xml:space="preserve"> (theoretical pH of stabilized water)</t>
    </r>
  </si>
  <si>
    <t>Could change this to a goal seek equation</t>
  </si>
  <si>
    <t>Source: ASTM Method for S&amp;DSI</t>
  </si>
  <si>
    <t>k (m/s) for laminar flow in flat channel</t>
  </si>
  <si>
    <t>Reynolds Number</t>
  </si>
  <si>
    <t>= reference</t>
  </si>
  <si>
    <t>WT Cost Software Comments</t>
  </si>
  <si>
    <t>Alternative Chlorine Dose</t>
  </si>
  <si>
    <t>Alternative Ammonia Dose</t>
  </si>
  <si>
    <t>Calculated Ammonia Dose:</t>
  </si>
  <si>
    <t>Ozone</t>
  </si>
  <si>
    <t>Dose Rate (~5mg/L):</t>
  </si>
  <si>
    <t>Contact Time (~2 min):</t>
  </si>
  <si>
    <t>Membrane Area:</t>
  </si>
  <si>
    <t>Calculated Surface Area:</t>
  </si>
  <si>
    <t>Alternative Surface Area:</t>
  </si>
  <si>
    <t>Resin for desired Run Cycle:</t>
  </si>
  <si>
    <t>Time until exhaustion of min volume:</t>
  </si>
  <si>
    <r>
      <t>Nominal Resin Price $/m</t>
    </r>
    <r>
      <rPr>
        <vertAlign val="superscript"/>
        <sz val="10"/>
        <rFont val="Arial"/>
        <family val="2"/>
      </rPr>
      <t>3</t>
    </r>
  </si>
  <si>
    <t>Resin Cost:</t>
  </si>
  <si>
    <t>Regeneration (with NaCl)</t>
  </si>
  <si>
    <t>NaCl required:</t>
  </si>
  <si>
    <t>Flowrate</t>
  </si>
  <si>
    <t>The Desalting and Water Treatment membrane Manual: A Guide to Membranes for Municipal Water Treatment (2nd Edition), USBR, Water Treatment Technology Program, July 1998</t>
  </si>
  <si>
    <t>A and B</t>
  </si>
  <si>
    <t>Iterations neccessary for model convergence (pp 9.13 item 8, reference A)</t>
  </si>
  <si>
    <t>Mass of NaCl /vol of resin:</t>
  </si>
  <si>
    <r>
      <t>kg/m</t>
    </r>
    <r>
      <rPr>
        <vertAlign val="superscript"/>
        <sz val="10"/>
        <rFont val="Arial"/>
        <family val="2"/>
      </rPr>
      <t>3</t>
    </r>
  </si>
  <si>
    <t>Chemical concentration:</t>
  </si>
  <si>
    <t>Cation Equivalents/L Resin</t>
  </si>
  <si>
    <t>Anion Equivalents /L Resin</t>
  </si>
  <si>
    <t>Equiv/L , ANION</t>
  </si>
  <si>
    <r>
      <t>lb/ft</t>
    </r>
    <r>
      <rPr>
        <vertAlign val="superscript"/>
        <sz val="10"/>
        <rFont val="Arial"/>
        <family val="2"/>
      </rPr>
      <t>3</t>
    </r>
  </si>
  <si>
    <t>lb</t>
  </si>
  <si>
    <t>kgal</t>
  </si>
  <si>
    <t xml:space="preserve">(446 kPa/ 50 psig) </t>
  </si>
  <si>
    <t>b=</t>
  </si>
  <si>
    <t>m=</t>
  </si>
  <si>
    <t>log($) = b + m*log(m^3)</t>
  </si>
  <si>
    <t>Electrodialysis</t>
  </si>
  <si>
    <t>Component</t>
  </si>
  <si>
    <t>Units</t>
  </si>
  <si>
    <t>MCL (mg/L)</t>
  </si>
  <si>
    <t>Amount Over MCL</t>
  </si>
  <si>
    <t>Valence Charges</t>
  </si>
  <si>
    <t>Molecular Wt.</t>
  </si>
  <si>
    <t>Equivalent Weight</t>
  </si>
  <si>
    <t>Moles/
Liter</t>
  </si>
  <si>
    <t>Equiv./
Liter</t>
  </si>
  <si>
    <t>Ionic Strength</t>
  </si>
  <si>
    <t>Aluminum</t>
  </si>
  <si>
    <t>mg/L</t>
  </si>
  <si>
    <t>Antimony</t>
  </si>
  <si>
    <t>Arsenic</t>
  </si>
  <si>
    <t>Barium</t>
  </si>
  <si>
    <t>Beryllium</t>
  </si>
  <si>
    <t>Cadmium</t>
  </si>
  <si>
    <t>Calcium</t>
  </si>
  <si>
    <t>---</t>
  </si>
  <si>
    <t>Chromium, total</t>
  </si>
  <si>
    <t>Copper</t>
  </si>
  <si>
    <t>Iron</t>
  </si>
  <si>
    <t>Lead</t>
  </si>
  <si>
    <t>Magnesium</t>
  </si>
  <si>
    <t>Manganese</t>
  </si>
  <si>
    <t>Mercury</t>
  </si>
  <si>
    <t>Nickel</t>
  </si>
  <si>
    <t>Zinc</t>
  </si>
  <si>
    <t>Strontium</t>
  </si>
  <si>
    <t>Selenium</t>
  </si>
  <si>
    <t>Potassium</t>
  </si>
  <si>
    <t>Silver</t>
  </si>
  <si>
    <t>Sodium</t>
  </si>
  <si>
    <t>Alkalinity-Bicarbonate</t>
  </si>
  <si>
    <t>Alkalinity-Carbonate</t>
  </si>
  <si>
    <t>Carbon Dioxide (aq)</t>
  </si>
  <si>
    <t>Chloride</t>
  </si>
  <si>
    <t>Conductivity</t>
  </si>
  <si>
    <t>Cyanide, free</t>
  </si>
  <si>
    <t>Fluoride</t>
  </si>
  <si>
    <t>Nitrate (as N)</t>
  </si>
  <si>
    <t>pH</t>
  </si>
  <si>
    <t>6.5-8.5</t>
  </si>
  <si>
    <t>o-Phosphate</t>
  </si>
  <si>
    <t>Solids (TDS)</t>
  </si>
  <si>
    <t>Sulfate</t>
  </si>
  <si>
    <t>Temperature</t>
  </si>
  <si>
    <t>Total Suspended Solids:</t>
  </si>
  <si>
    <t xml:space="preserve">Cations Equiv./L </t>
  </si>
  <si>
    <t>Average MW</t>
  </si>
  <si>
    <t>Anion Equiv/L</t>
  </si>
  <si>
    <t>Anions Equiv./L - HCO3 &amp; SO4</t>
  </si>
  <si>
    <t>activity coefficient</t>
  </si>
  <si>
    <t xml:space="preserve"> </t>
  </si>
  <si>
    <r>
      <t>Construction Cost</t>
    </r>
    <r>
      <rPr>
        <sz val="10"/>
        <rFont val="Arial"/>
        <family val="2"/>
      </rPr>
      <t xml:space="preserve"> Equations (From EPA-600/2-79-162b, figure 63)</t>
    </r>
  </si>
  <si>
    <r>
      <t xml:space="preserve">O&amp;M </t>
    </r>
    <r>
      <rPr>
        <sz val="10"/>
        <rFont val="Arial"/>
        <family val="2"/>
      </rPr>
      <t>Cost (From EPA-600/2-79-162b figure 63 &amp; 64)</t>
    </r>
  </si>
  <si>
    <t>CL2</t>
  </si>
  <si>
    <r>
      <t>Construction Cost</t>
    </r>
    <r>
      <rPr>
        <sz val="10"/>
        <rFont val="Arial"/>
        <family val="2"/>
      </rPr>
      <t xml:space="preserve"> Equations (From EPA-600/2-79-162b, figure 16)</t>
    </r>
  </si>
  <si>
    <t>O&amp;M cost (From EPA-600/2-79-162b, figure 19,20)</t>
  </si>
  <si>
    <t>O&amp;M cost (From EPA-600/2-79-162b, figure 17,18)</t>
  </si>
  <si>
    <t>Limits (From EPA-600/2-79-162b, figure 16)</t>
  </si>
  <si>
    <t>times per day</t>
  </si>
  <si>
    <t>1978 Costs</t>
  </si>
  <si>
    <t>Today's Costs</t>
  </si>
  <si>
    <t xml:space="preserve">I called Tim to find out what the difference was between the Construction Cost Index (CCI) listed in the EPA Manual “Estimating Water Treatment Costs” and the value for 1978 on ENR.com.  The CCI given in the EPA Manual is for October of 1978 and has a value of 265.38, the CCI listed in the ENR building cost index history for 1978 is 2776.  </t>
  </si>
  <si>
    <t>The value given in the EPA manual of 265.38 is a 1967 base-year value.  The current method of reporting CCI uses a 1913 base year (CCI 1913 = 100), which is were the 2776 comes from.  To convert from 1967 base year to 1913 base year, use the following formula:</t>
  </si>
  <si>
    <t>The CCI is occasionally reported in some issues of ENR as 1967 cost basis, but is reported monthly for the 1913 base year.  The 1967 value can be found in the March 22, 2004 issue of ENR.</t>
  </si>
  <si>
    <t>Labor (for operating the plant - approximation)</t>
  </si>
  <si>
    <t xml:space="preserve">WaTER </t>
  </si>
  <si>
    <t>Cost formulas, where did they come from, are they estimated from graphs or from qasim</t>
  </si>
  <si>
    <t>Osmotic Pressure kPa</t>
  </si>
  <si>
    <t>MGD</t>
  </si>
  <si>
    <t>g/equiv</t>
  </si>
  <si>
    <t>g/mol</t>
  </si>
  <si>
    <t>Cost Indices Categories:</t>
  </si>
  <si>
    <t>A) Excavation and Site Work</t>
  </si>
  <si>
    <t>B) Manufactured Equipment</t>
  </si>
  <si>
    <t>C) Concrete</t>
  </si>
  <si>
    <t>D) Steel</t>
  </si>
  <si>
    <t>F) Piping and Valves</t>
  </si>
  <si>
    <t>H) Housing</t>
  </si>
  <si>
    <t>Interest Rate</t>
  </si>
  <si>
    <t>Amortization time (yr)</t>
  </si>
  <si>
    <t>ENR - Engineering News Record Construction Cost Index published monthly by McGraw Hill in New York City (212-512-2000)</t>
  </si>
  <si>
    <t>Upflow Solids Contact Clarifier</t>
  </si>
  <si>
    <t>How Many?</t>
  </si>
  <si>
    <t>Construction Costs:</t>
  </si>
  <si>
    <t>Percent Recovery:</t>
  </si>
  <si>
    <t>Capital Cost:</t>
  </si>
  <si>
    <t>Operating Cost:</t>
  </si>
  <si>
    <t>kg/day</t>
  </si>
  <si>
    <t>lb/hr</t>
  </si>
  <si>
    <t>Rapid Sand</t>
  </si>
  <si>
    <t xml:space="preserve">Lime &amp; Soda Ash Feed </t>
  </si>
  <si>
    <t xml:space="preserve">Polymer Feed </t>
  </si>
  <si>
    <t>Permanganate Feed</t>
  </si>
  <si>
    <t>Polymer Feed</t>
  </si>
  <si>
    <r>
      <t xml:space="preserve">1978 </t>
    </r>
    <r>
      <rPr>
        <b/>
        <sz val="10"/>
        <rFont val="Arial"/>
        <family val="2"/>
      </rPr>
      <t>Operagting Costs:</t>
    </r>
  </si>
  <si>
    <t xml:space="preserve">Ferric Sulfate Feed </t>
  </si>
  <si>
    <t>Backwash Pumping Costs</t>
  </si>
  <si>
    <r>
      <t>This version last updated on:</t>
    </r>
    <r>
      <rPr>
        <b/>
        <sz val="12"/>
        <rFont val="Arial"/>
        <family val="2"/>
      </rPr>
      <t xml:space="preserve">  12/18/06</t>
    </r>
  </si>
  <si>
    <t xml:space="preserve">Gravity Filter Structure Costs </t>
  </si>
  <si>
    <t>Backwashing Pump</t>
  </si>
  <si>
    <t>Actual</t>
  </si>
  <si>
    <t>Lower Limit</t>
  </si>
  <si>
    <t>Applicable Range</t>
  </si>
  <si>
    <r>
      <t xml:space="preserve">1978 </t>
    </r>
    <r>
      <rPr>
        <b/>
        <sz val="10"/>
        <rFont val="Arial"/>
        <family val="2"/>
      </rPr>
      <t>Construction Cost</t>
    </r>
  </si>
  <si>
    <t>New 1978 Basis old number not used</t>
  </si>
  <si>
    <t>Polymer Feed - Yes I know - This is a place holder equiation.  I need to find out how these chemical injection systems differ from polymer.</t>
  </si>
  <si>
    <t>EPA</t>
  </si>
  <si>
    <t>Percent solution</t>
  </si>
  <si>
    <t>decimal</t>
  </si>
  <si>
    <r>
      <t>Source</t>
    </r>
    <r>
      <rPr>
        <sz val="10"/>
        <rFont val="Arial"/>
        <family val="0"/>
      </rPr>
      <t>: Qasim, et al, Aug. 1992, AWWA</t>
    </r>
  </si>
  <si>
    <t>Ozone Generation Costs</t>
  </si>
  <si>
    <t>Ozone Contact Chamber Costs</t>
  </si>
  <si>
    <r>
      <t>O&amp;M Costs</t>
    </r>
    <r>
      <rPr>
        <sz val="10"/>
        <rFont val="Arial"/>
        <family val="0"/>
      </rPr>
      <t>:  NONE</t>
    </r>
  </si>
  <si>
    <t>Anhydrous Ammonia Feed</t>
  </si>
  <si>
    <r>
      <t>Source</t>
    </r>
    <r>
      <rPr>
        <sz val="10"/>
        <rFont val="Arial"/>
        <family val="2"/>
      </rPr>
      <t>: Qasim, et al, Aug. 1992, AWWA</t>
    </r>
  </si>
  <si>
    <r>
      <t xml:space="preserve">Total </t>
    </r>
    <r>
      <rPr>
        <b/>
        <sz val="10"/>
        <rFont val="Arial"/>
        <family val="2"/>
      </rPr>
      <t>Construction Cost:</t>
    </r>
  </si>
  <si>
    <t>Regeneration/Backwashing Pump</t>
  </si>
  <si>
    <t>O&amp;M Cost Estimation</t>
  </si>
  <si>
    <t>Estimate O&amp;M Costs</t>
  </si>
  <si>
    <t>Last Revision Date</t>
  </si>
  <si>
    <t>First Stage</t>
  </si>
  <si>
    <t>Total</t>
  </si>
  <si>
    <t>First Stage O&amp;M Costs/ year</t>
  </si>
  <si>
    <t>Second Stage O&amp;M Costs/ year</t>
  </si>
  <si>
    <r>
      <t>Source</t>
    </r>
    <r>
      <rPr>
        <sz val="10"/>
        <rFont val="Arial"/>
        <family val="2"/>
      </rPr>
      <t>: "Pump Handbook" Karassik, Krutzsch, Fraser and Messina pg (9-66)</t>
    </r>
  </si>
  <si>
    <t>Total O&amp;M Cost</t>
  </si>
  <si>
    <t>Estimating O&amp;M Costs</t>
  </si>
  <si>
    <r>
      <t>General Form:  (A)*(X</t>
    </r>
    <r>
      <rPr>
        <vertAlign val="superscript"/>
        <sz val="10"/>
        <rFont val="Arial"/>
        <family val="0"/>
      </rPr>
      <t>B</t>
    </r>
    <r>
      <rPr>
        <sz val="10"/>
        <rFont val="Arial"/>
        <family val="0"/>
      </rPr>
      <t>) + C</t>
    </r>
  </si>
  <si>
    <r>
      <t>General Form: A*e</t>
    </r>
    <r>
      <rPr>
        <vertAlign val="superscript"/>
        <sz val="10"/>
        <rFont val="Arial"/>
        <family val="0"/>
      </rPr>
      <t>(B*X)</t>
    </r>
    <r>
      <rPr>
        <sz val="10"/>
        <rFont val="Arial"/>
        <family val="0"/>
      </rPr>
      <t xml:space="preserve"> + C</t>
    </r>
  </si>
  <si>
    <t>m3/hr.</t>
  </si>
  <si>
    <r>
      <t>m</t>
    </r>
    <r>
      <rPr>
        <vertAlign val="superscript"/>
        <sz val="10"/>
        <rFont val="Arial"/>
        <family val="2"/>
      </rPr>
      <t>3</t>
    </r>
    <r>
      <rPr>
        <sz val="10"/>
        <rFont val="Arial"/>
        <family val="0"/>
      </rPr>
      <t>/hr.</t>
    </r>
  </si>
  <si>
    <t>kg/hr.</t>
  </si>
  <si>
    <t>per 100 lbs</t>
  </si>
  <si>
    <t>Volume Treated</t>
  </si>
  <si>
    <t>Alternative dose rate</t>
  </si>
  <si>
    <t>Basis dose rate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</si>
</sst>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General_)"/>
    <numFmt numFmtId="167" formatCode="0.00_)"/>
    <numFmt numFmtId="168" formatCode="0.000_)"/>
    <numFmt numFmtId="169" formatCode="0.0_)"/>
    <numFmt numFmtId="170" formatCode="0.00E+00_)"/>
    <numFmt numFmtId="171" formatCode="0_)"/>
    <numFmt numFmtId="172" formatCode="0.00000"/>
    <numFmt numFmtId="173" formatCode="#,##0.0_);[Red]\(#,##0.0\)"/>
    <numFmt numFmtId="174" formatCode="0.0000"/>
    <numFmt numFmtId="175" formatCode="0.00E+00_);\(_-0.00E+00_)\);\ \ "/>
    <numFmt numFmtId="176" formatCode="0.00E+00_);0;_-_)"/>
    <numFmt numFmtId="177" formatCode="_(* #,##0_);_(* \(#,##0\);_(* &quot;-&quot;??_);_(@_)"/>
    <numFmt numFmtId="178" formatCode="_(&quot;$&quot;* #,##0_);_(&quot;$&quot;* \(#,##0\);_(&quot;$&quot;* &quot;-&quot;??_);_(@_)"/>
    <numFmt numFmtId="179" formatCode="_(&quot;$&quot;* #,##0.000_);_(&quot;$&quot;* \(#,##0.000\);_(&quot;$&quot;* &quot;-&quot;??_);_(@_)"/>
    <numFmt numFmtId="180" formatCode="_(* #,##0.0_);_(* \(#,##0.0\);_(* &quot;-&quot;??_);_(@_)"/>
    <numFmt numFmtId="181" formatCode="#,##0.0_);\(#,##0.0\)"/>
    <numFmt numFmtId="182" formatCode="&quot;$&quot;#,##0"/>
    <numFmt numFmtId="183" formatCode="mmmm\ d\,\ yyyy"/>
    <numFmt numFmtId="184" formatCode="0.00_);\(_-0.00_)\);\ \ "/>
    <numFmt numFmtId="185" formatCode="0.0%"/>
    <numFmt numFmtId="186" formatCode="\(#,##0.0_);\(\ \(#,##0.0\);_(* &quot;&quot;??_);_(@_)"/>
    <numFmt numFmtId="187" formatCode="0.00E+00;\Μ"/>
    <numFmt numFmtId="188" formatCode="0.00E+00;\ĝ"/>
    <numFmt numFmtId="189" formatCode="0.0000000000000"/>
    <numFmt numFmtId="190" formatCode="mm/dd/yy;@"/>
    <numFmt numFmtId="191" formatCode="#,##0.0"/>
    <numFmt numFmtId="192" formatCode="_(&quot;$&quot;* #,##0.0_);_(&quot;$&quot;* \(#,##0.0\);_(&quot;$&quot;* &quot;-&quot;_);_(@_)"/>
    <numFmt numFmtId="193" formatCode="_(&quot;$&quot;* #,##0.00_);_(&quot;$&quot;* \(#,##0.00\);_(&quot;$&quot;* &quot;-&quot;_);_(@_)"/>
    <numFmt numFmtId="194" formatCode="#,##0.000_);\(#,##0.000\)"/>
    <numFmt numFmtId="195" formatCode="#,##0.0000_);\(#,##0.0000\)"/>
    <numFmt numFmtId="196" formatCode="#,##0.0000"/>
    <numFmt numFmtId="197" formatCode="&quot;Yes&quot;;&quot;Yes&quot;;&quot;No&quot;"/>
    <numFmt numFmtId="198" formatCode="&quot;True&quot;;&quot;True&quot;;&quot;False&quot;"/>
    <numFmt numFmtId="199" formatCode="&quot;On&quot;;&quot;On&quot;;&quot;Off&quot;"/>
    <numFmt numFmtId="200" formatCode="[$€-2]\ #,##0.00_);[Red]\([$€-2]\ #,##0.00\)"/>
    <numFmt numFmtId="201" formatCode="yyyy"/>
    <numFmt numFmtId="202" formatCode="mmm\-yyyy"/>
    <numFmt numFmtId="203" formatCode="&quot;$&quot;#,##0.0_);[Red]\(&quot;$&quot;#,##0.0\)"/>
    <numFmt numFmtId="204" formatCode="&quot;$&quot;#,##0.000_);[Red]\(&quot;$&quot;#,##0.000\)"/>
    <numFmt numFmtId="205" formatCode="_(&quot;$&quot;* #,##0.000_);_(&quot;$&quot;* \(#,##0.000\);_(&quot;$&quot;* &quot;-&quot;???_);_(@_)"/>
    <numFmt numFmtId="206" formatCode="0.00000000"/>
    <numFmt numFmtId="207" formatCode="0.0000000"/>
    <numFmt numFmtId="208" formatCode="0.000000"/>
    <numFmt numFmtId="209" formatCode="&quot;$&quot;#,##0.00"/>
    <numFmt numFmtId="210" formatCode="_(&quot;$&quot;* #,##0.0_);_(&quot;$&quot;* \(#,##0.0\);_(&quot;$&quot;* &quot;-&quot;??_);_(@_)"/>
    <numFmt numFmtId="211" formatCode="_(&quot;$&quot;* #,##0.000_);_(&quot;$&quot;* \(#,##0.000\);_(&quot;$&quot;* &quot;-&quot;_);_(@_)"/>
  </numFmts>
  <fonts count="100">
    <font>
      <sz val="10"/>
      <name val="MS Sans Serif"/>
      <family val="0"/>
    </font>
    <font>
      <b/>
      <sz val="10"/>
      <name val="MS Sans Serif"/>
      <family val="0"/>
    </font>
    <font>
      <i/>
      <sz val="10"/>
      <name val="MS Sans Serif"/>
      <family val="0"/>
    </font>
    <font>
      <b/>
      <i/>
      <sz val="10"/>
      <name val="MS Sans Serif"/>
      <family val="0"/>
    </font>
    <font>
      <sz val="10"/>
      <name val="Helv"/>
      <family val="0"/>
    </font>
    <font>
      <sz val="10"/>
      <name val="Times New Roman"/>
      <family val="1"/>
    </font>
    <font>
      <vertAlign val="superscript"/>
      <sz val="10"/>
      <name val="MS Sans Serif"/>
      <family val="2"/>
    </font>
    <font>
      <sz val="10"/>
      <name val="Arial"/>
      <family val="0"/>
    </font>
    <font>
      <b/>
      <sz val="10"/>
      <name val="Arial"/>
      <family val="0"/>
    </font>
    <font>
      <vertAlign val="superscript"/>
      <sz val="10"/>
      <name val="Arial"/>
      <family val="2"/>
    </font>
    <font>
      <vertAlign val="subscript"/>
      <sz val="10"/>
      <name val="Arial"/>
      <family val="2"/>
    </font>
    <font>
      <sz val="8"/>
      <name val="Arial"/>
      <family val="2"/>
    </font>
    <font>
      <b/>
      <sz val="12"/>
      <name val="Arial"/>
      <family val="2"/>
    </font>
    <font>
      <sz val="12"/>
      <name val="Arial"/>
      <family val="2"/>
    </font>
    <font>
      <vertAlign val="subscript"/>
      <sz val="10"/>
      <name val="MS Sans Serif"/>
      <family val="2"/>
    </font>
    <font>
      <b/>
      <sz val="8"/>
      <name val="Arial"/>
      <family val="2"/>
    </font>
    <font>
      <b/>
      <vertAlign val="superscript"/>
      <sz val="8"/>
      <name val="Arial"/>
      <family val="2"/>
    </font>
    <font>
      <sz val="14.25"/>
      <name val="Arial"/>
      <family val="0"/>
    </font>
    <font>
      <b/>
      <vertAlign val="superscript"/>
      <sz val="10"/>
      <name val="Arial"/>
      <family val="2"/>
    </font>
    <font>
      <sz val="10"/>
      <color indexed="12"/>
      <name val="Arial"/>
      <family val="2"/>
    </font>
    <font>
      <vertAlign val="superscript"/>
      <sz val="12"/>
      <name val="Arial"/>
      <family val="2"/>
    </font>
    <font>
      <b/>
      <sz val="9"/>
      <name val="Arial"/>
      <family val="2"/>
    </font>
    <font>
      <sz val="9"/>
      <name val="Arial"/>
      <family val="2"/>
    </font>
    <font>
      <sz val="10"/>
      <color indexed="10"/>
      <name val="Arial"/>
      <family val="2"/>
    </font>
    <font>
      <sz val="10"/>
      <color indexed="33"/>
      <name val="Arial"/>
      <family val="2"/>
    </font>
    <font>
      <b/>
      <sz val="8"/>
      <name val="Tahoma"/>
      <family val="0"/>
    </font>
    <font>
      <b/>
      <sz val="16.5"/>
      <name val="Arial"/>
      <family val="2"/>
    </font>
    <font>
      <sz val="16"/>
      <name val="Arial"/>
      <family val="0"/>
    </font>
    <font>
      <sz val="11.75"/>
      <name val="Arial"/>
      <family val="2"/>
    </font>
    <font>
      <b/>
      <sz val="14"/>
      <name val="Arial"/>
      <family val="2"/>
    </font>
    <font>
      <sz val="14.5"/>
      <name val="Arial"/>
      <family val="0"/>
    </font>
    <font>
      <u val="single"/>
      <sz val="7.5"/>
      <color indexed="12"/>
      <name val="MS Sans Serif"/>
      <family val="0"/>
    </font>
    <font>
      <sz val="17.5"/>
      <name val="Arial"/>
      <family val="0"/>
    </font>
    <font>
      <b/>
      <vertAlign val="subscript"/>
      <sz val="10"/>
      <name val="Arial"/>
      <family val="2"/>
    </font>
    <font>
      <sz val="10.5"/>
      <name val="Arial"/>
      <family val="2"/>
    </font>
    <font>
      <sz val="15.5"/>
      <name val="Arial"/>
      <family val="0"/>
    </font>
    <font>
      <u val="single"/>
      <sz val="10"/>
      <color indexed="36"/>
      <name val="MS Sans Serif"/>
      <family val="0"/>
    </font>
    <font>
      <b/>
      <sz val="15.25"/>
      <name val="Arial"/>
      <family val="0"/>
    </font>
    <font>
      <b/>
      <sz val="14.5"/>
      <name val="Arial"/>
      <family val="0"/>
    </font>
    <font>
      <sz val="14.75"/>
      <name val="Arial"/>
      <family val="0"/>
    </font>
    <font>
      <sz val="8"/>
      <name val="MS Sans Serif"/>
      <family val="0"/>
    </font>
    <font>
      <b/>
      <u val="single"/>
      <sz val="14"/>
      <name val="Arial"/>
      <family val="2"/>
    </font>
    <font>
      <sz val="10"/>
      <color indexed="10"/>
      <name val="MS Sans Serif"/>
      <family val="0"/>
    </font>
    <font>
      <b/>
      <u val="single"/>
      <sz val="10"/>
      <name val="Arial"/>
      <family val="2"/>
    </font>
    <font>
      <b/>
      <u val="single"/>
      <sz val="12"/>
      <name val="Arial"/>
      <family val="2"/>
    </font>
    <font>
      <b/>
      <vertAlign val="superscript"/>
      <sz val="12"/>
      <name val="Arial"/>
      <family val="0"/>
    </font>
    <font>
      <sz val="10"/>
      <color indexed="17"/>
      <name val="MS Sans Serif"/>
      <family val="0"/>
    </font>
    <font>
      <sz val="10"/>
      <color indexed="17"/>
      <name val="Arial"/>
      <family val="0"/>
    </font>
    <font>
      <vertAlign val="subscript"/>
      <sz val="10"/>
      <color indexed="17"/>
      <name val="Arial"/>
      <family val="2"/>
    </font>
    <font>
      <b/>
      <u val="single"/>
      <sz val="13.5"/>
      <name val="Arial"/>
      <family val="2"/>
    </font>
    <font>
      <b/>
      <u val="single"/>
      <sz val="10"/>
      <name val="MS Sans Serif"/>
      <family val="2"/>
    </font>
    <font>
      <b/>
      <sz val="10"/>
      <color indexed="10"/>
      <name val="Arial"/>
      <family val="2"/>
    </font>
    <font>
      <u val="single"/>
      <sz val="10"/>
      <name val="Arial"/>
      <family val="2"/>
    </font>
    <font>
      <b/>
      <u val="single"/>
      <sz val="12"/>
      <name val="MS Sans Serif"/>
      <family val="2"/>
    </font>
    <font>
      <sz val="10"/>
      <color indexed="46"/>
      <name val="Arial"/>
      <family val="0"/>
    </font>
    <font>
      <b/>
      <sz val="10"/>
      <color indexed="46"/>
      <name val="Arial"/>
      <family val="2"/>
    </font>
    <font>
      <sz val="10"/>
      <color indexed="46"/>
      <name val="MS Sans Serif"/>
      <family val="0"/>
    </font>
    <font>
      <sz val="8"/>
      <name val="Tahoma"/>
      <family val="0"/>
    </font>
    <font>
      <i/>
      <sz val="8"/>
      <name val="Tahoma"/>
      <family val="2"/>
    </font>
    <font>
      <b/>
      <i/>
      <sz val="8"/>
      <name val="Tahoma"/>
      <family val="2"/>
    </font>
    <font>
      <b/>
      <vertAlign val="subscript"/>
      <sz val="10"/>
      <name val="MS Sans Serif"/>
      <family val="2"/>
    </font>
    <font>
      <b/>
      <u val="single"/>
      <sz val="14"/>
      <name val="MS Sans Serif"/>
      <family val="2"/>
    </font>
    <font>
      <vertAlign val="subscript"/>
      <sz val="8"/>
      <name val="Tahoma"/>
      <family val="2"/>
    </font>
    <font>
      <b/>
      <sz val="10"/>
      <color indexed="46"/>
      <name val="MS Sans Serif"/>
      <family val="2"/>
    </font>
    <font>
      <i/>
      <sz val="10"/>
      <name val="Arial"/>
      <family val="2"/>
    </font>
    <font>
      <u val="single"/>
      <sz val="10"/>
      <color indexed="12"/>
      <name val="MS Sans Serif"/>
      <family val="0"/>
    </font>
    <font>
      <b/>
      <sz val="12"/>
      <color indexed="9"/>
      <name val="Arial"/>
      <family val="2"/>
    </font>
    <font>
      <b/>
      <vertAlign val="subscript"/>
      <sz val="10"/>
      <color indexed="46"/>
      <name val="MS Sans Serif"/>
      <family val="2"/>
    </font>
    <font>
      <b/>
      <u val="single"/>
      <sz val="13.5"/>
      <color indexed="10"/>
      <name val="Arial"/>
      <family val="2"/>
    </font>
    <font>
      <u val="single"/>
      <sz val="10"/>
      <color indexed="12"/>
      <name val="Arial"/>
      <family val="2"/>
    </font>
    <font>
      <u val="single"/>
      <sz val="8"/>
      <name val="Arial"/>
      <family val="2"/>
    </font>
    <font>
      <sz val="6.5"/>
      <name val="Times New Roman"/>
      <family val="1"/>
    </font>
    <font>
      <sz val="12"/>
      <name val="Times New Roman"/>
      <family val="1"/>
    </font>
    <font>
      <sz val="10"/>
      <color indexed="8"/>
      <name val="Verdana"/>
      <family val="2"/>
    </font>
    <font>
      <sz val="10"/>
      <color indexed="8"/>
      <name val="Courier New"/>
      <family val="3"/>
    </font>
    <font>
      <b/>
      <sz val="10"/>
      <color indexed="8"/>
      <name val="Courier New"/>
      <family val="3"/>
    </font>
    <font>
      <b/>
      <sz val="10"/>
      <color indexed="26"/>
      <name val="Verdana"/>
      <family val="2"/>
    </font>
    <font>
      <b/>
      <sz val="10"/>
      <color indexed="10"/>
      <name val="Verdana"/>
      <family val="2"/>
    </font>
    <font>
      <sz val="9"/>
      <color indexed="8"/>
      <name val="Arial"/>
      <family val="2"/>
    </font>
    <font>
      <b/>
      <sz val="9"/>
      <color indexed="51"/>
      <name val="Arial"/>
      <family val="2"/>
    </font>
    <font>
      <b/>
      <sz val="9"/>
      <color indexed="63"/>
      <name val="Arial"/>
      <family val="2"/>
    </font>
    <font>
      <sz val="14"/>
      <name val="Arial"/>
      <family val="2"/>
    </font>
    <font>
      <sz val="5"/>
      <name val="Arial"/>
      <family val="0"/>
    </font>
    <font>
      <vertAlign val="superscript"/>
      <sz val="14"/>
      <name val="Arial"/>
      <family val="2"/>
    </font>
    <font>
      <b/>
      <sz val="24"/>
      <color indexed="18"/>
      <name val="Arial"/>
      <family val="2"/>
    </font>
    <font>
      <sz val="9"/>
      <color indexed="18"/>
      <name val="Arial"/>
      <family val="2"/>
    </font>
    <font>
      <b/>
      <sz val="13"/>
      <color indexed="18"/>
      <name val="Arial"/>
      <family val="2"/>
    </font>
    <font>
      <b/>
      <sz val="9"/>
      <color indexed="18"/>
      <name val="Arial"/>
      <family val="2"/>
    </font>
    <font>
      <i/>
      <sz val="9"/>
      <color indexed="8"/>
      <name val="Arial"/>
      <family val="2"/>
    </font>
    <font>
      <sz val="9"/>
      <color indexed="10"/>
      <name val="Arial"/>
      <family val="2"/>
    </font>
    <font>
      <b/>
      <sz val="10"/>
      <color indexed="10"/>
      <name val="MS Sans Serif"/>
      <family val="2"/>
    </font>
    <font>
      <sz val="4.75"/>
      <name val="Arial"/>
      <family val="2"/>
    </font>
    <font>
      <sz val="3.5"/>
      <name val="Arial"/>
      <family val="0"/>
    </font>
    <font>
      <sz val="5.75"/>
      <name val="Arial"/>
      <family val="2"/>
    </font>
    <font>
      <vertAlign val="superscript"/>
      <sz val="5.75"/>
      <name val="Arial"/>
      <family val="2"/>
    </font>
    <font>
      <vertAlign val="superscript"/>
      <sz val="2.75"/>
      <name val="Arial"/>
      <family val="0"/>
    </font>
    <font>
      <sz val="2.75"/>
      <name val="Arial"/>
      <family val="0"/>
    </font>
    <font>
      <b/>
      <sz val="20"/>
      <color indexed="10"/>
      <name val="Arial"/>
      <family val="2"/>
    </font>
    <font>
      <u val="single"/>
      <sz val="10"/>
      <name val="MS Sans Serif"/>
      <family val="2"/>
    </font>
    <font>
      <b/>
      <sz val="8"/>
      <name val="MS Sans Serif"/>
      <family val="2"/>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indexed="44"/>
        <bgColor indexed="64"/>
      </patternFill>
    </fill>
    <fill>
      <patternFill patternType="solid">
        <fgColor indexed="17"/>
        <bgColor indexed="64"/>
      </patternFill>
    </fill>
    <fill>
      <patternFill patternType="solid">
        <fgColor indexed="23"/>
        <bgColor indexed="64"/>
      </patternFill>
    </fill>
    <fill>
      <patternFill patternType="solid">
        <fgColor indexed="30"/>
        <bgColor indexed="64"/>
      </patternFill>
    </fill>
    <fill>
      <patternFill patternType="solid">
        <fgColor indexed="27"/>
        <bgColor indexed="64"/>
      </patternFill>
    </fill>
    <fill>
      <patternFill patternType="solid">
        <fgColor indexed="13"/>
        <bgColor indexed="64"/>
      </patternFill>
    </fill>
    <fill>
      <patternFill patternType="solid">
        <fgColor indexed="18"/>
        <bgColor indexed="64"/>
      </patternFill>
    </fill>
  </fills>
  <borders count="256">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thin"/>
      <right style="thin"/>
      <top style="thin"/>
      <bottom style="thin"/>
    </border>
    <border>
      <left>
        <color indexed="63"/>
      </left>
      <right style="medium"/>
      <top style="medium"/>
      <bottom style="mediu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medium"/>
      <bottom style="double"/>
    </border>
    <border>
      <left style="medium"/>
      <right style="thin"/>
      <top style="thin"/>
      <bottom style="medium"/>
    </border>
    <border>
      <left style="thin"/>
      <right style="medium"/>
      <top style="thin"/>
      <bottom style="medium"/>
    </border>
    <border>
      <left style="medium"/>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style="medium"/>
      <top style="thin">
        <color indexed="8"/>
      </top>
      <bottom style="medium"/>
    </border>
    <border>
      <left style="medium"/>
      <right>
        <color indexed="63"/>
      </right>
      <top>
        <color indexed="63"/>
      </top>
      <bottom style="thin">
        <color indexed="8"/>
      </bottom>
    </border>
    <border>
      <left style="thin"/>
      <right style="medium"/>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color indexed="63"/>
      </left>
      <right style="thin"/>
      <top style="medium"/>
      <bottom style="double"/>
    </border>
    <border>
      <left>
        <color indexed="63"/>
      </left>
      <right>
        <color indexed="63"/>
      </right>
      <top style="thin"/>
      <bottom style="medium"/>
    </border>
    <border>
      <left style="medium"/>
      <right style="thin"/>
      <top style="medium"/>
      <bottom style="double"/>
    </border>
    <border>
      <left>
        <color indexed="63"/>
      </left>
      <right style="thin"/>
      <top style="thin"/>
      <bottom style="medium"/>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hair"/>
      <bottom style="hair"/>
    </border>
    <border>
      <left>
        <color indexed="63"/>
      </left>
      <right style="hair"/>
      <top style="hair"/>
      <bottom style="hair"/>
    </border>
    <border>
      <left style="hair"/>
      <right style="hair"/>
      <top>
        <color indexed="63"/>
      </top>
      <bottom style="hair"/>
    </border>
    <border>
      <left style="hair"/>
      <right style="medium"/>
      <top style="medium"/>
      <bottom style="hair"/>
    </border>
    <border>
      <left>
        <color indexed="63"/>
      </left>
      <right style="hair"/>
      <top>
        <color indexed="63"/>
      </top>
      <bottom style="hair"/>
    </border>
    <border>
      <left style="hair"/>
      <right style="hair"/>
      <top style="hair"/>
      <bottom>
        <color indexed="63"/>
      </bottom>
    </border>
    <border>
      <left style="medium"/>
      <right style="hair"/>
      <top style="medium"/>
      <bottom style="hair"/>
    </border>
    <border>
      <left style="hair"/>
      <right style="hair"/>
      <top style="thin"/>
      <bottom style="hair"/>
    </border>
    <border>
      <left style="medium"/>
      <right>
        <color indexed="63"/>
      </right>
      <top style="thin"/>
      <bottom style="hair"/>
    </border>
    <border>
      <left>
        <color indexed="63"/>
      </left>
      <right style="hair"/>
      <top style="thin"/>
      <bottom style="hair"/>
    </border>
    <border>
      <left style="medium"/>
      <right>
        <color indexed="63"/>
      </right>
      <top style="medium"/>
      <bottom style="hair"/>
    </border>
    <border>
      <left>
        <color indexed="63"/>
      </left>
      <right style="hair"/>
      <top style="medium"/>
      <bottom style="hair"/>
    </border>
    <border>
      <left style="hair"/>
      <right style="hair"/>
      <top style="medium"/>
      <bottom>
        <color indexed="63"/>
      </bottom>
    </border>
    <border>
      <left style="medium"/>
      <right style="hair"/>
      <top style="thin"/>
      <bottom style="hair"/>
    </border>
    <border>
      <left style="hair"/>
      <right style="medium"/>
      <top style="thin"/>
      <bottom style="hair"/>
    </border>
    <border>
      <left>
        <color indexed="63"/>
      </left>
      <right style="medium"/>
      <top style="hair"/>
      <bottom style="hair"/>
    </border>
    <border>
      <left>
        <color indexed="63"/>
      </left>
      <right style="medium"/>
      <top style="thin"/>
      <bottom style="hair"/>
    </border>
    <border>
      <left style="hair"/>
      <right style="hair"/>
      <top style="thin"/>
      <bottom>
        <color indexed="63"/>
      </bottom>
    </border>
    <border>
      <left>
        <color indexed="63"/>
      </left>
      <right>
        <color indexed="63"/>
      </right>
      <top style="medium"/>
      <bottom style="hair"/>
    </border>
    <border>
      <left>
        <color indexed="63"/>
      </left>
      <right>
        <color indexed="63"/>
      </right>
      <top>
        <color indexed="63"/>
      </top>
      <bottom style="hair"/>
    </border>
    <border>
      <left style="medium"/>
      <right>
        <color indexed="63"/>
      </right>
      <top>
        <color indexed="63"/>
      </top>
      <bottom style="hair"/>
    </border>
    <border>
      <left style="medium"/>
      <right style="medium"/>
      <top style="medium"/>
      <bottom style="medium"/>
    </border>
    <border>
      <left style="thin"/>
      <right style="medium"/>
      <top style="medium"/>
      <bottom style="double"/>
    </border>
    <border>
      <left style="medium"/>
      <right style="thin"/>
      <top>
        <color indexed="63"/>
      </top>
      <bottom style="thin"/>
    </border>
    <border>
      <left style="medium"/>
      <right style="thin"/>
      <top style="thin"/>
      <bottom style="thin"/>
    </border>
    <border>
      <left style="thin"/>
      <right style="thin"/>
      <top style="hair"/>
      <bottom style="hair"/>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thin"/>
      <bottom style="hair"/>
    </border>
    <border>
      <left style="medium"/>
      <right style="thin"/>
      <top style="thin"/>
      <bottom style="hair"/>
    </border>
    <border>
      <left style="medium"/>
      <right style="thin"/>
      <top style="hair"/>
      <bottom style="hair"/>
    </border>
    <border>
      <left style="medium"/>
      <right style="thin"/>
      <top style="hair"/>
      <bottom style="thin"/>
    </border>
    <border>
      <left style="thin"/>
      <right style="medium"/>
      <top style="thin"/>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color indexed="63"/>
      </left>
      <right style="medium"/>
      <top style="medium"/>
      <bottom style="hair"/>
    </border>
    <border>
      <left style="medium"/>
      <right>
        <color indexed="63"/>
      </right>
      <top style="hair"/>
      <bottom style="thin"/>
    </border>
    <border>
      <left>
        <color indexed="63"/>
      </left>
      <right style="medium"/>
      <top style="hair"/>
      <bottom style="thin"/>
    </border>
    <border>
      <left>
        <color indexed="63"/>
      </left>
      <right style="medium"/>
      <top>
        <color indexed="63"/>
      </top>
      <bottom style="hair"/>
    </border>
    <border>
      <left style="medium"/>
      <right>
        <color indexed="63"/>
      </right>
      <top style="thin"/>
      <bottom style="medium"/>
    </border>
    <border>
      <left>
        <color indexed="63"/>
      </left>
      <right style="medium"/>
      <top style="thin"/>
      <bottom style="medium"/>
    </border>
    <border>
      <left style="medium"/>
      <right style="thin"/>
      <top>
        <color indexed="63"/>
      </top>
      <bottom style="hair"/>
    </border>
    <border>
      <left style="thin"/>
      <right style="thin"/>
      <top style="double"/>
      <bottom style="thin"/>
    </border>
    <border>
      <left style="thin"/>
      <right style="medium"/>
      <top style="double"/>
      <bottom style="thin"/>
    </border>
    <border>
      <left style="medium"/>
      <right>
        <color indexed="63"/>
      </right>
      <top style="medium"/>
      <bottom style="double"/>
    </border>
    <border>
      <left>
        <color indexed="63"/>
      </left>
      <right>
        <color indexed="63"/>
      </right>
      <top style="medium"/>
      <bottom style="double"/>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color indexed="63"/>
      </left>
      <right style="medium"/>
      <top style="thin"/>
      <bottom>
        <color indexed="63"/>
      </bottom>
    </border>
    <border>
      <left style="medium"/>
      <right>
        <color indexed="63"/>
      </right>
      <top style="thin"/>
      <bottom>
        <color indexed="63"/>
      </bottom>
    </border>
    <border>
      <left style="thin"/>
      <right style="thin"/>
      <top style="thin"/>
      <bottom style="double"/>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medium"/>
      <top style="thin"/>
      <bottom style="double"/>
    </border>
    <border>
      <left style="medium"/>
      <right>
        <color indexed="63"/>
      </right>
      <top>
        <color indexed="63"/>
      </top>
      <bottom style="double"/>
    </border>
    <border>
      <left style="thin"/>
      <right>
        <color indexed="63"/>
      </right>
      <top>
        <color indexed="63"/>
      </top>
      <bottom style="double"/>
    </border>
    <border>
      <left>
        <color indexed="63"/>
      </left>
      <right>
        <color indexed="63"/>
      </right>
      <top style="medium"/>
      <bottom style="medium"/>
    </border>
    <border>
      <left>
        <color indexed="63"/>
      </left>
      <right style="medium"/>
      <top>
        <color indexed="63"/>
      </top>
      <bottom style="double"/>
    </border>
    <border>
      <left style="medium"/>
      <right style="thin"/>
      <top style="medium"/>
      <bottom style="medium"/>
    </border>
    <border>
      <left style="thin"/>
      <right style="medium"/>
      <top style="medium"/>
      <bottom style="medium"/>
    </border>
    <border>
      <left>
        <color indexed="63"/>
      </left>
      <right style="thin"/>
      <top>
        <color indexed="63"/>
      </top>
      <bottom style="double"/>
    </border>
    <border>
      <left style="medium"/>
      <right style="thin"/>
      <top style="double"/>
      <bottom style="thin"/>
    </border>
    <border>
      <left style="thin"/>
      <right style="thin"/>
      <top>
        <color indexed="63"/>
      </top>
      <bottom style="hair"/>
    </border>
    <border>
      <left style="thin"/>
      <right style="medium"/>
      <top>
        <color indexed="63"/>
      </top>
      <bottom style="hair"/>
    </border>
    <border>
      <left>
        <color indexed="63"/>
      </left>
      <right style="medium"/>
      <top style="medium"/>
      <bottom style="double"/>
    </border>
    <border>
      <left style="thin"/>
      <right style="medium"/>
      <top>
        <color indexed="63"/>
      </top>
      <bottom style="medium"/>
    </border>
    <border>
      <left style="hair"/>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thin"/>
      <bottom>
        <color indexed="63"/>
      </bottom>
    </border>
    <border>
      <left style="thin"/>
      <right style="hair"/>
      <top>
        <color indexed="63"/>
      </top>
      <bottom>
        <color indexed="63"/>
      </bottom>
    </border>
    <border>
      <left style="thin"/>
      <right style="hair"/>
      <top style="thin"/>
      <bottom style="thin"/>
    </border>
    <border>
      <left style="thin"/>
      <right style="hair"/>
      <top>
        <color indexed="63"/>
      </top>
      <bottom style="medium"/>
    </border>
    <border>
      <left style="thin"/>
      <right style="hair"/>
      <top>
        <color indexed="63"/>
      </top>
      <bottom style="thin"/>
    </border>
    <border>
      <left style="medium"/>
      <right style="thin"/>
      <top>
        <color indexed="63"/>
      </top>
      <bottom style="medium"/>
    </border>
    <border>
      <left style="medium"/>
      <right style="medium"/>
      <top>
        <color indexed="63"/>
      </top>
      <bottom style="medium"/>
    </border>
    <border>
      <left style="thin"/>
      <right style="medium"/>
      <top>
        <color indexed="63"/>
      </top>
      <bottom>
        <color indexed="63"/>
      </bottom>
    </border>
    <border>
      <left style="thin"/>
      <right style="thin"/>
      <top style="medium"/>
      <bottom style="medium"/>
    </border>
    <border>
      <left style="medium"/>
      <right style="thin"/>
      <top>
        <color indexed="63"/>
      </top>
      <bottom style="double"/>
    </border>
    <border>
      <left style="thin"/>
      <right style="medium"/>
      <top>
        <color indexed="63"/>
      </top>
      <bottom style="double"/>
    </border>
    <border>
      <left>
        <color indexed="63"/>
      </left>
      <right>
        <color indexed="63"/>
      </right>
      <top style="hair"/>
      <bottom>
        <color indexed="63"/>
      </bottom>
    </border>
    <border>
      <left style="hair"/>
      <right style="thin"/>
      <top style="hair"/>
      <bottom style="hair"/>
    </border>
    <border>
      <left style="thin"/>
      <right style="hair"/>
      <top style="hair"/>
      <bottom style="hair"/>
    </border>
    <border>
      <left style="hair"/>
      <right style="thin"/>
      <top style="medium"/>
      <bottom style="hair"/>
    </border>
    <border>
      <left style="hair"/>
      <right style="thin"/>
      <top style="thin"/>
      <bottom style="hair"/>
    </border>
    <border>
      <left style="hair"/>
      <right style="thin"/>
      <top style="hair"/>
      <bottom style="medium"/>
    </border>
    <border>
      <left>
        <color indexed="63"/>
      </left>
      <right>
        <color indexed="63"/>
      </right>
      <top style="thin"/>
      <bottom style="hair"/>
    </border>
    <border>
      <left>
        <color indexed="63"/>
      </left>
      <right style="hair"/>
      <top style="hair"/>
      <bottom style="medium"/>
    </border>
    <border>
      <left>
        <color indexed="63"/>
      </left>
      <right style="thin"/>
      <top>
        <color indexed="63"/>
      </top>
      <bottom style="hair"/>
    </border>
    <border>
      <left style="thin"/>
      <right style="hair"/>
      <top>
        <color indexed="63"/>
      </top>
      <bottom style="hair"/>
    </border>
    <border>
      <left style="hair"/>
      <right style="medium"/>
      <top>
        <color indexed="63"/>
      </top>
      <bottom style="hair"/>
    </border>
    <border>
      <left>
        <color indexed="63"/>
      </left>
      <right style="thin"/>
      <top style="thin"/>
      <bottom style="double"/>
    </border>
    <border>
      <left>
        <color indexed="63"/>
      </left>
      <right style="thin"/>
      <top style="medium"/>
      <bottom style="hair"/>
    </border>
    <border>
      <left style="thin"/>
      <right>
        <color indexed="63"/>
      </right>
      <top style="hair"/>
      <bottom style="medium"/>
    </border>
    <border>
      <left>
        <color indexed="63"/>
      </left>
      <right style="medium"/>
      <top style="hair"/>
      <bottom style="medium"/>
    </border>
    <border>
      <left style="thin"/>
      <right style="hair"/>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style="thin"/>
      <right style="hair"/>
      <top style="hair"/>
      <bottom>
        <color indexed="63"/>
      </bottom>
    </border>
    <border>
      <left style="hair"/>
      <right style="medium"/>
      <top style="hair"/>
      <bottom>
        <color indexed="63"/>
      </bottom>
    </border>
    <border>
      <left style="medium"/>
      <right style="hair"/>
      <top>
        <color indexed="63"/>
      </top>
      <bottom style="hair"/>
    </border>
    <border>
      <left style="medium"/>
      <right>
        <color indexed="63"/>
      </right>
      <top style="hair"/>
      <bottom style="medium"/>
    </border>
    <border>
      <left style="hair"/>
      <right>
        <color indexed="63"/>
      </right>
      <top style="hair"/>
      <bottom style="hair"/>
    </border>
    <border>
      <left style="hair"/>
      <right style="thin"/>
      <top style="double"/>
      <bottom style="hair"/>
    </border>
    <border>
      <left>
        <color indexed="63"/>
      </left>
      <right style="hair"/>
      <top style="double"/>
      <bottom style="hair"/>
    </border>
    <border>
      <left style="thin"/>
      <right style="hair"/>
      <top style="double"/>
      <bottom style="hair"/>
    </border>
    <border>
      <left style="medium"/>
      <right>
        <color indexed="63"/>
      </right>
      <top style="thin"/>
      <bottom style="double"/>
    </border>
    <border>
      <left style="medium"/>
      <right>
        <color indexed="63"/>
      </right>
      <top style="double"/>
      <bottom style="hair"/>
    </border>
    <border>
      <left>
        <color indexed="63"/>
      </left>
      <right style="thin"/>
      <top style="hair"/>
      <bottom style="medium"/>
    </border>
    <border>
      <left style="hair"/>
      <right style="thin"/>
      <top>
        <color indexed="63"/>
      </top>
      <bottom style="hair"/>
    </border>
    <border>
      <left>
        <color indexed="63"/>
      </left>
      <right style="medium"/>
      <top style="double"/>
      <bottom>
        <color indexed="63"/>
      </bottom>
    </border>
    <border>
      <left style="hair"/>
      <right style="medium"/>
      <top style="double"/>
      <bottom style="hair"/>
    </border>
    <border>
      <left style="thin"/>
      <right>
        <color indexed="63"/>
      </right>
      <top style="medium"/>
      <bottom style="double"/>
    </border>
    <border>
      <left style="hair"/>
      <right>
        <color indexed="63"/>
      </right>
      <top style="double"/>
      <bottom style="hair"/>
    </border>
    <border>
      <left style="hair"/>
      <right>
        <color indexed="63"/>
      </right>
      <top style="hair"/>
      <bottom style="medium"/>
    </border>
    <border>
      <left>
        <color indexed="63"/>
      </left>
      <right>
        <color indexed="63"/>
      </right>
      <top style="double"/>
      <bottom style="thin"/>
    </border>
    <border>
      <left>
        <color indexed="63"/>
      </left>
      <right style="thin"/>
      <top style="medium"/>
      <bottom style="thin"/>
    </border>
    <border>
      <left style="medium"/>
      <right>
        <color indexed="63"/>
      </right>
      <top style="double"/>
      <bottom style="thin"/>
    </border>
    <border>
      <left>
        <color indexed="63"/>
      </left>
      <right style="medium"/>
      <top style="double"/>
      <bottom style="thin"/>
    </border>
    <border>
      <left style="medium"/>
      <right style="thin"/>
      <top style="thin">
        <color indexed="8"/>
      </top>
      <bottom style="medium"/>
    </border>
    <border>
      <left style="medium"/>
      <right>
        <color indexed="63"/>
      </right>
      <top style="thin">
        <color indexed="8"/>
      </top>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thin"/>
      <top style="medium"/>
      <bottom style="thin"/>
    </border>
    <border>
      <left style="hair"/>
      <right style="medium"/>
      <top style="medium"/>
      <bottom style="thin"/>
    </border>
    <border>
      <left style="thin"/>
      <right>
        <color indexed="63"/>
      </right>
      <top style="medium"/>
      <bottom style="thin"/>
    </border>
    <border>
      <left style="thin"/>
      <right>
        <color indexed="63"/>
      </right>
      <top style="thin"/>
      <bottom style="medium"/>
    </border>
    <border>
      <left style="thin"/>
      <right style="thin"/>
      <top>
        <color indexed="63"/>
      </top>
      <bottom style="double"/>
    </border>
    <border>
      <left style="thin"/>
      <right style="hair"/>
      <top style="double"/>
      <bottom style="thin"/>
    </border>
    <border>
      <left style="hair"/>
      <right style="hair"/>
      <top style="double"/>
      <bottom>
        <color indexed="63"/>
      </bottom>
    </border>
    <border>
      <left style="hair"/>
      <right style="thin"/>
      <top style="double"/>
      <bottom>
        <color indexed="63"/>
      </bottom>
    </border>
    <border>
      <left style="thin"/>
      <right style="hair"/>
      <top style="double"/>
      <bottom>
        <color indexed="63"/>
      </bottom>
    </border>
    <border>
      <left style="hair"/>
      <right style="medium"/>
      <top style="double"/>
      <bottom>
        <color indexed="63"/>
      </botto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hair"/>
      <right style="thin"/>
      <top style="thin"/>
      <bottom>
        <color indexed="63"/>
      </bottom>
    </border>
    <border>
      <left style="hair"/>
      <right style="medium"/>
      <top style="thin"/>
      <bottom>
        <color indexed="63"/>
      </bottom>
    </border>
    <border>
      <left style="medium"/>
      <right>
        <color indexed="63"/>
      </right>
      <top style="thin"/>
      <bottom style="thin"/>
    </border>
    <border>
      <left style="thin"/>
      <right style="medium"/>
      <top style="thin"/>
      <bottom>
        <color indexed="63"/>
      </bottom>
    </border>
    <border>
      <left style="medium"/>
      <right style="medium"/>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56"/>
      </bottom>
    </border>
    <border>
      <left>
        <color indexed="63"/>
      </left>
      <right style="thin">
        <color indexed="8"/>
      </right>
      <top style="thin">
        <color indexed="8"/>
      </top>
      <bottom style="thin">
        <color indexed="8"/>
      </bottom>
    </border>
    <border>
      <left>
        <color indexed="63"/>
      </left>
      <right>
        <color indexed="63"/>
      </right>
      <top style="thin"/>
      <bottom style="double"/>
    </border>
    <border>
      <left>
        <color indexed="63"/>
      </left>
      <right style="hair"/>
      <top style="hair"/>
      <bottom>
        <color indexed="63"/>
      </bottom>
    </border>
    <border>
      <left style="thin"/>
      <right style="medium"/>
      <top>
        <color indexed="63"/>
      </top>
      <bottom style="thin">
        <color indexed="8"/>
      </bottom>
    </border>
    <border>
      <left style="thin"/>
      <right style="medium"/>
      <top style="thin">
        <color indexed="8"/>
      </top>
      <bottom style="medium"/>
    </border>
    <border>
      <left style="thin"/>
      <right style="medium"/>
      <top style="thin">
        <color indexed="8"/>
      </top>
      <bottom style="thin">
        <color indexed="8"/>
      </bottom>
    </border>
    <border>
      <left style="thin"/>
      <right style="medium"/>
      <top style="thin">
        <color indexed="8"/>
      </top>
      <bottom style="thin"/>
    </border>
    <border>
      <left style="medium"/>
      <right style="thin"/>
      <top style="thin"/>
      <bottom>
        <color indexed="63"/>
      </bottom>
    </border>
    <border>
      <left style="medium"/>
      <right style="medium"/>
      <top style="thin"/>
      <bottom>
        <color indexed="63"/>
      </bottom>
    </border>
    <border>
      <left style="thin"/>
      <right style="thin"/>
      <top style="medium"/>
      <bottom>
        <color indexed="63"/>
      </bottom>
    </border>
    <border>
      <left style="thin"/>
      <right style="thin"/>
      <top style="double"/>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56"/>
      </top>
      <bottom>
        <color indexed="63"/>
      </bottom>
    </border>
    <border>
      <left>
        <color indexed="63"/>
      </left>
      <right>
        <color indexed="63"/>
      </right>
      <top style="thin">
        <color indexed="8"/>
      </top>
      <bottom style="thin">
        <color indexed="8"/>
      </bottom>
    </border>
    <border>
      <left style="medium"/>
      <right style="thin"/>
      <top>
        <color indexed="63"/>
      </top>
      <bottom>
        <color indexed="63"/>
      </bottom>
    </border>
    <border>
      <left style="medium"/>
      <right style="thin"/>
      <top style="medium"/>
      <bottom>
        <color indexed="63"/>
      </bottom>
    </border>
    <border>
      <left style="medium"/>
      <right style="medium"/>
      <top>
        <color indexed="63"/>
      </top>
      <bottom>
        <color indexed="63"/>
      </bottom>
    </border>
    <border>
      <left style="medium"/>
      <right style="medium"/>
      <top style="medium"/>
      <bottom>
        <color indexed="63"/>
      </bottom>
    </border>
    <border>
      <left style="thin"/>
      <right>
        <color indexed="63"/>
      </right>
      <top style="thin"/>
      <bottom style="double"/>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8" fontId="0" fillId="0" borderId="0" applyFon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7" fillId="0" borderId="0">
      <alignment/>
      <protection/>
    </xf>
    <xf numFmtId="0" fontId="0" fillId="0" borderId="0">
      <alignment/>
      <protection/>
    </xf>
    <xf numFmtId="9" fontId="0" fillId="0" borderId="0" applyFont="0" applyFill="0" applyBorder="0" applyAlignment="0" applyProtection="0"/>
  </cellStyleXfs>
  <cellXfs count="2578">
    <xf numFmtId="0" fontId="0" fillId="0" borderId="0" xfId="0" applyAlignment="1">
      <alignment/>
    </xf>
    <xf numFmtId="0" fontId="0" fillId="0" borderId="0" xfId="0" applyBorder="1" applyAlignment="1">
      <alignment/>
    </xf>
    <xf numFmtId="0" fontId="0" fillId="0" borderId="1" xfId="0" applyBorder="1" applyAlignment="1">
      <alignment/>
    </xf>
    <xf numFmtId="1" fontId="0" fillId="0" borderId="0" xfId="0" applyNumberFormat="1" applyAlignment="1">
      <alignment/>
    </xf>
    <xf numFmtId="0" fontId="7" fillId="0" borderId="0" xfId="31" applyFill="1" applyBorder="1">
      <alignment/>
      <protection/>
    </xf>
    <xf numFmtId="38" fontId="0" fillId="0" borderId="0" xfId="15" applyNumberFormat="1" applyAlignment="1">
      <alignment/>
    </xf>
    <xf numFmtId="0" fontId="0" fillId="0" borderId="0" xfId="0" applyFill="1" applyAlignment="1">
      <alignment/>
    </xf>
    <xf numFmtId="0" fontId="7" fillId="0" borderId="0" xfId="0" applyFont="1" applyAlignment="1">
      <alignment/>
    </xf>
    <xf numFmtId="0" fontId="7" fillId="0" borderId="0" xfId="0" applyFont="1" applyAlignment="1">
      <alignment horizontal="left"/>
    </xf>
    <xf numFmtId="38" fontId="7" fillId="0" borderId="0" xfId="0" applyNumberFormat="1" applyFont="1" applyAlignment="1">
      <alignment/>
    </xf>
    <xf numFmtId="38" fontId="7" fillId="0" borderId="0" xfId="0" applyNumberFormat="1" applyFont="1" applyAlignment="1">
      <alignment horizontal="center"/>
    </xf>
    <xf numFmtId="37" fontId="7" fillId="0" borderId="0" xfId="0" applyNumberFormat="1" applyFont="1" applyAlignment="1">
      <alignment horizontal="center"/>
    </xf>
    <xf numFmtId="1" fontId="7" fillId="0" borderId="0" xfId="0" applyNumberFormat="1" applyFont="1" applyAlignment="1">
      <alignment horizontal="center"/>
    </xf>
    <xf numFmtId="37" fontId="7" fillId="0" borderId="0" xfId="0" applyNumberFormat="1" applyFont="1" applyAlignment="1" applyProtection="1">
      <alignment/>
      <protection/>
    </xf>
    <xf numFmtId="167" fontId="7" fillId="0" borderId="0" xfId="0" applyNumberFormat="1" applyFont="1" applyAlignment="1" applyProtection="1">
      <alignment/>
      <protection/>
    </xf>
    <xf numFmtId="7" fontId="7" fillId="0" borderId="0" xfId="0" applyNumberFormat="1" applyFont="1" applyAlignment="1" applyProtection="1">
      <alignment/>
      <protection/>
    </xf>
    <xf numFmtId="39" fontId="7" fillId="0" borderId="0" xfId="0" applyNumberFormat="1" applyFont="1" applyAlignment="1" applyProtection="1">
      <alignment/>
      <protection/>
    </xf>
    <xf numFmtId="0" fontId="7" fillId="0" borderId="0" xfId="0" applyFont="1" applyAlignment="1">
      <alignment horizontal="center"/>
    </xf>
    <xf numFmtId="0" fontId="7" fillId="0" borderId="0" xfId="0" applyFont="1" applyBorder="1" applyAlignment="1">
      <alignment/>
    </xf>
    <xf numFmtId="0" fontId="13" fillId="0" borderId="0" xfId="0" applyFont="1" applyAlignment="1">
      <alignment/>
    </xf>
    <xf numFmtId="0" fontId="8" fillId="0" borderId="0" xfId="0" applyFont="1" applyAlignment="1">
      <alignment/>
    </xf>
    <xf numFmtId="0" fontId="7" fillId="0" borderId="0" xfId="0" applyFont="1" applyAlignment="1">
      <alignment/>
    </xf>
    <xf numFmtId="0" fontId="7" fillId="0" borderId="0" xfId="0" applyFont="1" applyAlignment="1">
      <alignment/>
    </xf>
    <xf numFmtId="166"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0" fontId="7" fillId="0" borderId="2" xfId="0" applyFont="1" applyBorder="1" applyAlignment="1">
      <alignment/>
    </xf>
    <xf numFmtId="1" fontId="7" fillId="0" borderId="0" xfId="0" applyNumberFormat="1" applyFont="1" applyAlignment="1">
      <alignment/>
    </xf>
    <xf numFmtId="0" fontId="7" fillId="0" borderId="0" xfId="0" applyFont="1" applyBorder="1" applyAlignment="1">
      <alignment/>
    </xf>
    <xf numFmtId="0" fontId="15" fillId="0" borderId="0" xfId="0" applyFont="1" applyAlignment="1">
      <alignment horizontal="right"/>
    </xf>
    <xf numFmtId="0" fontId="7" fillId="0" borderId="0" xfId="0" applyFont="1" applyBorder="1" applyAlignment="1" applyProtection="1">
      <alignment/>
      <protection/>
    </xf>
    <xf numFmtId="0" fontId="7" fillId="0" borderId="0" xfId="0" applyFont="1" applyFill="1" applyBorder="1" applyAlignment="1" applyProtection="1">
      <alignment/>
      <protection/>
    </xf>
    <xf numFmtId="5" fontId="7"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166" fontId="13" fillId="0" borderId="0" xfId="0" applyNumberFormat="1" applyFont="1" applyBorder="1" applyAlignment="1" applyProtection="1">
      <alignment/>
      <protection/>
    </xf>
    <xf numFmtId="37" fontId="13" fillId="0" borderId="0" xfId="0" applyNumberFormat="1"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lignment/>
    </xf>
    <xf numFmtId="167" fontId="7" fillId="0" borderId="0" xfId="0" applyNumberFormat="1" applyFont="1" applyBorder="1" applyAlignment="1" applyProtection="1">
      <alignment/>
      <protection/>
    </xf>
    <xf numFmtId="169" fontId="13" fillId="0" borderId="0" xfId="0" applyNumberFormat="1" applyFont="1" applyBorder="1" applyAlignment="1" applyProtection="1">
      <alignment/>
      <protection/>
    </xf>
    <xf numFmtId="0" fontId="8" fillId="0" borderId="0" xfId="0" applyFont="1" applyBorder="1" applyAlignment="1">
      <alignment/>
    </xf>
    <xf numFmtId="0" fontId="7" fillId="0" borderId="0" xfId="0" applyFont="1" applyFill="1"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7" fillId="0" borderId="6" xfId="0" applyFont="1" applyBorder="1" applyAlignment="1">
      <alignment/>
    </xf>
    <xf numFmtId="0" fontId="8" fillId="0" borderId="0" xfId="0" applyFont="1" applyAlignment="1">
      <alignment horizontal="right"/>
    </xf>
    <xf numFmtId="5" fontId="7" fillId="0" borderId="0" xfId="0" applyNumberFormat="1"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lignment/>
    </xf>
    <xf numFmtId="182" fontId="7" fillId="0" borderId="0" xfId="0" applyNumberFormat="1" applyFont="1" applyBorder="1" applyAlignment="1" applyProtection="1">
      <alignment/>
      <protection/>
    </xf>
    <xf numFmtId="6" fontId="7" fillId="0" borderId="0" xfId="19" applyNumberFormat="1" applyFont="1" applyBorder="1" applyAlignment="1" applyProtection="1">
      <alignment horizontal="left"/>
      <protection/>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7" fillId="0" borderId="0" xfId="0" applyFont="1" applyBorder="1" applyAlignment="1">
      <alignment/>
    </xf>
    <xf numFmtId="182" fontId="7" fillId="0" borderId="0" xfId="0" applyNumberFormat="1" applyFont="1" applyBorder="1" applyAlignment="1" applyProtection="1">
      <alignment/>
      <protection/>
    </xf>
    <xf numFmtId="6" fontId="7" fillId="0" borderId="0" xfId="19" applyNumberFormat="1" applyFont="1" applyBorder="1" applyAlignment="1" applyProtection="1">
      <alignment horizontal="left"/>
      <protection/>
    </xf>
    <xf numFmtId="5" fontId="7" fillId="0" borderId="0" xfId="0" applyNumberFormat="1" applyFont="1" applyBorder="1" applyAlignment="1" applyProtection="1">
      <alignment/>
      <protection/>
    </xf>
    <xf numFmtId="0" fontId="7" fillId="0" borderId="0" xfId="0" applyFont="1" applyBorder="1" applyAlignment="1" applyProtection="1">
      <alignment horizontal="center"/>
      <protection/>
    </xf>
    <xf numFmtId="0" fontId="8" fillId="0" borderId="0" xfId="0" applyFont="1" applyBorder="1" applyAlignment="1" applyProtection="1">
      <alignment horizontal="left"/>
      <protection/>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5" fontId="7" fillId="0" borderId="0" xfId="0" applyNumberFormat="1" applyFont="1" applyBorder="1" applyAlignment="1" applyProtection="1">
      <alignment/>
      <protection/>
    </xf>
    <xf numFmtId="0" fontId="7" fillId="0" borderId="0" xfId="0" applyFont="1" applyBorder="1" applyAlignment="1">
      <alignment/>
    </xf>
    <xf numFmtId="5" fontId="7" fillId="0" borderId="0" xfId="0" applyNumberFormat="1" applyFont="1" applyBorder="1" applyAlignment="1" applyProtection="1">
      <alignment/>
      <protection/>
    </xf>
    <xf numFmtId="0" fontId="7" fillId="0" borderId="0" xfId="0" applyFont="1" applyBorder="1" applyAlignment="1" applyProtection="1">
      <alignment/>
      <protection/>
    </xf>
    <xf numFmtId="5" fontId="7" fillId="0" borderId="0" xfId="0" applyNumberFormat="1" applyFont="1" applyBorder="1" applyAlignment="1" applyProtection="1">
      <alignment/>
      <protection/>
    </xf>
    <xf numFmtId="0" fontId="7" fillId="0" borderId="7" xfId="0" applyFont="1" applyBorder="1" applyAlignment="1" applyProtection="1">
      <alignment/>
      <protection/>
    </xf>
    <xf numFmtId="0" fontId="7" fillId="0" borderId="3" xfId="0" applyFont="1" applyBorder="1" applyAlignment="1" applyProtection="1">
      <alignment horizontal="left"/>
      <protection/>
    </xf>
    <xf numFmtId="0" fontId="7" fillId="0" borderId="4" xfId="0" applyFont="1" applyBorder="1" applyAlignment="1" applyProtection="1">
      <alignment/>
      <protection/>
    </xf>
    <xf numFmtId="0" fontId="7" fillId="0" borderId="6" xfId="0" applyFont="1" applyBorder="1" applyAlignment="1" applyProtection="1">
      <alignment/>
      <protection/>
    </xf>
    <xf numFmtId="0" fontId="7" fillId="0" borderId="5" xfId="0" applyFont="1" applyBorder="1" applyAlignment="1" applyProtection="1">
      <alignment horizontal="left"/>
      <protection/>
    </xf>
    <xf numFmtId="0" fontId="7" fillId="0" borderId="7" xfId="0" applyFont="1" applyBorder="1" applyAlignment="1" applyProtection="1">
      <alignment/>
      <protection/>
    </xf>
    <xf numFmtId="0" fontId="7" fillId="0" borderId="4" xfId="0" applyFont="1" applyBorder="1" applyAlignment="1" applyProtection="1">
      <alignment/>
      <protection/>
    </xf>
    <xf numFmtId="0" fontId="7" fillId="0" borderId="0" xfId="0" applyFont="1" applyFill="1" applyBorder="1" applyAlignment="1" applyProtection="1">
      <alignment/>
      <protection/>
    </xf>
    <xf numFmtId="5" fontId="7" fillId="0" borderId="0" xfId="0" applyNumberFormat="1" applyFont="1" applyFill="1" applyBorder="1" applyAlignment="1" applyProtection="1">
      <alignment/>
      <protection/>
    </xf>
    <xf numFmtId="0" fontId="8" fillId="0" borderId="8" xfId="32" applyFont="1" applyFill="1" applyBorder="1">
      <alignment/>
      <protection/>
    </xf>
    <xf numFmtId="0" fontId="7" fillId="0" borderId="9" xfId="32" applyFill="1" applyBorder="1">
      <alignment/>
      <protection/>
    </xf>
    <xf numFmtId="0" fontId="7" fillId="0" borderId="7" xfId="32" applyFill="1" applyBorder="1">
      <alignment/>
      <protection/>
    </xf>
    <xf numFmtId="0" fontId="7" fillId="0" borderId="0" xfId="32" applyFill="1">
      <alignment/>
      <protection/>
    </xf>
    <xf numFmtId="0" fontId="7" fillId="0" borderId="0" xfId="32" applyFont="1" applyFill="1">
      <alignment/>
      <protection/>
    </xf>
    <xf numFmtId="0" fontId="7" fillId="0" borderId="3" xfId="32" applyFill="1" applyBorder="1">
      <alignment/>
      <protection/>
    </xf>
    <xf numFmtId="0" fontId="7" fillId="0" borderId="0" xfId="32" applyFill="1" applyBorder="1">
      <alignment/>
      <protection/>
    </xf>
    <xf numFmtId="0" fontId="7" fillId="0" borderId="4" xfId="32" applyFill="1" applyBorder="1">
      <alignment/>
      <protection/>
    </xf>
    <xf numFmtId="178" fontId="7" fillId="0" borderId="0" xfId="23" applyNumberFormat="1" applyFill="1" applyBorder="1" applyAlignment="1">
      <alignment/>
    </xf>
    <xf numFmtId="178" fontId="7" fillId="0" borderId="4" xfId="23" applyNumberFormat="1" applyFill="1" applyBorder="1" applyAlignment="1">
      <alignment/>
    </xf>
    <xf numFmtId="0" fontId="7" fillId="0" borderId="0" xfId="32" applyFont="1" applyFill="1" applyBorder="1">
      <alignment/>
      <protection/>
    </xf>
    <xf numFmtId="0" fontId="7" fillId="0" borderId="3" xfId="32" applyFont="1" applyFill="1" applyBorder="1">
      <alignment/>
      <protection/>
    </xf>
    <xf numFmtId="177" fontId="7" fillId="0" borderId="0" xfId="32" applyNumberFormat="1" applyFill="1">
      <alignment/>
      <protection/>
    </xf>
    <xf numFmtId="178" fontId="7" fillId="0" borderId="0" xfId="23" applyNumberFormat="1" applyFill="1" applyAlignment="1">
      <alignment/>
    </xf>
    <xf numFmtId="6" fontId="7" fillId="0" borderId="0" xfId="32" applyNumberFormat="1" applyFill="1">
      <alignment/>
      <protection/>
    </xf>
    <xf numFmtId="0" fontId="8" fillId="0" borderId="10" xfId="32" applyFont="1" applyFill="1" applyBorder="1">
      <alignment/>
      <protection/>
    </xf>
    <xf numFmtId="0" fontId="8" fillId="0" borderId="0" xfId="32" applyFont="1" applyFill="1" applyBorder="1">
      <alignment/>
      <protection/>
    </xf>
    <xf numFmtId="178" fontId="8" fillId="0" borderId="0" xfId="19" applyNumberFormat="1" applyFont="1" applyFill="1" applyBorder="1" applyAlignment="1">
      <alignment/>
    </xf>
    <xf numFmtId="8" fontId="7" fillId="0" borderId="0" xfId="32" applyNumberFormat="1" applyFill="1">
      <alignment/>
      <protection/>
    </xf>
    <xf numFmtId="0" fontId="12" fillId="0" borderId="8" xfId="32" applyFont="1" applyFill="1" applyBorder="1">
      <alignment/>
      <protection/>
    </xf>
    <xf numFmtId="0" fontId="7" fillId="0" borderId="3" xfId="32" applyFont="1" applyFill="1" applyBorder="1">
      <alignment/>
      <protection/>
    </xf>
    <xf numFmtId="178" fontId="7" fillId="0" borderId="4" xfId="32" applyNumberFormat="1" applyFill="1" applyBorder="1">
      <alignment/>
      <protection/>
    </xf>
    <xf numFmtId="0" fontId="7" fillId="0" borderId="2" xfId="32" applyFill="1" applyBorder="1">
      <alignment/>
      <protection/>
    </xf>
    <xf numFmtId="0" fontId="7" fillId="0" borderId="6" xfId="32" applyFill="1" applyBorder="1">
      <alignment/>
      <protection/>
    </xf>
    <xf numFmtId="0" fontId="8" fillId="0" borderId="5" xfId="32" applyFont="1" applyFill="1" applyBorder="1">
      <alignment/>
      <protection/>
    </xf>
    <xf numFmtId="178" fontId="7" fillId="0" borderId="9" xfId="23" applyNumberFormat="1" applyFill="1" applyBorder="1" applyAlignment="1">
      <alignment/>
    </xf>
    <xf numFmtId="177" fontId="7" fillId="0" borderId="0" xfId="23" applyNumberFormat="1" applyFill="1" applyBorder="1" applyAlignment="1">
      <alignment/>
    </xf>
    <xf numFmtId="0" fontId="13" fillId="0" borderId="0" xfId="32" applyFont="1" applyFill="1" applyBorder="1">
      <alignment/>
      <protection/>
    </xf>
    <xf numFmtId="0" fontId="7" fillId="2" borderId="11" xfId="32" applyFill="1" applyBorder="1">
      <alignment/>
      <protection/>
    </xf>
    <xf numFmtId="1" fontId="7" fillId="2" borderId="11" xfId="32" applyNumberFormat="1" applyFill="1" applyBorder="1">
      <alignment/>
      <protection/>
    </xf>
    <xf numFmtId="0" fontId="8" fillId="0" borderId="8" xfId="31" applyFont="1" applyFill="1" applyBorder="1">
      <alignment/>
      <protection/>
    </xf>
    <xf numFmtId="0" fontId="7" fillId="0" borderId="9" xfId="31" applyFill="1" applyBorder="1">
      <alignment/>
      <protection/>
    </xf>
    <xf numFmtId="0" fontId="7" fillId="0" borderId="0" xfId="31" applyFill="1">
      <alignment/>
      <protection/>
    </xf>
    <xf numFmtId="0" fontId="7" fillId="0" borderId="3" xfId="31" applyFill="1" applyBorder="1">
      <alignment/>
      <protection/>
    </xf>
    <xf numFmtId="0" fontId="7" fillId="0" borderId="4" xfId="31" applyFill="1" applyBorder="1">
      <alignment/>
      <protection/>
    </xf>
    <xf numFmtId="0" fontId="7" fillId="0" borderId="0" xfId="31" applyFont="1" applyFill="1">
      <alignment/>
      <protection/>
    </xf>
    <xf numFmtId="1" fontId="7" fillId="0" borderId="0" xfId="31" applyNumberFormat="1" applyFill="1" applyBorder="1">
      <alignment/>
      <protection/>
    </xf>
    <xf numFmtId="164" fontId="7" fillId="0" borderId="0" xfId="31" applyNumberFormat="1" applyFill="1" applyBorder="1">
      <alignment/>
      <protection/>
    </xf>
    <xf numFmtId="0" fontId="7" fillId="0" borderId="0" xfId="31" applyFont="1" applyFill="1" applyBorder="1">
      <alignment/>
      <protection/>
    </xf>
    <xf numFmtId="0" fontId="7" fillId="0" borderId="2" xfId="31" applyFill="1" applyBorder="1">
      <alignment/>
      <protection/>
    </xf>
    <xf numFmtId="0" fontId="7" fillId="2" borderId="11" xfId="31" applyFill="1" applyBorder="1">
      <alignment/>
      <protection/>
    </xf>
    <xf numFmtId="1" fontId="7" fillId="2" borderId="11" xfId="31" applyNumberFormat="1" applyFill="1" applyBorder="1">
      <alignment/>
      <protection/>
    </xf>
    <xf numFmtId="2" fontId="7" fillId="2" borderId="11" xfId="31" applyNumberFormat="1" applyFill="1" applyBorder="1">
      <alignment/>
      <protection/>
    </xf>
    <xf numFmtId="0" fontId="9" fillId="0" borderId="0" xfId="31" applyFont="1" applyFill="1" applyBorder="1">
      <alignment/>
      <protection/>
    </xf>
    <xf numFmtId="0" fontId="8" fillId="0" borderId="0" xfId="31" applyFont="1" applyFill="1" applyBorder="1">
      <alignment/>
      <protection/>
    </xf>
    <xf numFmtId="0" fontId="0" fillId="0" borderId="0" xfId="0" applyFill="1" applyBorder="1" applyAlignment="1">
      <alignment horizontal="center"/>
    </xf>
    <xf numFmtId="0" fontId="8" fillId="0" borderId="0" xfId="0" applyFont="1" applyFill="1" applyBorder="1" applyAlignment="1">
      <alignment horizontal="left"/>
    </xf>
    <xf numFmtId="0" fontId="7" fillId="0" borderId="0" xfId="0" applyFont="1" applyFill="1" applyBorder="1" applyAlignment="1">
      <alignment/>
    </xf>
    <xf numFmtId="0" fontId="7" fillId="0" borderId="0" xfId="0" applyFont="1" applyFill="1" applyBorder="1" applyAlignment="1">
      <alignment horizontal="left"/>
    </xf>
    <xf numFmtId="0" fontId="7" fillId="0" borderId="9" xfId="0" applyFont="1" applyFill="1" applyBorder="1" applyAlignment="1">
      <alignment/>
    </xf>
    <xf numFmtId="0" fontId="7" fillId="0" borderId="7" xfId="0" applyFont="1" applyFill="1" applyBorder="1" applyAlignment="1">
      <alignment/>
    </xf>
    <xf numFmtId="0" fontId="7" fillId="0" borderId="5" xfId="0" applyFont="1" applyFill="1" applyBorder="1" applyAlignment="1">
      <alignment horizontal="left"/>
    </xf>
    <xf numFmtId="0" fontId="7" fillId="0" borderId="2" xfId="0" applyFont="1" applyFill="1" applyBorder="1" applyAlignment="1">
      <alignment/>
    </xf>
    <xf numFmtId="0" fontId="7" fillId="0" borderId="6" xfId="0" applyFont="1" applyFill="1" applyBorder="1" applyAlignment="1">
      <alignment/>
    </xf>
    <xf numFmtId="0" fontId="8" fillId="0" borderId="3" xfId="0" applyFont="1" applyFill="1" applyBorder="1" applyAlignment="1">
      <alignment horizontal="left"/>
    </xf>
    <xf numFmtId="164" fontId="7" fillId="0" borderId="0" xfId="0" applyNumberFormat="1" applyFont="1" applyFill="1" applyBorder="1" applyAlignment="1">
      <alignment/>
    </xf>
    <xf numFmtId="0" fontId="7" fillId="0" borderId="4" xfId="0" applyFont="1" applyFill="1" applyBorder="1" applyAlignment="1">
      <alignment/>
    </xf>
    <xf numFmtId="1" fontId="7" fillId="0" borderId="0" xfId="0" applyNumberFormat="1" applyFont="1" applyFill="1" applyBorder="1" applyAlignment="1">
      <alignment/>
    </xf>
    <xf numFmtId="168" fontId="7" fillId="0" borderId="0" xfId="0" applyNumberFormat="1" applyFont="1" applyFill="1" applyBorder="1" applyAlignment="1" applyProtection="1">
      <alignment/>
      <protection/>
    </xf>
    <xf numFmtId="5" fontId="7" fillId="0" borderId="0" xfId="0" applyNumberFormat="1" applyFont="1" applyFill="1" applyBorder="1" applyAlignment="1" applyProtection="1">
      <alignment/>
      <protection/>
    </xf>
    <xf numFmtId="1" fontId="7" fillId="0" borderId="0" xfId="0" applyNumberFormat="1" applyFont="1" applyFill="1" applyBorder="1" applyAlignment="1" applyProtection="1">
      <alignment/>
      <protection/>
    </xf>
    <xf numFmtId="5" fontId="7" fillId="0" borderId="0" xfId="0" applyNumberFormat="1" applyFont="1" applyFill="1" applyBorder="1" applyAlignment="1">
      <alignment/>
    </xf>
    <xf numFmtId="39" fontId="7" fillId="0" borderId="0" xfId="0" applyNumberFormat="1" applyFont="1" applyFill="1" applyBorder="1" applyAlignment="1" applyProtection="1">
      <alignment/>
      <protection/>
    </xf>
    <xf numFmtId="0" fontId="7" fillId="0" borderId="3" xfId="0" applyFont="1" applyFill="1" applyBorder="1" applyAlignment="1">
      <alignment horizontal="left"/>
    </xf>
    <xf numFmtId="169" fontId="7" fillId="0" borderId="0" xfId="0" applyNumberFormat="1" applyFont="1" applyFill="1" applyBorder="1" applyAlignment="1" applyProtection="1">
      <alignment/>
      <protection/>
    </xf>
    <xf numFmtId="0" fontId="7" fillId="0" borderId="3" xfId="0" applyFont="1" applyFill="1" applyBorder="1" applyAlignment="1">
      <alignment/>
    </xf>
    <xf numFmtId="164" fontId="7" fillId="0" borderId="9" xfId="31" applyNumberFormat="1" applyFill="1" applyBorder="1">
      <alignment/>
      <protection/>
    </xf>
    <xf numFmtId="0" fontId="7" fillId="0" borderId="0" xfId="31" applyFont="1" applyFill="1" applyBorder="1" applyAlignment="1">
      <alignment horizontal="right"/>
      <protection/>
    </xf>
    <xf numFmtId="0" fontId="19" fillId="0" borderId="0" xfId="31" applyFont="1" applyFill="1" applyBorder="1">
      <alignment/>
      <protection/>
    </xf>
    <xf numFmtId="0" fontId="12" fillId="0" borderId="8" xfId="32" applyFont="1" applyFill="1" applyBorder="1">
      <alignment/>
      <protection/>
    </xf>
    <xf numFmtId="0" fontId="7" fillId="0" borderId="0" xfId="32" applyFont="1" applyFill="1" applyBorder="1" applyAlignment="1">
      <alignment horizontal="right"/>
      <protection/>
    </xf>
    <xf numFmtId="0" fontId="12" fillId="0" borderId="5" xfId="32" applyFont="1" applyFill="1" applyBorder="1">
      <alignment/>
      <protection/>
    </xf>
    <xf numFmtId="0" fontId="12" fillId="0" borderId="3" xfId="32" applyFont="1" applyFill="1" applyBorder="1" applyAlignment="1">
      <alignment horizontal="left"/>
      <protection/>
    </xf>
    <xf numFmtId="0" fontId="13" fillId="0" borderId="3" xfId="32" applyFont="1" applyFill="1" applyBorder="1" applyAlignment="1">
      <alignment horizontal="left"/>
      <protection/>
    </xf>
    <xf numFmtId="0" fontId="13" fillId="0" borderId="5" xfId="32" applyFont="1" applyFill="1" applyBorder="1" applyAlignment="1">
      <alignment horizontal="left"/>
      <protection/>
    </xf>
    <xf numFmtId="1" fontId="7" fillId="0" borderId="0" xfId="0" applyNumberFormat="1" applyFont="1" applyBorder="1" applyAlignment="1">
      <alignment/>
    </xf>
    <xf numFmtId="0" fontId="12" fillId="0" borderId="0" xfId="0" applyFont="1" applyBorder="1" applyAlignment="1">
      <alignment/>
    </xf>
    <xf numFmtId="0" fontId="7" fillId="0" borderId="0" xfId="0" applyFont="1" applyBorder="1" applyAlignment="1">
      <alignment/>
    </xf>
    <xf numFmtId="1" fontId="7" fillId="0" borderId="0" xfId="0" applyNumberFormat="1" applyFont="1" applyBorder="1" applyAlignment="1">
      <alignment/>
    </xf>
    <xf numFmtId="6" fontId="7" fillId="0" borderId="0" xfId="19" applyNumberFormat="1" applyFont="1" applyBorder="1" applyAlignment="1">
      <alignment/>
    </xf>
    <xf numFmtId="3" fontId="7" fillId="0" borderId="0"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horizontal="left"/>
    </xf>
    <xf numFmtId="0" fontId="7" fillId="0" borderId="0" xfId="0" applyFont="1" applyAlignment="1">
      <alignment/>
    </xf>
    <xf numFmtId="0" fontId="7" fillId="0" borderId="8" xfId="0" applyFont="1" applyBorder="1" applyAlignment="1">
      <alignment/>
    </xf>
    <xf numFmtId="0" fontId="7" fillId="0" borderId="9" xfId="0" applyFont="1" applyBorder="1" applyAlignment="1">
      <alignment/>
    </xf>
    <xf numFmtId="0" fontId="7" fillId="0" borderId="7" xfId="0"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7" fillId="0" borderId="2" xfId="0" applyFont="1" applyBorder="1" applyAlignment="1">
      <alignment/>
    </xf>
    <xf numFmtId="0" fontId="7" fillId="0" borderId="6" xfId="0" applyFont="1" applyBorder="1" applyAlignment="1">
      <alignment/>
    </xf>
    <xf numFmtId="0" fontId="7" fillId="0" borderId="3" xfId="0" applyFont="1" applyBorder="1" applyAlignment="1">
      <alignment horizontal="left"/>
    </xf>
    <xf numFmtId="0" fontId="7" fillId="0" borderId="5" xfId="0" applyFont="1" applyBorder="1" applyAlignment="1">
      <alignment horizontal="left"/>
    </xf>
    <xf numFmtId="3" fontId="7" fillId="0" borderId="0" xfId="0" applyNumberFormat="1" applyFont="1" applyFill="1" applyBorder="1" applyAlignment="1">
      <alignment/>
    </xf>
    <xf numFmtId="0" fontId="12" fillId="0" borderId="0" xfId="0" applyFont="1" applyFill="1" applyBorder="1" applyAlignment="1">
      <alignment/>
    </xf>
    <xf numFmtId="0" fontId="8" fillId="0" borderId="0" xfId="0" applyFont="1" applyFill="1" applyBorder="1" applyAlignment="1">
      <alignment/>
    </xf>
    <xf numFmtId="172" fontId="7" fillId="0" borderId="0" xfId="0" applyNumberFormat="1" applyFont="1" applyFill="1" applyBorder="1" applyAlignment="1">
      <alignment/>
    </xf>
    <xf numFmtId="166" fontId="7" fillId="0" borderId="0" xfId="0" applyNumberFormat="1" applyFont="1" applyFill="1" applyBorder="1" applyAlignment="1" applyProtection="1">
      <alignment horizontal="left"/>
      <protection/>
    </xf>
    <xf numFmtId="166" fontId="7" fillId="0" borderId="0" xfId="0" applyNumberFormat="1" applyFont="1" applyFill="1" applyBorder="1" applyAlignment="1" applyProtection="1">
      <alignment/>
      <protection/>
    </xf>
    <xf numFmtId="182" fontId="7" fillId="0" borderId="0" xfId="19" applyNumberFormat="1" applyFont="1" applyFill="1" applyBorder="1" applyAlignment="1">
      <alignment/>
    </xf>
    <xf numFmtId="182" fontId="7" fillId="0" borderId="0" xfId="0" applyNumberFormat="1" applyFont="1" applyFill="1" applyBorder="1" applyAlignment="1">
      <alignment/>
    </xf>
    <xf numFmtId="4" fontId="7" fillId="0" borderId="0" xfId="0" applyNumberFormat="1" applyFont="1" applyFill="1" applyBorder="1" applyAlignment="1">
      <alignment/>
    </xf>
    <xf numFmtId="0" fontId="7" fillId="0" borderId="8" xfId="0" applyFont="1" applyFill="1" applyBorder="1" applyAlignment="1">
      <alignment/>
    </xf>
    <xf numFmtId="0" fontId="7" fillId="0" borderId="5" xfId="0" applyFont="1" applyFill="1" applyBorder="1" applyAlignment="1">
      <alignment/>
    </xf>
    <xf numFmtId="0" fontId="8" fillId="0" borderId="8" xfId="0"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0" fontId="7" fillId="0" borderId="12" xfId="0" applyFont="1" applyFill="1" applyBorder="1" applyAlignment="1">
      <alignment/>
    </xf>
    <xf numFmtId="0" fontId="7" fillId="0" borderId="9" xfId="0" applyFont="1" applyBorder="1" applyAlignment="1">
      <alignment horizontal="center"/>
    </xf>
    <xf numFmtId="6" fontId="7" fillId="0" borderId="0" xfId="0" applyNumberFormat="1" applyFont="1" applyBorder="1" applyAlignment="1">
      <alignment/>
    </xf>
    <xf numFmtId="5" fontId="7" fillId="0" borderId="0" xfId="0" applyNumberFormat="1" applyFont="1" applyBorder="1" applyAlignment="1">
      <alignment/>
    </xf>
    <xf numFmtId="168" fontId="7" fillId="0" borderId="4" xfId="0" applyNumberFormat="1" applyFont="1" applyFill="1" applyBorder="1" applyAlignment="1" applyProtection="1">
      <alignment/>
      <protection/>
    </xf>
    <xf numFmtId="2" fontId="7" fillId="0" borderId="0" xfId="0" applyNumberFormat="1" applyFont="1" applyBorder="1" applyAlignment="1">
      <alignment/>
    </xf>
    <xf numFmtId="0" fontId="7" fillId="0" borderId="0" xfId="0" applyFont="1" applyFill="1" applyBorder="1" applyAlignment="1">
      <alignment horizontal="right"/>
    </xf>
    <xf numFmtId="2" fontId="7" fillId="0" borderId="0" xfId="0" applyNumberFormat="1" applyFont="1" applyFill="1" applyBorder="1" applyAlignment="1">
      <alignment/>
    </xf>
    <xf numFmtId="0" fontId="15" fillId="0" borderId="0" xfId="0" applyFont="1" applyFill="1" applyBorder="1" applyAlignment="1">
      <alignment horizontal="right"/>
    </xf>
    <xf numFmtId="0" fontId="12" fillId="0" borderId="0" xfId="0" applyFont="1" applyAlignment="1">
      <alignment/>
    </xf>
    <xf numFmtId="0" fontId="8" fillId="0" borderId="0" xfId="0" applyFont="1" applyAlignment="1">
      <alignment/>
    </xf>
    <xf numFmtId="2" fontId="7" fillId="0" borderId="0" xfId="0" applyNumberFormat="1" applyFont="1" applyAlignment="1">
      <alignment/>
    </xf>
    <xf numFmtId="167" fontId="7" fillId="0" borderId="0" xfId="0" applyNumberFormat="1" applyFont="1" applyBorder="1" applyAlignment="1" applyProtection="1">
      <alignment/>
      <protection/>
    </xf>
    <xf numFmtId="7" fontId="7" fillId="0" borderId="0" xfId="0" applyNumberFormat="1" applyFont="1" applyBorder="1" applyAlignment="1">
      <alignment/>
    </xf>
    <xf numFmtId="39"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5" fontId="7" fillId="0" borderId="0" xfId="0" applyNumberFormat="1" applyFont="1" applyBorder="1" applyAlignment="1" applyProtection="1">
      <alignment/>
      <protection/>
    </xf>
    <xf numFmtId="0" fontId="12" fillId="0" borderId="0" xfId="0" applyFont="1" applyAlignment="1">
      <alignment/>
    </xf>
    <xf numFmtId="0" fontId="12" fillId="0" borderId="0" xfId="0" applyFont="1" applyFill="1" applyBorder="1" applyAlignment="1">
      <alignment horizontal="left"/>
    </xf>
    <xf numFmtId="38" fontId="7" fillId="0" borderId="0" xfId="15" applyNumberFormat="1" applyFont="1" applyFill="1" applyBorder="1" applyAlignment="1">
      <alignment/>
    </xf>
    <xf numFmtId="0" fontId="7" fillId="0" borderId="0" xfId="0" applyFont="1" applyFill="1" applyBorder="1" applyAlignment="1">
      <alignment horizontal="center"/>
    </xf>
    <xf numFmtId="0" fontId="7" fillId="0" borderId="11" xfId="0" applyFont="1" applyFill="1" applyBorder="1" applyAlignment="1">
      <alignment/>
    </xf>
    <xf numFmtId="168" fontId="7" fillId="0" borderId="11" xfId="0" applyNumberFormat="1" applyFont="1" applyFill="1" applyBorder="1" applyAlignment="1">
      <alignment/>
    </xf>
    <xf numFmtId="2" fontId="7" fillId="0" borderId="11" xfId="0" applyNumberFormat="1" applyFont="1" applyFill="1" applyBorder="1" applyAlignment="1">
      <alignment/>
    </xf>
    <xf numFmtId="164" fontId="7" fillId="0" borderId="11" xfId="0" applyNumberFormat="1" applyFont="1" applyFill="1" applyBorder="1" applyAlignment="1">
      <alignment/>
    </xf>
    <xf numFmtId="2" fontId="7" fillId="0" borderId="0" xfId="0" applyNumberFormat="1" applyFont="1" applyFill="1" applyAlignment="1">
      <alignment/>
    </xf>
    <xf numFmtId="0" fontId="7" fillId="0" borderId="0" xfId="0" applyFont="1" applyFill="1" applyAlignment="1">
      <alignment/>
    </xf>
    <xf numFmtId="0" fontId="13" fillId="0" borderId="0" xfId="0" applyFont="1" applyFill="1" applyBorder="1" applyAlignment="1">
      <alignment horizontal="right"/>
    </xf>
    <xf numFmtId="0" fontId="13" fillId="0" borderId="0" xfId="0" applyFont="1" applyFill="1" applyBorder="1" applyAlignment="1">
      <alignment horizontal="left"/>
    </xf>
    <xf numFmtId="11" fontId="7"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13" xfId="0" applyFont="1" applyFill="1" applyBorder="1" applyAlignment="1">
      <alignment/>
    </xf>
    <xf numFmtId="2" fontId="22" fillId="2" borderId="11" xfId="0" applyNumberFormat="1" applyFont="1" applyFill="1" applyBorder="1" applyAlignment="1" applyProtection="1">
      <alignment/>
      <protection locked="0"/>
    </xf>
    <xf numFmtId="0" fontId="7" fillId="0" borderId="11" xfId="0" applyFont="1" applyFill="1" applyBorder="1" applyAlignment="1">
      <alignment horizontal="right"/>
    </xf>
    <xf numFmtId="0" fontId="8" fillId="0" borderId="11" xfId="0" applyFont="1" applyFill="1" applyBorder="1" applyAlignment="1">
      <alignment horizontal="center"/>
    </xf>
    <xf numFmtId="184" fontId="7" fillId="0" borderId="11" xfId="0" applyNumberFormat="1" applyFont="1" applyFill="1" applyBorder="1" applyAlignment="1">
      <alignment/>
    </xf>
    <xf numFmtId="175" fontId="7" fillId="0" borderId="11" xfId="0" applyNumberFormat="1" applyFont="1" applyFill="1" applyBorder="1" applyAlignment="1">
      <alignment/>
    </xf>
    <xf numFmtId="176" fontId="7" fillId="0" borderId="11" xfId="0" applyNumberFormat="1" applyFont="1" applyFill="1" applyBorder="1" applyAlignment="1">
      <alignment/>
    </xf>
    <xf numFmtId="0" fontId="7" fillId="0" borderId="11" xfId="0" applyFont="1" applyFill="1" applyBorder="1" applyAlignment="1" quotePrefix="1">
      <alignment horizontal="right"/>
    </xf>
    <xf numFmtId="0" fontId="7" fillId="0" borderId="11" xfId="0" applyFont="1" applyFill="1" applyBorder="1" applyAlignment="1" quotePrefix="1">
      <alignment horizontal="right" vertical="center"/>
    </xf>
    <xf numFmtId="0" fontId="13" fillId="0" borderId="0" xfId="0" applyFont="1" applyBorder="1" applyAlignment="1">
      <alignment/>
    </xf>
    <xf numFmtId="0" fontId="13" fillId="0" borderId="0" xfId="0" applyFont="1" applyAlignment="1">
      <alignment/>
    </xf>
    <xf numFmtId="0" fontId="13" fillId="0" borderId="0" xfId="31" applyFont="1" applyFill="1" applyBorder="1">
      <alignment/>
      <protection/>
    </xf>
    <xf numFmtId="0" fontId="7" fillId="2" borderId="11" xfId="0" applyFont="1" applyFill="1" applyBorder="1" applyAlignment="1">
      <alignment horizontal="center"/>
    </xf>
    <xf numFmtId="0" fontId="7" fillId="2" borderId="14" xfId="0" applyFont="1" applyFill="1" applyBorder="1" applyAlignment="1">
      <alignment horizontal="center"/>
    </xf>
    <xf numFmtId="0" fontId="7" fillId="0" borderId="3" xfId="0" applyFont="1" applyBorder="1" applyAlignment="1" applyProtection="1">
      <alignment horizontal="left"/>
      <protection/>
    </xf>
    <xf numFmtId="0" fontId="7" fillId="0" borderId="4" xfId="0" applyFont="1" applyBorder="1" applyAlignment="1" applyProtection="1">
      <alignment/>
      <protection/>
    </xf>
    <xf numFmtId="183" fontId="7" fillId="0" borderId="0" xfId="0" applyNumberFormat="1" applyFont="1" applyFill="1" applyBorder="1" applyAlignment="1">
      <alignment horizontal="left"/>
    </xf>
    <xf numFmtId="0" fontId="7" fillId="0" borderId="7" xfId="0" applyFont="1" applyFill="1" applyBorder="1" applyAlignment="1" applyProtection="1">
      <alignment/>
      <protection/>
    </xf>
    <xf numFmtId="0" fontId="7" fillId="0" borderId="4" xfId="0" applyFont="1" applyBorder="1" applyAlignment="1" applyProtection="1">
      <alignment/>
      <protection/>
    </xf>
    <xf numFmtId="0" fontId="7" fillId="0" borderId="4" xfId="0" applyFont="1" applyFill="1" applyBorder="1" applyAlignment="1" applyProtection="1">
      <alignment/>
      <protection/>
    </xf>
    <xf numFmtId="0" fontId="7" fillId="0" borderId="6" xfId="0" applyFont="1" applyFill="1" applyBorder="1" applyAlignment="1" applyProtection="1">
      <alignment/>
      <protection/>
    </xf>
    <xf numFmtId="164" fontId="7" fillId="0" borderId="2" xfId="0" applyNumberFormat="1" applyFont="1" applyFill="1" applyBorder="1" applyAlignment="1">
      <alignment/>
    </xf>
    <xf numFmtId="0" fontId="8" fillId="0" borderId="0" xfId="0" applyFont="1" applyFill="1" applyBorder="1" applyAlignment="1">
      <alignment horizontal="right"/>
    </xf>
    <xf numFmtId="1" fontId="7" fillId="0" borderId="0" xfId="0" applyNumberFormat="1" applyFont="1" applyAlignment="1">
      <alignment/>
    </xf>
    <xf numFmtId="0" fontId="7" fillId="0" borderId="15" xfId="0" applyFont="1" applyBorder="1" applyAlignment="1">
      <alignment/>
    </xf>
    <xf numFmtId="2" fontId="8" fillId="0" borderId="0" xfId="0" applyNumberFormat="1" applyFont="1" applyFill="1" applyAlignment="1">
      <alignment horizontal="center" wrapText="1"/>
    </xf>
    <xf numFmtId="165" fontId="7" fillId="2" borderId="11" xfId="0" applyNumberFormat="1" applyFont="1" applyFill="1" applyBorder="1" applyAlignment="1">
      <alignment horizontal="center"/>
    </xf>
    <xf numFmtId="1" fontId="7" fillId="0" borderId="0" xfId="19" applyNumberFormat="1" applyFont="1" applyBorder="1" applyAlignment="1">
      <alignment/>
    </xf>
    <xf numFmtId="182" fontId="7" fillId="0" borderId="0" xfId="0" applyNumberFormat="1" applyFont="1" applyBorder="1" applyAlignment="1">
      <alignment/>
    </xf>
    <xf numFmtId="1" fontId="7" fillId="0" borderId="0" xfId="0" applyNumberFormat="1" applyFont="1" applyFill="1" applyBorder="1" applyAlignment="1">
      <alignment horizontal="center"/>
    </xf>
    <xf numFmtId="182" fontId="7" fillId="0" borderId="0" xfId="0" applyNumberFormat="1" applyFont="1" applyFill="1" applyBorder="1" applyAlignment="1">
      <alignment horizontal="center"/>
    </xf>
    <xf numFmtId="2" fontId="7" fillId="0" borderId="11" xfId="31" applyNumberFormat="1" applyFill="1" applyBorder="1">
      <alignment/>
      <protection/>
    </xf>
    <xf numFmtId="0" fontId="7" fillId="0" borderId="0" xfId="28">
      <alignment/>
      <protection/>
    </xf>
    <xf numFmtId="0" fontId="7" fillId="0" borderId="9" xfId="28" applyBorder="1">
      <alignment/>
      <protection/>
    </xf>
    <xf numFmtId="0" fontId="7" fillId="0" borderId="0" xfId="28" applyBorder="1">
      <alignment/>
      <protection/>
    </xf>
    <xf numFmtId="0" fontId="7" fillId="0" borderId="4" xfId="28" applyBorder="1">
      <alignment/>
      <protection/>
    </xf>
    <xf numFmtId="0" fontId="7" fillId="0" borderId="0" xfId="28" applyBorder="1" applyAlignment="1">
      <alignment horizontal="center"/>
      <protection/>
    </xf>
    <xf numFmtId="0" fontId="7" fillId="0" borderId="0" xfId="32">
      <alignment/>
      <protection/>
    </xf>
    <xf numFmtId="0" fontId="7" fillId="0" borderId="0" xfId="32" applyBorder="1">
      <alignment/>
      <protection/>
    </xf>
    <xf numFmtId="182" fontId="7" fillId="0" borderId="0" xfId="0" applyNumberFormat="1" applyFont="1" applyAlignment="1">
      <alignment/>
    </xf>
    <xf numFmtId="182" fontId="7" fillId="0" borderId="0" xfId="0" applyNumberFormat="1" applyFont="1" applyAlignment="1">
      <alignment/>
    </xf>
    <xf numFmtId="182" fontId="7" fillId="0" borderId="0" xfId="0" applyNumberFormat="1" applyFont="1" applyAlignment="1">
      <alignment horizontal="center"/>
    </xf>
    <xf numFmtId="1" fontId="7" fillId="0" borderId="0" xfId="0" applyNumberFormat="1" applyFont="1" applyBorder="1" applyAlignment="1" applyProtection="1">
      <alignment horizontal="center"/>
      <protection/>
    </xf>
    <xf numFmtId="182" fontId="7" fillId="0" borderId="0" xfId="0" applyNumberFormat="1" applyFont="1" applyBorder="1" applyAlignment="1" applyProtection="1">
      <alignment horizontal="center"/>
      <protection/>
    </xf>
    <xf numFmtId="1" fontId="7" fillId="0" borderId="0" xfId="0" applyNumberFormat="1" applyFont="1" applyBorder="1" applyAlignment="1" applyProtection="1">
      <alignment horizontal="center"/>
      <protection/>
    </xf>
    <xf numFmtId="182" fontId="7" fillId="0" borderId="0" xfId="0" applyNumberFormat="1" applyFont="1" applyBorder="1" applyAlignment="1" applyProtection="1">
      <alignment horizontal="center"/>
      <protection/>
    </xf>
    <xf numFmtId="1" fontId="7" fillId="0" borderId="0" xfId="0" applyNumberFormat="1" applyFont="1" applyBorder="1" applyAlignment="1" applyProtection="1">
      <alignment horizontal="center"/>
      <protection/>
    </xf>
    <xf numFmtId="0" fontId="7" fillId="0" borderId="0" xfId="0" applyFont="1" applyBorder="1" applyAlignment="1" applyProtection="1">
      <alignment horizontal="center"/>
      <protection/>
    </xf>
    <xf numFmtId="2" fontId="7" fillId="0" borderId="0" xfId="19" applyNumberFormat="1" applyFont="1" applyFill="1" applyBorder="1" applyAlignment="1">
      <alignment/>
    </xf>
    <xf numFmtId="0" fontId="7" fillId="0" borderId="0" xfId="28" applyFill="1" applyBorder="1">
      <alignment/>
      <protection/>
    </xf>
    <xf numFmtId="0" fontId="7" fillId="0" borderId="4" xfId="28" applyFill="1" applyBorder="1">
      <alignment/>
      <protection/>
    </xf>
    <xf numFmtId="1" fontId="24" fillId="0" borderId="0" xfId="31" applyNumberFormat="1" applyFont="1" applyFill="1" applyBorder="1">
      <alignment/>
      <protection/>
    </xf>
    <xf numFmtId="0" fontId="24" fillId="0" borderId="0" xfId="31" applyFont="1" applyFill="1" applyBorder="1" applyAlignment="1">
      <alignment horizontal="left"/>
      <protection/>
    </xf>
    <xf numFmtId="0" fontId="24" fillId="0" borderId="4" xfId="31" applyFont="1" applyFill="1" applyBorder="1" applyAlignment="1">
      <alignment horizontal="left"/>
      <protection/>
    </xf>
    <xf numFmtId="0" fontId="7" fillId="0" borderId="0" xfId="28" applyFill="1">
      <alignment/>
      <protection/>
    </xf>
    <xf numFmtId="1" fontId="7" fillId="0" borderId="0" xfId="31" applyNumberFormat="1" applyFont="1" applyFill="1" applyBorder="1">
      <alignment/>
      <protection/>
    </xf>
    <xf numFmtId="164" fontId="7" fillId="0" borderId="0" xfId="0" applyNumberFormat="1" applyFont="1" applyBorder="1" applyAlignment="1">
      <alignment/>
    </xf>
    <xf numFmtId="0" fontId="7" fillId="0" borderId="0" xfId="29">
      <alignment/>
      <protection/>
    </xf>
    <xf numFmtId="11" fontId="7" fillId="0" borderId="0" xfId="29" applyNumberFormat="1">
      <alignment/>
      <protection/>
    </xf>
    <xf numFmtId="0" fontId="7" fillId="0" borderId="0" xfId="29" applyFont="1">
      <alignment/>
      <protection/>
    </xf>
    <xf numFmtId="174" fontId="7" fillId="0" borderId="0" xfId="29" applyNumberFormat="1">
      <alignment/>
      <protection/>
    </xf>
    <xf numFmtId="1" fontId="7" fillId="0" borderId="0" xfId="19" applyNumberFormat="1" applyAlignment="1">
      <alignment/>
    </xf>
    <xf numFmtId="1" fontId="7" fillId="0" borderId="0" xfId="29" applyNumberFormat="1">
      <alignment/>
      <protection/>
    </xf>
    <xf numFmtId="2" fontId="7" fillId="0" borderId="0" xfId="29" applyNumberFormat="1">
      <alignment/>
      <protection/>
    </xf>
    <xf numFmtId="2" fontId="7" fillId="0" borderId="0" xfId="34" applyNumberFormat="1" applyAlignment="1">
      <alignment/>
    </xf>
    <xf numFmtId="10" fontId="7" fillId="0" borderId="0" xfId="34" applyNumberFormat="1" applyAlignment="1">
      <alignment/>
    </xf>
    <xf numFmtId="6" fontId="7" fillId="0" borderId="0" xfId="19" applyNumberFormat="1" applyAlignment="1">
      <alignment/>
    </xf>
    <xf numFmtId="44" fontId="7" fillId="0" borderId="0" xfId="29" applyNumberFormat="1">
      <alignment/>
      <protection/>
    </xf>
    <xf numFmtId="0" fontId="7" fillId="0" borderId="0" xfId="29" applyFill="1">
      <alignment/>
      <protection/>
    </xf>
    <xf numFmtId="9" fontId="7" fillId="0" borderId="0" xfId="34" applyAlignment="1">
      <alignment/>
    </xf>
    <xf numFmtId="178" fontId="7" fillId="0" borderId="0" xfId="29" applyNumberFormat="1">
      <alignment/>
      <protection/>
    </xf>
    <xf numFmtId="185" fontId="7" fillId="0" borderId="0" xfId="34" applyNumberFormat="1" applyAlignment="1">
      <alignment/>
    </xf>
    <xf numFmtId="177" fontId="7" fillId="0" borderId="2" xfId="32" applyNumberFormat="1" applyFill="1" applyBorder="1">
      <alignment/>
      <protection/>
    </xf>
    <xf numFmtId="178" fontId="13" fillId="0" borderId="0" xfId="32" applyNumberFormat="1" applyFont="1" applyFill="1" applyBorder="1">
      <alignment/>
      <protection/>
    </xf>
    <xf numFmtId="187" fontId="0" fillId="0" borderId="0" xfId="0" applyNumberFormat="1" applyAlignment="1">
      <alignment/>
    </xf>
    <xf numFmtId="0" fontId="7" fillId="0" borderId="0" xfId="28" applyFont="1" applyFill="1">
      <alignment/>
      <protection/>
    </xf>
    <xf numFmtId="166" fontId="13" fillId="0" borderId="0" xfId="0" applyNumberFormat="1" applyFont="1" applyBorder="1" applyAlignment="1" applyProtection="1" quotePrefix="1">
      <alignment/>
      <protection/>
    </xf>
    <xf numFmtId="2" fontId="0" fillId="0" borderId="0" xfId="0" applyNumberFormat="1" applyBorder="1" applyAlignment="1">
      <alignment/>
    </xf>
    <xf numFmtId="1" fontId="13" fillId="0" borderId="0" xfId="0" applyNumberFormat="1" applyFont="1" applyBorder="1" applyAlignment="1" applyProtection="1">
      <alignment/>
      <protection/>
    </xf>
    <xf numFmtId="0" fontId="0" fillId="0" borderId="0" xfId="0" applyFill="1" applyBorder="1" applyAlignment="1">
      <alignment/>
    </xf>
    <xf numFmtId="2" fontId="0" fillId="0" borderId="0" xfId="0" applyNumberFormat="1" applyAlignment="1">
      <alignment/>
    </xf>
    <xf numFmtId="4" fontId="5" fillId="0" borderId="0" xfId="0" applyNumberFormat="1" applyFont="1" applyAlignment="1" applyProtection="1">
      <alignment/>
      <protection locked="0"/>
    </xf>
    <xf numFmtId="0" fontId="22" fillId="0" borderId="0" xfId="0" applyFont="1" applyAlignment="1">
      <alignment/>
    </xf>
    <xf numFmtId="11" fontId="7" fillId="0" borderId="0" xfId="0" applyNumberFormat="1" applyFont="1" applyAlignment="1">
      <alignment/>
    </xf>
    <xf numFmtId="4" fontId="5" fillId="0" borderId="0" xfId="0" applyNumberFormat="1" applyFont="1" applyBorder="1" applyAlignment="1" applyProtection="1">
      <alignment/>
      <protection locked="0"/>
    </xf>
    <xf numFmtId="0" fontId="7" fillId="0" borderId="0" xfId="0" applyFont="1" applyBorder="1" applyAlignment="1" applyProtection="1">
      <alignment horizontal="left"/>
      <protection/>
    </xf>
    <xf numFmtId="6" fontId="7" fillId="0" borderId="0" xfId="19" applyNumberFormat="1" applyFont="1" applyBorder="1" applyAlignment="1" applyProtection="1">
      <alignment/>
      <protection/>
    </xf>
    <xf numFmtId="166" fontId="7"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169" fontId="7" fillId="2" borderId="16" xfId="0" applyNumberFormat="1" applyFont="1" applyFill="1" applyBorder="1" applyAlignment="1" applyProtection="1">
      <alignment/>
      <protection/>
    </xf>
    <xf numFmtId="5" fontId="7" fillId="0" borderId="0" xfId="0" applyNumberFormat="1" applyFont="1" applyFill="1" applyBorder="1" applyAlignment="1" applyProtection="1">
      <alignment/>
      <protection/>
    </xf>
    <xf numFmtId="6" fontId="7" fillId="0" borderId="0" xfId="19" applyNumberFormat="1" applyFont="1" applyFill="1" applyBorder="1" applyAlignment="1">
      <alignment/>
    </xf>
    <xf numFmtId="0" fontId="7" fillId="0" borderId="0" xfId="0" applyFont="1" applyBorder="1" applyAlignment="1" applyProtection="1">
      <alignment/>
      <protection/>
    </xf>
    <xf numFmtId="0" fontId="7" fillId="0" borderId="0" xfId="0" applyFont="1" applyFill="1" applyBorder="1" applyAlignment="1" applyProtection="1">
      <alignment/>
      <protection/>
    </xf>
    <xf numFmtId="5" fontId="7"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0" fontId="7" fillId="0" borderId="17" xfId="0" applyFont="1" applyBorder="1" applyAlignment="1">
      <alignment/>
    </xf>
    <xf numFmtId="0" fontId="7" fillId="2" borderId="11" xfId="0" applyFont="1" applyFill="1" applyBorder="1" applyAlignment="1">
      <alignment/>
    </xf>
    <xf numFmtId="164" fontId="7" fillId="2" borderId="11" xfId="0" applyNumberFormat="1" applyFont="1" applyFill="1" applyBorder="1" applyAlignment="1">
      <alignment/>
    </xf>
    <xf numFmtId="0" fontId="7" fillId="2" borderId="16" xfId="0" applyFont="1" applyFill="1" applyBorder="1" applyAlignment="1">
      <alignment/>
    </xf>
    <xf numFmtId="0" fontId="7" fillId="0" borderId="0" xfId="27">
      <alignment/>
      <protection/>
    </xf>
    <xf numFmtId="178" fontId="7" fillId="0" borderId="0" xfId="27" applyNumberFormat="1">
      <alignment/>
      <protection/>
    </xf>
    <xf numFmtId="8" fontId="7" fillId="0" borderId="0" xfId="27" applyNumberFormat="1">
      <alignment/>
      <protection/>
    </xf>
    <xf numFmtId="0" fontId="7" fillId="0" borderId="2" xfId="27" applyBorder="1">
      <alignment/>
      <protection/>
    </xf>
    <xf numFmtId="178" fontId="8" fillId="0" borderId="0" xfId="27" applyNumberFormat="1" applyFont="1">
      <alignment/>
      <protection/>
    </xf>
    <xf numFmtId="8" fontId="7" fillId="0" borderId="2" xfId="27" applyNumberFormat="1" applyBorder="1">
      <alignment/>
      <protection/>
    </xf>
    <xf numFmtId="0" fontId="7" fillId="0" borderId="0" xfId="28" applyFont="1">
      <alignment/>
      <protection/>
    </xf>
    <xf numFmtId="1" fontId="7" fillId="0" borderId="0" xfId="28" applyNumberFormat="1">
      <alignment/>
      <protection/>
    </xf>
    <xf numFmtId="1" fontId="7" fillId="0" borderId="0" xfId="28" applyNumberFormat="1" applyFont="1" applyFill="1">
      <alignment/>
      <protection/>
    </xf>
    <xf numFmtId="4" fontId="7" fillId="0" borderId="0" xfId="31" applyNumberFormat="1" applyFill="1" applyBorder="1">
      <alignment/>
      <protection/>
    </xf>
    <xf numFmtId="2" fontId="7" fillId="0" borderId="0" xfId="32" applyNumberFormat="1" applyFont="1" applyFill="1">
      <alignment/>
      <protection/>
    </xf>
    <xf numFmtId="0" fontId="0" fillId="0" borderId="0" xfId="0" applyAlignment="1">
      <alignment wrapText="1"/>
    </xf>
    <xf numFmtId="1" fontId="22" fillId="2" borderId="11" xfId="0" applyNumberFormat="1" applyFont="1" applyFill="1" applyBorder="1" applyAlignment="1" applyProtection="1">
      <alignment/>
      <protection locked="0"/>
    </xf>
    <xf numFmtId="1" fontId="8" fillId="0" borderId="11" xfId="0" applyNumberFormat="1" applyFont="1" applyFill="1" applyBorder="1" applyAlignment="1">
      <alignment horizontal="center"/>
    </xf>
    <xf numFmtId="6" fontId="7" fillId="0" borderId="0" xfId="19" applyNumberFormat="1" applyFont="1" applyAlignment="1">
      <alignment/>
    </xf>
    <xf numFmtId="38" fontId="7" fillId="0" borderId="0" xfId="15" applyNumberFormat="1" applyFont="1" applyBorder="1" applyAlignment="1">
      <alignment/>
    </xf>
    <xf numFmtId="38" fontId="7" fillId="0" borderId="0" xfId="15" applyNumberFormat="1" applyFont="1" applyAlignment="1">
      <alignment/>
    </xf>
    <xf numFmtId="1" fontId="7" fillId="0" borderId="2" xfId="32" applyNumberFormat="1" applyFill="1" applyBorder="1">
      <alignment/>
      <protection/>
    </xf>
    <xf numFmtId="9" fontId="7" fillId="0" borderId="0" xfId="27" applyNumberFormat="1">
      <alignment/>
      <protection/>
    </xf>
    <xf numFmtId="0" fontId="7" fillId="3" borderId="0" xfId="0" applyFont="1" applyFill="1" applyAlignment="1">
      <alignment/>
    </xf>
    <xf numFmtId="0" fontId="0" fillId="0" borderId="0" xfId="0" applyAlignment="1">
      <alignment horizontal="left" wrapText="1"/>
    </xf>
    <xf numFmtId="2" fontId="0" fillId="0" borderId="18" xfId="0" applyNumberFormat="1" applyBorder="1" applyAlignment="1">
      <alignment/>
    </xf>
    <xf numFmtId="2" fontId="0" fillId="0" borderId="19" xfId="0" applyNumberFormat="1" applyBorder="1" applyAlignment="1">
      <alignment/>
    </xf>
    <xf numFmtId="2" fontId="0" fillId="0" borderId="20" xfId="0" applyNumberFormat="1" applyBorder="1" applyAlignment="1">
      <alignment/>
    </xf>
    <xf numFmtId="2" fontId="0" fillId="0" borderId="21" xfId="0" applyNumberFormat="1" applyBorder="1" applyAlignment="1">
      <alignment/>
    </xf>
    <xf numFmtId="2" fontId="0" fillId="0" borderId="15" xfId="0" applyNumberFormat="1" applyBorder="1" applyAlignment="1">
      <alignment/>
    </xf>
    <xf numFmtId="2" fontId="0" fillId="0" borderId="22" xfId="0" applyNumberFormat="1" applyBorder="1" applyAlignment="1">
      <alignment/>
    </xf>
    <xf numFmtId="2" fontId="0" fillId="0" borderId="1" xfId="0" applyNumberFormat="1" applyBorder="1" applyAlignment="1">
      <alignment/>
    </xf>
    <xf numFmtId="2" fontId="0" fillId="0" borderId="23" xfId="0" applyNumberFormat="1" applyBorder="1" applyAlignment="1">
      <alignment/>
    </xf>
    <xf numFmtId="0" fontId="22" fillId="0" borderId="11" xfId="0" applyFont="1" applyFill="1" applyBorder="1" applyAlignment="1" applyProtection="1">
      <alignment/>
      <protection locked="0"/>
    </xf>
    <xf numFmtId="11" fontId="22" fillId="0" borderId="11" xfId="0" applyNumberFormat="1" applyFont="1" applyFill="1" applyBorder="1" applyAlignment="1" applyProtection="1">
      <alignment/>
      <protection locked="0"/>
    </xf>
    <xf numFmtId="1" fontId="22" fillId="0" borderId="11" xfId="0" applyNumberFormat="1" applyFont="1" applyFill="1" applyBorder="1" applyAlignment="1" applyProtection="1">
      <alignment/>
      <protection locked="0"/>
    </xf>
    <xf numFmtId="2" fontId="22" fillId="0" borderId="11" xfId="0" applyNumberFormat="1" applyFont="1" applyFill="1" applyBorder="1" applyAlignment="1" applyProtection="1">
      <alignment/>
      <protection locked="0"/>
    </xf>
    <xf numFmtId="165" fontId="7" fillId="0" borderId="11" xfId="0" applyNumberFormat="1" applyFont="1" applyFill="1" applyBorder="1" applyAlignment="1" applyProtection="1">
      <alignment/>
      <protection locked="0"/>
    </xf>
    <xf numFmtId="0" fontId="22" fillId="0" borderId="0" xfId="0" applyFont="1" applyFill="1" applyBorder="1" applyAlignment="1">
      <alignment/>
    </xf>
    <xf numFmtId="0" fontId="22" fillId="0" borderId="0" xfId="0" applyFont="1" applyFill="1" applyAlignment="1">
      <alignment/>
    </xf>
    <xf numFmtId="8" fontId="7" fillId="0" borderId="0" xfId="0" applyNumberFormat="1" applyFont="1" applyAlignment="1">
      <alignment/>
    </xf>
    <xf numFmtId="164" fontId="0" fillId="0" borderId="0" xfId="0" applyNumberFormat="1" applyAlignment="1">
      <alignment/>
    </xf>
    <xf numFmtId="0" fontId="0" fillId="3" borderId="11" xfId="0" applyFill="1" applyBorder="1" applyAlignment="1">
      <alignment/>
    </xf>
    <xf numFmtId="1" fontId="0" fillId="4" borderId="11" xfId="0" applyNumberFormat="1" applyFill="1" applyBorder="1" applyAlignment="1">
      <alignment/>
    </xf>
    <xf numFmtId="2" fontId="0" fillId="4" borderId="11" xfId="0" applyNumberFormat="1" applyFill="1" applyBorder="1" applyAlignment="1">
      <alignment/>
    </xf>
    <xf numFmtId="0" fontId="0" fillId="2" borderId="11" xfId="0" applyFill="1" applyBorder="1" applyAlignment="1">
      <alignment/>
    </xf>
    <xf numFmtId="0" fontId="0" fillId="5" borderId="0" xfId="0" applyFill="1" applyAlignment="1">
      <alignment/>
    </xf>
    <xf numFmtId="189" fontId="0" fillId="0" borderId="0" xfId="0" applyNumberFormat="1" applyAlignment="1">
      <alignment/>
    </xf>
    <xf numFmtId="165" fontId="0" fillId="0" borderId="0" xfId="0" applyNumberFormat="1" applyAlignment="1">
      <alignment/>
    </xf>
    <xf numFmtId="38" fontId="7" fillId="0" borderId="0" xfId="15" applyNumberFormat="1" applyFill="1" applyAlignment="1">
      <alignment/>
    </xf>
    <xf numFmtId="172" fontId="7" fillId="0" borderId="0" xfId="32" applyNumberFormat="1" applyFill="1">
      <alignment/>
      <protection/>
    </xf>
    <xf numFmtId="2" fontId="0" fillId="5" borderId="11" xfId="0" applyNumberFormat="1" applyFill="1" applyBorder="1" applyAlignment="1">
      <alignment/>
    </xf>
    <xf numFmtId="0" fontId="0" fillId="0" borderId="0" xfId="33">
      <alignment/>
      <protection/>
    </xf>
    <xf numFmtId="0" fontId="0" fillId="0" borderId="10" xfId="33" applyBorder="1">
      <alignment/>
      <protection/>
    </xf>
    <xf numFmtId="6" fontId="0" fillId="0" borderId="12" xfId="24" applyNumberFormat="1" applyBorder="1" applyAlignment="1">
      <alignment/>
    </xf>
    <xf numFmtId="0" fontId="7" fillId="0" borderId="0" xfId="0" applyFont="1" applyBorder="1" applyAlignment="1" applyProtection="1">
      <alignment horizontal="left"/>
      <protection/>
    </xf>
    <xf numFmtId="0" fontId="7" fillId="0" borderId="7" xfId="0" applyFont="1" applyBorder="1" applyAlignment="1" applyProtection="1">
      <alignment/>
      <protection/>
    </xf>
    <xf numFmtId="0" fontId="7" fillId="0" borderId="3" xfId="0" applyFont="1" applyBorder="1" applyAlignment="1" applyProtection="1">
      <alignment horizontal="left"/>
      <protection/>
    </xf>
    <xf numFmtId="0" fontId="7" fillId="0" borderId="4" xfId="0" applyFont="1" applyBorder="1" applyAlignment="1" applyProtection="1">
      <alignment/>
      <protection/>
    </xf>
    <xf numFmtId="0" fontId="7" fillId="0" borderId="6" xfId="0" applyFont="1" applyBorder="1" applyAlignment="1" applyProtection="1">
      <alignment/>
      <protection/>
    </xf>
    <xf numFmtId="0" fontId="7" fillId="0" borderId="0" xfId="0" applyFont="1" applyBorder="1" applyAlignment="1" applyProtection="1">
      <alignment horizontal="center"/>
      <protection/>
    </xf>
    <xf numFmtId="1" fontId="7" fillId="0" borderId="0" xfId="0" applyNumberFormat="1" applyFont="1" applyBorder="1" applyAlignment="1" applyProtection="1">
      <alignment horizontal="center"/>
      <protection/>
    </xf>
    <xf numFmtId="182" fontId="7" fillId="0" borderId="0" xfId="0" applyNumberFormat="1" applyFont="1" applyBorder="1" applyAlignment="1" applyProtection="1">
      <alignment horizontal="center"/>
      <protection/>
    </xf>
    <xf numFmtId="182" fontId="7" fillId="0" borderId="0" xfId="0" applyNumberFormat="1" applyFont="1" applyBorder="1" applyAlignment="1" applyProtection="1">
      <alignment/>
      <protection/>
    </xf>
    <xf numFmtId="6" fontId="7" fillId="0" borderId="0" xfId="19" applyNumberFormat="1" applyFont="1" applyBorder="1" applyAlignment="1" applyProtection="1">
      <alignment horizontal="left"/>
      <protection/>
    </xf>
    <xf numFmtId="0" fontId="7" fillId="0" borderId="5" xfId="0" applyFont="1" applyBorder="1" applyAlignment="1" applyProtection="1">
      <alignment horizontal="left"/>
      <protection/>
    </xf>
    <xf numFmtId="0" fontId="8" fillId="0" borderId="0" xfId="0" applyFont="1" applyBorder="1" applyAlignment="1" applyProtection="1">
      <alignment horizontal="left"/>
      <protection/>
    </xf>
    <xf numFmtId="167" fontId="7" fillId="0" borderId="11" xfId="0" applyNumberFormat="1" applyFont="1" applyFill="1" applyBorder="1" applyAlignment="1">
      <alignment/>
    </xf>
    <xf numFmtId="0" fontId="12" fillId="0" borderId="24" xfId="0" applyFont="1" applyBorder="1" applyAlignment="1">
      <alignment/>
    </xf>
    <xf numFmtId="0" fontId="12" fillId="0" borderId="25" xfId="0" applyFont="1" applyBorder="1" applyAlignment="1">
      <alignment horizontal="center"/>
    </xf>
    <xf numFmtId="0" fontId="12" fillId="0" borderId="26" xfId="0" applyFont="1" applyBorder="1" applyAlignment="1">
      <alignment horizontal="center"/>
    </xf>
    <xf numFmtId="0" fontId="41" fillId="0" borderId="0" xfId="0" applyFont="1" applyFill="1" applyBorder="1" applyAlignment="1">
      <alignment horizontal="left"/>
    </xf>
    <xf numFmtId="1" fontId="7" fillId="0" borderId="27" xfId="0" applyNumberFormat="1" applyFont="1" applyBorder="1" applyAlignment="1">
      <alignment/>
    </xf>
    <xf numFmtId="0" fontId="8" fillId="0" borderId="28" xfId="0" applyFont="1" applyFill="1" applyBorder="1" applyAlignment="1">
      <alignment horizontal="center" wrapText="1"/>
    </xf>
    <xf numFmtId="11" fontId="8" fillId="0" borderId="28" xfId="0" applyNumberFormat="1" applyFont="1" applyFill="1" applyBorder="1" applyAlignment="1">
      <alignment horizontal="center" wrapText="1"/>
    </xf>
    <xf numFmtId="2" fontId="22" fillId="2" borderId="16" xfId="0" applyNumberFormat="1" applyFont="1" applyFill="1" applyBorder="1" applyAlignment="1" applyProtection="1">
      <alignment/>
      <protection locked="0"/>
    </xf>
    <xf numFmtId="0" fontId="7" fillId="0" borderId="16" xfId="0" applyFont="1" applyFill="1" applyBorder="1" applyAlignment="1" quotePrefix="1">
      <alignment horizontal="right"/>
    </xf>
    <xf numFmtId="0" fontId="8" fillId="0" borderId="16" xfId="0" applyFont="1" applyFill="1" applyBorder="1" applyAlignment="1">
      <alignment horizontal="center"/>
    </xf>
    <xf numFmtId="0" fontId="7" fillId="0" borderId="16" xfId="0" applyFont="1" applyFill="1" applyBorder="1" applyAlignment="1">
      <alignment/>
    </xf>
    <xf numFmtId="184" fontId="7" fillId="0" borderId="16" xfId="0" applyNumberFormat="1" applyFont="1" applyFill="1" applyBorder="1" applyAlignment="1">
      <alignment/>
    </xf>
    <xf numFmtId="175" fontId="7" fillId="0" borderId="16" xfId="0" applyNumberFormat="1" applyFont="1" applyFill="1" applyBorder="1" applyAlignment="1">
      <alignment/>
    </xf>
    <xf numFmtId="176" fontId="7" fillId="0" borderId="16" xfId="0" applyNumberFormat="1" applyFont="1" applyFill="1" applyBorder="1" applyAlignment="1">
      <alignment/>
    </xf>
    <xf numFmtId="0" fontId="41" fillId="0" borderId="0" xfId="31" applyFont="1" applyFill="1" applyBorder="1">
      <alignment/>
      <protection/>
    </xf>
    <xf numFmtId="0" fontId="29" fillId="0" borderId="29" xfId="0" applyFont="1" applyBorder="1" applyAlignment="1">
      <alignment/>
    </xf>
    <xf numFmtId="190" fontId="29" fillId="0" borderId="16" xfId="0" applyNumberFormat="1" applyFont="1" applyBorder="1" applyAlignment="1">
      <alignment horizontal="center"/>
    </xf>
    <xf numFmtId="0" fontId="29" fillId="0" borderId="30" xfId="0" applyFont="1" applyBorder="1" applyAlignment="1">
      <alignment horizontal="center"/>
    </xf>
    <xf numFmtId="0" fontId="41" fillId="0" borderId="0" xfId="0" applyFont="1" applyAlignment="1">
      <alignment/>
    </xf>
    <xf numFmtId="0" fontId="12" fillId="0" borderId="2" xfId="31" applyFont="1" applyFill="1" applyBorder="1">
      <alignment/>
      <protection/>
    </xf>
    <xf numFmtId="0" fontId="13" fillId="0" borderId="2" xfId="31" applyFont="1" applyFill="1" applyBorder="1">
      <alignment/>
      <protection/>
    </xf>
    <xf numFmtId="43" fontId="13" fillId="0" borderId="2" xfId="31" applyNumberFormat="1" applyFont="1" applyFill="1" applyBorder="1">
      <alignment/>
      <protection/>
    </xf>
    <xf numFmtId="0" fontId="8" fillId="2" borderId="14" xfId="31" applyFont="1" applyFill="1" applyBorder="1" applyAlignment="1">
      <alignment horizontal="center"/>
      <protection/>
    </xf>
    <xf numFmtId="0" fontId="8" fillId="2" borderId="11" xfId="31" applyFont="1" applyFill="1" applyBorder="1" applyAlignment="1">
      <alignment horizontal="center"/>
      <protection/>
    </xf>
    <xf numFmtId="0" fontId="23" fillId="0" borderId="0" xfId="31" applyFont="1" applyFill="1" applyBorder="1">
      <alignment/>
      <protection/>
    </xf>
    <xf numFmtId="0" fontId="23" fillId="0" borderId="0" xfId="31" applyFont="1" applyFill="1">
      <alignment/>
      <protection/>
    </xf>
    <xf numFmtId="3" fontId="7" fillId="0" borderId="0" xfId="0" applyNumberFormat="1" applyFont="1" applyAlignment="1" applyProtection="1">
      <alignment/>
      <protection locked="0"/>
    </xf>
    <xf numFmtId="4" fontId="7" fillId="0" borderId="0" xfId="0" applyNumberFormat="1" applyFont="1" applyAlignment="1" applyProtection="1">
      <alignment/>
      <protection locked="0"/>
    </xf>
    <xf numFmtId="3" fontId="7" fillId="0" borderId="31" xfId="0" applyNumberFormat="1" applyFont="1" applyBorder="1" applyAlignment="1" applyProtection="1">
      <alignment horizontal="left"/>
      <protection locked="0"/>
    </xf>
    <xf numFmtId="3" fontId="7" fillId="0" borderId="32" xfId="0" applyNumberFormat="1" applyFont="1" applyBorder="1" applyAlignment="1" applyProtection="1">
      <alignment horizontal="left"/>
      <protection locked="0"/>
    </xf>
    <xf numFmtId="3" fontId="7" fillId="0" borderId="33" xfId="0" applyNumberFormat="1" applyFont="1" applyBorder="1" applyAlignment="1" applyProtection="1">
      <alignment/>
      <protection locked="0"/>
    </xf>
    <xf numFmtId="3" fontId="7" fillId="0" borderId="34" xfId="0" applyNumberFormat="1" applyFont="1" applyBorder="1" applyAlignment="1" applyProtection="1">
      <alignment horizontal="left"/>
      <protection locked="0"/>
    </xf>
    <xf numFmtId="3" fontId="7" fillId="0" borderId="35" xfId="0" applyNumberFormat="1" applyFont="1" applyBorder="1" applyAlignment="1" applyProtection="1">
      <alignment horizontal="left"/>
      <protection locked="0"/>
    </xf>
    <xf numFmtId="4" fontId="7" fillId="0" borderId="36" xfId="0" applyNumberFormat="1" applyFont="1" applyBorder="1" applyAlignment="1" applyProtection="1">
      <alignment horizontal="left"/>
      <protection locked="0"/>
    </xf>
    <xf numFmtId="3" fontId="7" fillId="0" borderId="37" xfId="0" applyNumberFormat="1" applyFont="1" applyBorder="1" applyAlignment="1" applyProtection="1">
      <alignment horizontal="left"/>
      <protection locked="0"/>
    </xf>
    <xf numFmtId="2" fontId="7" fillId="0" borderId="38" xfId="0" applyNumberFormat="1" applyFont="1" applyFill="1" applyBorder="1" applyAlignment="1">
      <alignment/>
    </xf>
    <xf numFmtId="3" fontId="7" fillId="0" borderId="33" xfId="0" applyNumberFormat="1" applyFont="1" applyBorder="1" applyAlignment="1" applyProtection="1">
      <alignment horizontal="left"/>
      <protection locked="0"/>
    </xf>
    <xf numFmtId="3" fontId="41" fillId="0" borderId="0" xfId="0" applyNumberFormat="1" applyFont="1" applyAlignment="1" applyProtection="1">
      <alignment/>
      <protection locked="0"/>
    </xf>
    <xf numFmtId="0" fontId="44" fillId="0" borderId="0" xfId="0" applyFont="1" applyFill="1" applyAlignment="1">
      <alignment/>
    </xf>
    <xf numFmtId="0" fontId="42" fillId="0" borderId="0" xfId="0" applyFont="1" applyFill="1" applyAlignment="1">
      <alignment/>
    </xf>
    <xf numFmtId="177" fontId="8" fillId="0" borderId="2" xfId="32" applyNumberFormat="1" applyFont="1" applyFill="1" applyBorder="1">
      <alignment/>
      <protection/>
    </xf>
    <xf numFmtId="178" fontId="12" fillId="0" borderId="0" xfId="32" applyNumberFormat="1" applyFont="1" applyFill="1" applyBorder="1">
      <alignment/>
      <protection/>
    </xf>
    <xf numFmtId="177" fontId="7" fillId="0" borderId="1" xfId="23" applyNumberFormat="1" applyFill="1" applyBorder="1" applyAlignment="1">
      <alignment/>
    </xf>
    <xf numFmtId="0" fontId="7" fillId="0" borderId="1" xfId="32" applyFill="1" applyBorder="1">
      <alignment/>
      <protection/>
    </xf>
    <xf numFmtId="0" fontId="7" fillId="0" borderId="39" xfId="32" applyFill="1" applyBorder="1">
      <alignment/>
      <protection/>
    </xf>
    <xf numFmtId="44" fontId="7" fillId="2" borderId="11" xfId="23" applyFill="1" applyBorder="1" applyAlignment="1">
      <alignment/>
    </xf>
    <xf numFmtId="0" fontId="7" fillId="0" borderId="40" xfId="32" applyFont="1" applyFill="1" applyBorder="1">
      <alignment/>
      <protection/>
    </xf>
    <xf numFmtId="190" fontId="7" fillId="2" borderId="11" xfId="0" applyNumberFormat="1" applyFont="1" applyFill="1" applyBorder="1" applyAlignment="1">
      <alignment horizontal="left"/>
    </xf>
    <xf numFmtId="0" fontId="41" fillId="0" borderId="0" xfId="0" applyFont="1" applyBorder="1" applyAlignment="1">
      <alignment/>
    </xf>
    <xf numFmtId="0" fontId="13" fillId="0" borderId="0" xfId="0" applyFont="1" applyFill="1" applyBorder="1" applyAlignment="1">
      <alignment horizontal="center"/>
    </xf>
    <xf numFmtId="0" fontId="7" fillId="0" borderId="0" xfId="0" applyFont="1" applyAlignment="1">
      <alignment horizontal="center"/>
    </xf>
    <xf numFmtId="38" fontId="7" fillId="0" borderId="0" xfId="15" applyNumberFormat="1" applyFont="1" applyFill="1" applyAlignment="1">
      <alignment horizontal="right"/>
    </xf>
    <xf numFmtId="0" fontId="7" fillId="0" borderId="11" xfId="0" applyFont="1" applyBorder="1" applyAlignment="1">
      <alignment/>
    </xf>
    <xf numFmtId="0" fontId="8" fillId="0" borderId="41" xfId="0" applyFont="1" applyBorder="1" applyAlignment="1">
      <alignment horizontal="center" wrapText="1"/>
    </xf>
    <xf numFmtId="0" fontId="8" fillId="0" borderId="42" xfId="0" applyFont="1" applyBorder="1" applyAlignment="1">
      <alignment horizontal="center" wrapText="1"/>
    </xf>
    <xf numFmtId="0" fontId="8" fillId="0" borderId="43" xfId="0" applyFont="1" applyBorder="1" applyAlignment="1">
      <alignment horizontal="center" wrapText="1"/>
    </xf>
    <xf numFmtId="0" fontId="8" fillId="0" borderId="44" xfId="0" applyFont="1" applyBorder="1" applyAlignment="1">
      <alignment horizontal="center" wrapText="1"/>
    </xf>
    <xf numFmtId="0" fontId="8" fillId="0" borderId="11" xfId="0" applyFont="1" applyBorder="1" applyAlignment="1">
      <alignment horizontal="center"/>
    </xf>
    <xf numFmtId="0" fontId="7" fillId="0" borderId="15" xfId="0" applyFont="1" applyBorder="1" applyAlignment="1">
      <alignment horizontal="left"/>
    </xf>
    <xf numFmtId="0" fontId="7" fillId="0" borderId="27" xfId="0" applyFont="1" applyBorder="1" applyAlignment="1">
      <alignment horizontal="left"/>
    </xf>
    <xf numFmtId="0" fontId="8" fillId="0" borderId="0" xfId="0" applyFont="1" applyBorder="1" applyAlignment="1">
      <alignment horizontal="center"/>
    </xf>
    <xf numFmtId="0" fontId="8" fillId="0" borderId="15" xfId="0" applyFont="1" applyBorder="1" applyAlignment="1">
      <alignment/>
    </xf>
    <xf numFmtId="1" fontId="7" fillId="0" borderId="27" xfId="0" applyNumberFormat="1" applyFont="1" applyBorder="1" applyAlignment="1">
      <alignment horizontal="center"/>
    </xf>
    <xf numFmtId="0" fontId="7" fillId="0" borderId="15" xfId="28" applyFont="1" applyBorder="1">
      <alignment/>
      <protection/>
    </xf>
    <xf numFmtId="2" fontId="7" fillId="0" borderId="27" xfId="0" applyNumberFormat="1" applyFont="1" applyBorder="1" applyAlignment="1">
      <alignment horizontal="center"/>
    </xf>
    <xf numFmtId="0" fontId="8" fillId="0" borderId="27" xfId="0" applyFont="1" applyBorder="1" applyAlignment="1">
      <alignment horizontal="center"/>
    </xf>
    <xf numFmtId="0" fontId="8" fillId="0" borderId="45" xfId="0" applyFont="1" applyBorder="1" applyAlignment="1">
      <alignment/>
    </xf>
    <xf numFmtId="0" fontId="7" fillId="0" borderId="11" xfId="0" applyFont="1" applyBorder="1" applyAlignment="1">
      <alignment horizontal="center"/>
    </xf>
    <xf numFmtId="0" fontId="7" fillId="0" borderId="46" xfId="0" applyFont="1" applyBorder="1" applyAlignment="1">
      <alignment horizontal="center"/>
    </xf>
    <xf numFmtId="0" fontId="7" fillId="0" borderId="45" xfId="0" applyFont="1" applyBorder="1" applyAlignment="1">
      <alignment/>
    </xf>
    <xf numFmtId="0" fontId="23" fillId="0" borderId="0" xfId="0" applyFont="1" applyAlignment="1">
      <alignment/>
    </xf>
    <xf numFmtId="6" fontId="23" fillId="0" borderId="0" xfId="19" applyNumberFormat="1" applyFont="1" applyAlignment="1">
      <alignment/>
    </xf>
    <xf numFmtId="0" fontId="7" fillId="0" borderId="27" xfId="0" applyFont="1" applyBorder="1" applyAlignment="1">
      <alignment horizontal="center"/>
    </xf>
    <xf numFmtId="164" fontId="7" fillId="0" borderId="27" xfId="0" applyNumberFormat="1" applyFont="1" applyBorder="1" applyAlignment="1">
      <alignment horizontal="center"/>
    </xf>
    <xf numFmtId="6" fontId="7" fillId="2" borderId="11" xfId="19" applyNumberFormat="1" applyFont="1" applyFill="1" applyBorder="1" applyAlignment="1">
      <alignment horizontal="center"/>
    </xf>
    <xf numFmtId="3" fontId="7" fillId="0" borderId="27" xfId="0" applyNumberFormat="1" applyFont="1" applyFill="1" applyBorder="1" applyAlignment="1">
      <alignment horizontal="center"/>
    </xf>
    <xf numFmtId="11" fontId="7" fillId="0" borderId="27" xfId="0" applyNumberFormat="1" applyFont="1" applyFill="1" applyBorder="1" applyAlignment="1">
      <alignment horizontal="center"/>
    </xf>
    <xf numFmtId="37" fontId="7" fillId="0" borderId="27" xfId="0" applyNumberFormat="1" applyFont="1" applyBorder="1" applyAlignment="1">
      <alignment horizontal="center"/>
    </xf>
    <xf numFmtId="37" fontId="7" fillId="2" borderId="11" xfId="0" applyNumberFormat="1" applyFont="1" applyFill="1" applyBorder="1" applyAlignment="1">
      <alignment horizontal="center"/>
    </xf>
    <xf numFmtId="37" fontId="7" fillId="2" borderId="47" xfId="0" applyNumberFormat="1" applyFont="1" applyFill="1" applyBorder="1" applyAlignment="1">
      <alignment horizontal="center"/>
    </xf>
    <xf numFmtId="181" fontId="7" fillId="2" borderId="11" xfId="0" applyNumberFormat="1" applyFont="1" applyFill="1" applyBorder="1" applyAlignment="1">
      <alignment horizontal="center"/>
    </xf>
    <xf numFmtId="39" fontId="7" fillId="0" borderId="27" xfId="0" applyNumberFormat="1" applyFont="1" applyBorder="1" applyAlignment="1">
      <alignment horizontal="center"/>
    </xf>
    <xf numFmtId="0" fontId="7" fillId="0" borderId="48" xfId="0" applyFont="1" applyBorder="1" applyAlignment="1">
      <alignment/>
    </xf>
    <xf numFmtId="39" fontId="7" fillId="0" borderId="49" xfId="0" applyNumberFormat="1" applyFont="1" applyBorder="1" applyAlignment="1">
      <alignment horizontal="center"/>
    </xf>
    <xf numFmtId="0" fontId="7" fillId="0" borderId="2" xfId="0" applyFont="1" applyBorder="1" applyAlignment="1">
      <alignment horizontal="center"/>
    </xf>
    <xf numFmtId="164" fontId="7" fillId="2" borderId="11" xfId="0" applyNumberFormat="1" applyFont="1" applyFill="1" applyBorder="1" applyAlignment="1">
      <alignment horizontal="center"/>
    </xf>
    <xf numFmtId="0" fontId="7" fillId="0" borderId="27" xfId="0" applyFont="1" applyBorder="1" applyAlignment="1">
      <alignment/>
    </xf>
    <xf numFmtId="164" fontId="7" fillId="2" borderId="14" xfId="0" applyNumberFormat="1" applyFont="1" applyFill="1" applyBorder="1" applyAlignment="1">
      <alignment horizontal="center"/>
    </xf>
    <xf numFmtId="0" fontId="7" fillId="0" borderId="23" xfId="0" applyFont="1" applyBorder="1" applyAlignment="1">
      <alignment/>
    </xf>
    <xf numFmtId="0" fontId="7" fillId="0" borderId="1" xfId="0" applyFont="1" applyBorder="1" applyAlignment="1">
      <alignment horizontal="center"/>
    </xf>
    <xf numFmtId="37" fontId="7" fillId="0" borderId="11" xfId="0" applyNumberFormat="1" applyFont="1" applyBorder="1" applyAlignment="1">
      <alignment horizontal="center"/>
    </xf>
    <xf numFmtId="181" fontId="7" fillId="0" borderId="27" xfId="0" applyNumberFormat="1" applyFont="1" applyBorder="1" applyAlignment="1">
      <alignment horizontal="center"/>
    </xf>
    <xf numFmtId="0" fontId="8" fillId="0" borderId="23" xfId="0" applyFont="1" applyBorder="1" applyAlignment="1">
      <alignment/>
    </xf>
    <xf numFmtId="0" fontId="7" fillId="0" borderId="14" xfId="0" applyFont="1" applyBorder="1" applyAlignment="1">
      <alignment/>
    </xf>
    <xf numFmtId="2" fontId="7" fillId="0" borderId="0" xfId="0" applyNumberFormat="1" applyFont="1" applyBorder="1" applyAlignment="1">
      <alignment horizontal="center"/>
    </xf>
    <xf numFmtId="2" fontId="7" fillId="0" borderId="27" xfId="0" applyNumberFormat="1" applyFont="1" applyFill="1" applyBorder="1" applyAlignment="1">
      <alignment horizontal="center"/>
    </xf>
    <xf numFmtId="164" fontId="7" fillId="0" borderId="27" xfId="0" applyNumberFormat="1" applyFont="1" applyFill="1" applyBorder="1" applyAlignment="1">
      <alignment horizontal="center"/>
    </xf>
    <xf numFmtId="1" fontId="7" fillId="0" borderId="0" xfId="0" applyNumberFormat="1" applyFont="1" applyBorder="1" applyAlignment="1">
      <alignment horizontal="center"/>
    </xf>
    <xf numFmtId="0" fontId="8" fillId="2" borderId="14" xfId="0" applyFont="1" applyFill="1" applyBorder="1" applyAlignment="1">
      <alignment horizontal="center"/>
    </xf>
    <xf numFmtId="1" fontId="7" fillId="0" borderId="49" xfId="0" applyNumberFormat="1" applyFont="1" applyBorder="1" applyAlignment="1">
      <alignment horizontal="center"/>
    </xf>
    <xf numFmtId="1" fontId="7" fillId="0" borderId="2" xfId="0" applyNumberFormat="1" applyFont="1" applyBorder="1" applyAlignment="1">
      <alignment horizontal="center"/>
    </xf>
    <xf numFmtId="0" fontId="7" fillId="0" borderId="14" xfId="0" applyFont="1" applyBorder="1" applyAlignment="1">
      <alignment horizontal="center"/>
    </xf>
    <xf numFmtId="186" fontId="7" fillId="2" borderId="11" xfId="0" applyNumberFormat="1" applyFont="1" applyFill="1" applyBorder="1" applyAlignment="1">
      <alignment horizontal="center"/>
    </xf>
    <xf numFmtId="186" fontId="7" fillId="0" borderId="0" xfId="0" applyNumberFormat="1" applyFont="1" applyFill="1" applyBorder="1" applyAlignment="1">
      <alignment horizontal="center"/>
    </xf>
    <xf numFmtId="4" fontId="7" fillId="0" borderId="27" xfId="0" applyNumberFormat="1" applyFont="1" applyBorder="1" applyAlignment="1">
      <alignment horizontal="center"/>
    </xf>
    <xf numFmtId="0" fontId="7" fillId="0" borderId="20" xfId="0" applyFont="1" applyBorder="1" applyAlignment="1">
      <alignment/>
    </xf>
    <xf numFmtId="38" fontId="7" fillId="2" borderId="11" xfId="15" applyNumberFormat="1" applyFont="1" applyFill="1" applyBorder="1" applyAlignment="1">
      <alignment horizontal="center"/>
    </xf>
    <xf numFmtId="38" fontId="7" fillId="0" borderId="49" xfId="0" applyNumberFormat="1" applyFont="1" applyBorder="1" applyAlignment="1">
      <alignment/>
    </xf>
    <xf numFmtId="0" fontId="7" fillId="0" borderId="49" xfId="0" applyFont="1" applyBorder="1" applyAlignment="1">
      <alignment/>
    </xf>
    <xf numFmtId="38" fontId="7" fillId="0" borderId="11" xfId="15" applyNumberFormat="1" applyFont="1" applyFill="1" applyBorder="1" applyAlignment="1">
      <alignment horizontal="right"/>
    </xf>
    <xf numFmtId="3" fontId="7" fillId="0" borderId="0" xfId="0" applyNumberFormat="1" applyFont="1" applyFill="1" applyBorder="1" applyAlignment="1" applyProtection="1">
      <alignment/>
      <protection locked="0"/>
    </xf>
    <xf numFmtId="0" fontId="23" fillId="0" borderId="0" xfId="0" applyFont="1" applyFill="1" applyAlignment="1">
      <alignment/>
    </xf>
    <xf numFmtId="11" fontId="23" fillId="0" borderId="0" xfId="0" applyNumberFormat="1" applyFont="1" applyFill="1" applyAlignment="1">
      <alignment/>
    </xf>
    <xf numFmtId="2" fontId="23" fillId="0" borderId="0" xfId="0" applyNumberFormat="1" applyFont="1" applyFill="1" applyAlignment="1">
      <alignment/>
    </xf>
    <xf numFmtId="0" fontId="23" fillId="0" borderId="0" xfId="0" applyFont="1" applyFill="1" applyAlignment="1">
      <alignment horizontal="center"/>
    </xf>
    <xf numFmtId="0" fontId="23" fillId="0" borderId="0" xfId="0" applyFont="1" applyFill="1" applyAlignment="1">
      <alignment wrapText="1"/>
    </xf>
    <xf numFmtId="0" fontId="8" fillId="0" borderId="50" xfId="0" applyFont="1" applyFill="1" applyBorder="1" applyAlignment="1">
      <alignment horizontal="center" wrapText="1"/>
    </xf>
    <xf numFmtId="0" fontId="7" fillId="0" borderId="46" xfId="0" applyFont="1" applyFill="1" applyBorder="1" applyAlignment="1">
      <alignment/>
    </xf>
    <xf numFmtId="0" fontId="7" fillId="0" borderId="51" xfId="0" applyFont="1" applyFill="1" applyBorder="1" applyAlignment="1">
      <alignment/>
    </xf>
    <xf numFmtId="0" fontId="7" fillId="0" borderId="52" xfId="0" applyFont="1" applyFill="1" applyBorder="1" applyAlignment="1">
      <alignment horizontal="center"/>
    </xf>
    <xf numFmtId="2" fontId="21" fillId="0" borderId="28" xfId="0" applyNumberFormat="1" applyFont="1" applyFill="1" applyBorder="1" applyAlignment="1">
      <alignment horizontal="center" wrapText="1"/>
    </xf>
    <xf numFmtId="0" fontId="7" fillId="0" borderId="11" xfId="0" applyFont="1" applyFill="1" applyBorder="1" applyAlignment="1">
      <alignment horizontal="left"/>
    </xf>
    <xf numFmtId="0" fontId="7" fillId="0" borderId="45" xfId="0" applyFont="1" applyFill="1" applyBorder="1" applyAlignment="1">
      <alignment horizontal="left"/>
    </xf>
    <xf numFmtId="0" fontId="7" fillId="0" borderId="53" xfId="0" applyFont="1" applyFill="1" applyBorder="1" applyAlignment="1">
      <alignment horizontal="left"/>
    </xf>
    <xf numFmtId="0" fontId="41" fillId="0" borderId="0" xfId="32" applyFont="1">
      <alignment/>
      <protection/>
    </xf>
    <xf numFmtId="0" fontId="41" fillId="0" borderId="0" xfId="28" applyFont="1">
      <alignment/>
      <protection/>
    </xf>
    <xf numFmtId="0" fontId="41" fillId="0" borderId="0" xfId="0" applyFont="1" applyFill="1" applyBorder="1" applyAlignment="1">
      <alignment/>
    </xf>
    <xf numFmtId="7" fontId="7" fillId="0" borderId="0" xfId="0" applyNumberFormat="1" applyFont="1" applyAlignment="1">
      <alignment/>
    </xf>
    <xf numFmtId="1" fontId="7" fillId="0" borderId="0" xfId="0" applyNumberFormat="1" applyFont="1" applyAlignment="1">
      <alignment horizontal="center"/>
    </xf>
    <xf numFmtId="5" fontId="7" fillId="0" borderId="0" xfId="0" applyNumberFormat="1" applyFont="1" applyAlignment="1">
      <alignment horizontal="center"/>
    </xf>
    <xf numFmtId="5" fontId="7" fillId="0" borderId="0" xfId="0" applyNumberFormat="1" applyFont="1" applyAlignment="1">
      <alignment/>
    </xf>
    <xf numFmtId="166" fontId="7" fillId="0" borderId="0" xfId="0" applyNumberFormat="1"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horizontal="left"/>
      <protection/>
    </xf>
    <xf numFmtId="1" fontId="7" fillId="0" borderId="0" xfId="0" applyNumberFormat="1" applyFont="1" applyAlignment="1">
      <alignment/>
    </xf>
    <xf numFmtId="5" fontId="7" fillId="0" borderId="0" xfId="0" applyNumberFormat="1" applyFont="1" applyAlignment="1">
      <alignment/>
    </xf>
    <xf numFmtId="182" fontId="7" fillId="0" borderId="0" xfId="0" applyNumberFormat="1" applyFont="1" applyAlignment="1">
      <alignment/>
    </xf>
    <xf numFmtId="1" fontId="7" fillId="0" borderId="0" xfId="0" applyNumberFormat="1" applyFont="1" applyAlignment="1">
      <alignment horizontal="right"/>
    </xf>
    <xf numFmtId="5" fontId="7" fillId="0" borderId="0" xfId="0" applyNumberFormat="1" applyFont="1" applyAlignment="1">
      <alignment horizontal="right"/>
    </xf>
    <xf numFmtId="182" fontId="7" fillId="0" borderId="0" xfId="0" applyNumberFormat="1" applyFont="1" applyAlignment="1">
      <alignment horizontal="right"/>
    </xf>
    <xf numFmtId="182" fontId="7" fillId="0" borderId="0" xfId="0" applyNumberFormat="1" applyFont="1" applyAlignment="1">
      <alignment/>
    </xf>
    <xf numFmtId="182" fontId="7" fillId="0" borderId="0" xfId="0" applyNumberFormat="1" applyFont="1" applyAlignment="1">
      <alignment horizontal="center"/>
    </xf>
    <xf numFmtId="166" fontId="7" fillId="0" borderId="0" xfId="0" applyNumberFormat="1" applyFont="1" applyAlignment="1" applyProtection="1">
      <alignment/>
      <protection/>
    </xf>
    <xf numFmtId="0" fontId="7" fillId="0" borderId="0" xfId="0" applyFont="1" applyAlignment="1">
      <alignment horizontal="right"/>
    </xf>
    <xf numFmtId="190" fontId="12" fillId="0" borderId="0" xfId="0" applyNumberFormat="1" applyFont="1" applyBorder="1" applyAlignment="1">
      <alignment horizontal="center"/>
    </xf>
    <xf numFmtId="0" fontId="12" fillId="0" borderId="0" xfId="0" applyFont="1" applyBorder="1" applyAlignment="1">
      <alignment horizontal="center"/>
    </xf>
    <xf numFmtId="0" fontId="13" fillId="0" borderId="0" xfId="31" applyFont="1" applyFill="1">
      <alignment/>
      <protection/>
    </xf>
    <xf numFmtId="0" fontId="13" fillId="0" borderId="0" xfId="31" applyFont="1" applyFill="1">
      <alignment/>
      <protection/>
    </xf>
    <xf numFmtId="0" fontId="13" fillId="0" borderId="0" xfId="31" applyFont="1" applyFill="1" applyBorder="1">
      <alignment/>
      <protection/>
    </xf>
    <xf numFmtId="0" fontId="13" fillId="0" borderId="0" xfId="32" applyFont="1" applyFill="1">
      <alignment/>
      <protection/>
    </xf>
    <xf numFmtId="178" fontId="12" fillId="0" borderId="0" xfId="32" applyNumberFormat="1" applyFont="1" applyFill="1" applyBorder="1">
      <alignment/>
      <protection/>
    </xf>
    <xf numFmtId="44" fontId="12" fillId="0" borderId="0" xfId="32" applyNumberFormat="1" applyFont="1" applyFill="1" applyBorder="1">
      <alignment/>
      <protection/>
    </xf>
    <xf numFmtId="0" fontId="13" fillId="0" borderId="0" xfId="32" applyFont="1" applyFill="1" applyBorder="1">
      <alignment/>
      <protection/>
    </xf>
    <xf numFmtId="0" fontId="7" fillId="0" borderId="54" xfId="31" applyFill="1" applyBorder="1">
      <alignment/>
      <protection/>
    </xf>
    <xf numFmtId="0" fontId="7" fillId="0" borderId="55" xfId="31" applyFill="1" applyBorder="1">
      <alignment/>
      <protection/>
    </xf>
    <xf numFmtId="0" fontId="7" fillId="0" borderId="56" xfId="31" applyFill="1" applyBorder="1">
      <alignment/>
      <protection/>
    </xf>
    <xf numFmtId="1" fontId="7" fillId="0" borderId="56" xfId="31" applyNumberFormat="1" applyFont="1" applyFill="1" applyBorder="1">
      <alignment/>
      <protection/>
    </xf>
    <xf numFmtId="0" fontId="7" fillId="0" borderId="57" xfId="31" applyFont="1" applyFill="1" applyBorder="1" applyAlignment="1">
      <alignment horizontal="left"/>
      <protection/>
    </xf>
    <xf numFmtId="0" fontId="7" fillId="0" borderId="55" xfId="31" applyFont="1" applyFill="1" applyBorder="1">
      <alignment/>
      <protection/>
    </xf>
    <xf numFmtId="1" fontId="7" fillId="0" borderId="56" xfId="31" applyNumberFormat="1" applyFill="1" applyBorder="1">
      <alignment/>
      <protection/>
    </xf>
    <xf numFmtId="0" fontId="7" fillId="0" borderId="56" xfId="31" applyFont="1" applyFill="1" applyBorder="1">
      <alignment/>
      <protection/>
    </xf>
    <xf numFmtId="0" fontId="7" fillId="0" borderId="57" xfId="31" applyFont="1" applyFill="1" applyBorder="1">
      <alignment/>
      <protection/>
    </xf>
    <xf numFmtId="2" fontId="7" fillId="0" borderId="56" xfId="31" applyNumberFormat="1" applyFill="1" applyBorder="1">
      <alignment/>
      <protection/>
    </xf>
    <xf numFmtId="0" fontId="7" fillId="0" borderId="56" xfId="31" applyFont="1" applyFill="1" applyBorder="1">
      <alignment/>
      <protection/>
    </xf>
    <xf numFmtId="0" fontId="7" fillId="0" borderId="56" xfId="31" applyFont="1" applyFill="1" applyBorder="1" applyAlignment="1">
      <alignment horizontal="center"/>
      <protection/>
    </xf>
    <xf numFmtId="164" fontId="7" fillId="0" borderId="56" xfId="31" applyNumberFormat="1" applyFill="1" applyBorder="1">
      <alignment/>
      <protection/>
    </xf>
    <xf numFmtId="0" fontId="7" fillId="0" borderId="58" xfId="31" applyFill="1" applyBorder="1">
      <alignment/>
      <protection/>
    </xf>
    <xf numFmtId="164" fontId="7" fillId="0" borderId="59" xfId="31" applyNumberFormat="1" applyFill="1" applyBorder="1">
      <alignment/>
      <protection/>
    </xf>
    <xf numFmtId="0" fontId="7" fillId="0" borderId="59" xfId="31" applyFont="1" applyFill="1" applyBorder="1">
      <alignment/>
      <protection/>
    </xf>
    <xf numFmtId="0" fontId="7" fillId="0" borderId="59" xfId="31" applyFont="1" applyFill="1" applyBorder="1">
      <alignment/>
      <protection/>
    </xf>
    <xf numFmtId="0" fontId="7" fillId="0" borderId="60" xfId="31" applyFont="1" applyFill="1" applyBorder="1">
      <alignment/>
      <protection/>
    </xf>
    <xf numFmtId="0" fontId="7" fillId="0" borderId="61" xfId="31" applyFill="1" applyBorder="1">
      <alignment/>
      <protection/>
    </xf>
    <xf numFmtId="0" fontId="7" fillId="0" borderId="61" xfId="31" applyFont="1" applyFill="1" applyBorder="1">
      <alignment/>
      <protection/>
    </xf>
    <xf numFmtId="0" fontId="7" fillId="0" borderId="62" xfId="31" applyFill="1" applyBorder="1">
      <alignment/>
      <protection/>
    </xf>
    <xf numFmtId="1" fontId="7" fillId="0" borderId="63" xfId="31" applyNumberFormat="1" applyFill="1" applyBorder="1">
      <alignment/>
      <protection/>
    </xf>
    <xf numFmtId="0" fontId="7" fillId="0" borderId="64" xfId="31" applyFill="1" applyBorder="1">
      <alignment/>
      <protection/>
    </xf>
    <xf numFmtId="164" fontId="7" fillId="0" borderId="56" xfId="31" applyNumberFormat="1" applyFont="1" applyFill="1" applyBorder="1" applyAlignment="1">
      <alignment horizontal="right"/>
      <protection/>
    </xf>
    <xf numFmtId="0" fontId="7" fillId="0" borderId="57" xfId="31" applyFont="1" applyFill="1" applyBorder="1">
      <alignment/>
      <protection/>
    </xf>
    <xf numFmtId="0" fontId="7" fillId="0" borderId="57" xfId="31" applyFill="1" applyBorder="1">
      <alignment/>
      <protection/>
    </xf>
    <xf numFmtId="0" fontId="9" fillId="0" borderId="56" xfId="31" applyFont="1" applyFill="1" applyBorder="1">
      <alignment/>
      <protection/>
    </xf>
    <xf numFmtId="0" fontId="7" fillId="0" borderId="58" xfId="31" applyFont="1" applyFill="1" applyBorder="1">
      <alignment/>
      <protection/>
    </xf>
    <xf numFmtId="11" fontId="7" fillId="0" borderId="59" xfId="31" applyNumberFormat="1" applyFill="1" applyBorder="1">
      <alignment/>
      <protection/>
    </xf>
    <xf numFmtId="0" fontId="7" fillId="0" borderId="59" xfId="31" applyFill="1" applyBorder="1">
      <alignment/>
      <protection/>
    </xf>
    <xf numFmtId="1" fontId="7" fillId="0" borderId="61" xfId="31" applyNumberFormat="1" applyFont="1" applyFill="1" applyBorder="1">
      <alignment/>
      <protection/>
    </xf>
    <xf numFmtId="0" fontId="7" fillId="0" borderId="62" xfId="31" applyFont="1" applyFill="1" applyBorder="1">
      <alignment/>
      <protection/>
    </xf>
    <xf numFmtId="0" fontId="9" fillId="0" borderId="62" xfId="31" applyFont="1" applyFill="1" applyBorder="1">
      <alignment/>
      <protection/>
    </xf>
    <xf numFmtId="0" fontId="7" fillId="0" borderId="63" xfId="31" applyFill="1" applyBorder="1">
      <alignment/>
      <protection/>
    </xf>
    <xf numFmtId="0" fontId="7" fillId="0" borderId="65" xfId="31" applyFill="1" applyBorder="1">
      <alignment/>
      <protection/>
    </xf>
    <xf numFmtId="165" fontId="0" fillId="0" borderId="56" xfId="0" applyNumberFormat="1" applyFill="1" applyBorder="1" applyAlignment="1">
      <alignment/>
    </xf>
    <xf numFmtId="1" fontId="0" fillId="0" borderId="56" xfId="0" applyNumberFormat="1" applyFill="1" applyBorder="1" applyAlignment="1">
      <alignment/>
    </xf>
    <xf numFmtId="1" fontId="0" fillId="0" borderId="59" xfId="0" applyNumberFormat="1" applyFill="1" applyBorder="1" applyAlignment="1">
      <alignment/>
    </xf>
    <xf numFmtId="1" fontId="7" fillId="0" borderId="59" xfId="31" applyNumberFormat="1" applyFont="1" applyFill="1" applyBorder="1">
      <alignment/>
      <protection/>
    </xf>
    <xf numFmtId="177" fontId="7" fillId="0" borderId="56" xfId="17" applyNumberFormat="1" applyFill="1" applyBorder="1" applyAlignment="1">
      <alignment/>
    </xf>
    <xf numFmtId="3" fontId="7" fillId="0" borderId="56" xfId="31" applyNumberFormat="1" applyFont="1" applyFill="1" applyBorder="1" applyAlignment="1">
      <alignment horizontal="right"/>
      <protection/>
    </xf>
    <xf numFmtId="1" fontId="7" fillId="0" borderId="56" xfId="31" applyNumberFormat="1" applyFont="1" applyFill="1" applyBorder="1">
      <alignment/>
      <protection/>
    </xf>
    <xf numFmtId="0" fontId="7" fillId="0" borderId="55" xfId="31" applyFont="1" applyFill="1" applyBorder="1">
      <alignment/>
      <protection/>
    </xf>
    <xf numFmtId="2" fontId="7" fillId="0" borderId="56" xfId="31" applyNumberFormat="1" applyFont="1" applyFill="1" applyBorder="1">
      <alignment/>
      <protection/>
    </xf>
    <xf numFmtId="0" fontId="7" fillId="0" borderId="56" xfId="31" applyFill="1" applyBorder="1" applyAlignment="1">
      <alignment horizontal="right"/>
      <protection/>
    </xf>
    <xf numFmtId="0" fontId="7" fillId="0" borderId="57" xfId="31" applyFill="1" applyBorder="1" applyAlignment="1">
      <alignment horizontal="left"/>
      <protection/>
    </xf>
    <xf numFmtId="0" fontId="7" fillId="0" borderId="57" xfId="31" applyFont="1" applyFill="1" applyBorder="1" applyAlignment="1">
      <alignment horizontal="left"/>
      <protection/>
    </xf>
    <xf numFmtId="0" fontId="7" fillId="0" borderId="56" xfId="31" applyFont="1" applyFill="1" applyBorder="1" applyAlignment="1">
      <alignment horizontal="right"/>
      <protection/>
    </xf>
    <xf numFmtId="0" fontId="7" fillId="0" borderId="66" xfId="31" applyFill="1" applyBorder="1">
      <alignment/>
      <protection/>
    </xf>
    <xf numFmtId="0" fontId="43" fillId="0" borderId="67" xfId="31" applyFont="1" applyFill="1" applyBorder="1">
      <alignment/>
      <protection/>
    </xf>
    <xf numFmtId="1" fontId="7" fillId="0" borderId="54" xfId="31" applyNumberFormat="1" applyFill="1" applyBorder="1" applyAlignment="1">
      <alignment horizontal="right"/>
      <protection/>
    </xf>
    <xf numFmtId="1" fontId="7" fillId="0" borderId="56" xfId="31" applyNumberFormat="1" applyFill="1" applyBorder="1" applyAlignment="1">
      <alignment horizontal="right"/>
      <protection/>
    </xf>
    <xf numFmtId="0" fontId="7" fillId="0" borderId="54" xfId="31" applyFill="1" applyBorder="1" applyAlignment="1">
      <alignment horizontal="right"/>
      <protection/>
    </xf>
    <xf numFmtId="0" fontId="11" fillId="0" borderId="56" xfId="31" applyFont="1" applyFill="1" applyBorder="1" applyAlignment="1">
      <alignment horizontal="right" wrapText="1"/>
      <protection/>
    </xf>
    <xf numFmtId="0" fontId="11" fillId="0" borderId="57" xfId="31" applyFont="1" applyFill="1" applyBorder="1" applyAlignment="1">
      <alignment horizontal="left" wrapText="1"/>
      <protection/>
    </xf>
    <xf numFmtId="2" fontId="7" fillId="0" borderId="56" xfId="31" applyNumberFormat="1" applyFill="1" applyBorder="1" applyAlignment="1">
      <alignment horizontal="right"/>
      <protection/>
    </xf>
    <xf numFmtId="164" fontId="7" fillId="0" borderId="56" xfId="31" applyNumberFormat="1" applyFill="1" applyBorder="1" applyAlignment="1">
      <alignment horizontal="right"/>
      <protection/>
    </xf>
    <xf numFmtId="1" fontId="7" fillId="0" borderId="56" xfId="31" applyNumberFormat="1" applyFont="1" applyFill="1" applyBorder="1" applyAlignment="1">
      <alignment horizontal="right"/>
      <protection/>
    </xf>
    <xf numFmtId="165" fontId="7" fillId="0" borderId="56" xfId="31" applyNumberFormat="1" applyFill="1" applyBorder="1">
      <alignment/>
      <protection/>
    </xf>
    <xf numFmtId="0" fontId="7" fillId="0" borderId="56" xfId="31" applyFill="1" applyBorder="1" applyAlignment="1">
      <alignment horizontal="right" wrapText="1"/>
      <protection/>
    </xf>
    <xf numFmtId="0" fontId="7" fillId="0" borderId="57" xfId="31" applyFill="1" applyBorder="1" applyAlignment="1">
      <alignment horizontal="left" wrapText="1"/>
      <protection/>
    </xf>
    <xf numFmtId="0" fontId="7" fillId="0" borderId="68" xfId="31" applyFill="1" applyBorder="1" applyAlignment="1">
      <alignment horizontal="right" wrapText="1"/>
      <protection/>
    </xf>
    <xf numFmtId="1" fontId="7" fillId="0" borderId="59" xfId="31" applyNumberFormat="1" applyFill="1" applyBorder="1">
      <alignment/>
      <protection/>
    </xf>
    <xf numFmtId="0" fontId="7" fillId="0" borderId="59" xfId="31" applyFill="1" applyBorder="1" applyAlignment="1">
      <alignment horizontal="right" wrapText="1"/>
      <protection/>
    </xf>
    <xf numFmtId="0" fontId="8" fillId="0" borderId="69" xfId="31" applyFont="1" applyFill="1" applyBorder="1">
      <alignment/>
      <protection/>
    </xf>
    <xf numFmtId="0" fontId="7" fillId="0" borderId="70" xfId="31" applyFont="1" applyFill="1" applyBorder="1">
      <alignment/>
      <protection/>
    </xf>
    <xf numFmtId="0" fontId="11" fillId="0" borderId="62" xfId="31" applyFont="1" applyFill="1" applyBorder="1" applyAlignment="1">
      <alignment wrapText="1"/>
      <protection/>
    </xf>
    <xf numFmtId="0" fontId="7" fillId="0" borderId="62" xfId="31" applyFill="1" applyBorder="1" applyAlignment="1">
      <alignment wrapText="1"/>
      <protection/>
    </xf>
    <xf numFmtId="0" fontId="7" fillId="0" borderId="62" xfId="31" applyFont="1" applyFill="1" applyBorder="1" applyAlignment="1">
      <alignment wrapText="1"/>
      <protection/>
    </xf>
    <xf numFmtId="165" fontId="7" fillId="0" borderId="63" xfId="31" applyNumberFormat="1" applyFill="1" applyBorder="1">
      <alignment/>
      <protection/>
    </xf>
    <xf numFmtId="0" fontId="7" fillId="2" borderId="11" xfId="31" applyFont="1" applyFill="1" applyBorder="1" applyAlignment="1">
      <alignment horizontal="center" vertical="center"/>
      <protection/>
    </xf>
    <xf numFmtId="0" fontId="8" fillId="0" borderId="71" xfId="31" applyFont="1" applyFill="1" applyBorder="1">
      <alignment/>
      <protection/>
    </xf>
    <xf numFmtId="0" fontId="7" fillId="0" borderId="72" xfId="31" applyFont="1" applyFill="1" applyBorder="1">
      <alignment/>
      <protection/>
    </xf>
    <xf numFmtId="0" fontId="43" fillId="0" borderId="71" xfId="31" applyFont="1" applyFill="1" applyBorder="1">
      <alignment/>
      <protection/>
    </xf>
    <xf numFmtId="1" fontId="7" fillId="0" borderId="73" xfId="31" applyNumberFormat="1" applyFill="1" applyBorder="1">
      <alignment/>
      <protection/>
    </xf>
    <xf numFmtId="0" fontId="7" fillId="0" borderId="62" xfId="31" applyFont="1" applyFill="1" applyBorder="1">
      <alignment/>
      <protection/>
    </xf>
    <xf numFmtId="180" fontId="7" fillId="0" borderId="66" xfId="31" applyNumberFormat="1" applyFont="1" applyFill="1" applyBorder="1">
      <alignment/>
      <protection/>
    </xf>
    <xf numFmtId="1" fontId="7" fillId="0" borderId="66" xfId="31" applyNumberFormat="1" applyFill="1" applyBorder="1">
      <alignment/>
      <protection/>
    </xf>
    <xf numFmtId="1" fontId="8" fillId="0" borderId="63" xfId="31" applyNumberFormat="1" applyFont="1" applyFill="1" applyBorder="1">
      <alignment/>
      <protection/>
    </xf>
    <xf numFmtId="0" fontId="7" fillId="0" borderId="74" xfId="31" applyFill="1" applyBorder="1">
      <alignment/>
      <protection/>
    </xf>
    <xf numFmtId="0" fontId="7" fillId="0" borderId="75" xfId="31" applyFill="1" applyBorder="1">
      <alignment/>
      <protection/>
    </xf>
    <xf numFmtId="0" fontId="0" fillId="0" borderId="57" xfId="30" applyFont="1" applyFill="1" applyBorder="1">
      <alignment/>
      <protection/>
    </xf>
    <xf numFmtId="0" fontId="7" fillId="0" borderId="76" xfId="31" applyFill="1" applyBorder="1">
      <alignment/>
      <protection/>
    </xf>
    <xf numFmtId="0" fontId="7" fillId="0" borderId="77" xfId="31" applyFill="1" applyBorder="1">
      <alignment/>
      <protection/>
    </xf>
    <xf numFmtId="0" fontId="7" fillId="0" borderId="78" xfId="31" applyFill="1" applyBorder="1">
      <alignment/>
      <protection/>
    </xf>
    <xf numFmtId="0" fontId="7" fillId="0" borderId="79" xfId="31" applyFont="1" applyFill="1" applyBorder="1">
      <alignment/>
      <protection/>
    </xf>
    <xf numFmtId="0" fontId="7" fillId="0" borderId="79" xfId="31" applyFont="1" applyFill="1" applyBorder="1">
      <alignment/>
      <protection/>
    </xf>
    <xf numFmtId="0" fontId="7" fillId="0" borderId="80" xfId="31" applyFill="1" applyBorder="1">
      <alignment/>
      <protection/>
    </xf>
    <xf numFmtId="0" fontId="43" fillId="0" borderId="81" xfId="31" applyFont="1" applyFill="1" applyBorder="1">
      <alignment/>
      <protection/>
    </xf>
    <xf numFmtId="0" fontId="13" fillId="0" borderId="79" xfId="31" applyFont="1" applyFill="1" applyBorder="1">
      <alignment/>
      <protection/>
    </xf>
    <xf numFmtId="0" fontId="7" fillId="0" borderId="66" xfId="31" applyFont="1" applyFill="1" applyBorder="1">
      <alignment/>
      <protection/>
    </xf>
    <xf numFmtId="183" fontId="7" fillId="2" borderId="82" xfId="0" applyNumberFormat="1" applyFont="1" applyFill="1" applyBorder="1" applyAlignment="1" applyProtection="1">
      <alignment horizontal="center"/>
      <protection locked="0"/>
    </xf>
    <xf numFmtId="0" fontId="7" fillId="0" borderId="0" xfId="0" applyFont="1" applyFill="1" applyBorder="1" applyAlignment="1">
      <alignment/>
    </xf>
    <xf numFmtId="2" fontId="7" fillId="0" borderId="0" xfId="0" applyNumberFormat="1" applyFont="1" applyFill="1" applyBorder="1" applyAlignment="1" applyProtection="1">
      <alignment/>
      <protection locked="0"/>
    </xf>
    <xf numFmtId="0" fontId="8" fillId="0" borderId="52" xfId="0" applyFont="1" applyBorder="1" applyAlignment="1">
      <alignment/>
    </xf>
    <xf numFmtId="0" fontId="8" fillId="0" borderId="28" xfId="0" applyFont="1" applyBorder="1" applyAlignment="1">
      <alignment horizontal="center"/>
    </xf>
    <xf numFmtId="0" fontId="8" fillId="0" borderId="83" xfId="0" applyFont="1" applyBorder="1" applyAlignment="1">
      <alignment horizontal="center"/>
    </xf>
    <xf numFmtId="0" fontId="8" fillId="2" borderId="84" xfId="0" applyFont="1" applyFill="1" applyBorder="1" applyAlignment="1">
      <alignment/>
    </xf>
    <xf numFmtId="0" fontId="7" fillId="0" borderId="85" xfId="0" applyFont="1" applyBorder="1" applyAlignment="1">
      <alignment/>
    </xf>
    <xf numFmtId="2" fontId="7" fillId="0" borderId="11" xfId="0" applyNumberFormat="1" applyFont="1" applyBorder="1" applyAlignment="1">
      <alignment/>
    </xf>
    <xf numFmtId="164" fontId="7" fillId="0" borderId="11" xfId="0" applyNumberFormat="1" applyFont="1" applyBorder="1" applyAlignment="1">
      <alignment/>
    </xf>
    <xf numFmtId="0" fontId="7" fillId="0" borderId="29" xfId="0" applyFont="1" applyBorder="1" applyAlignment="1">
      <alignment/>
    </xf>
    <xf numFmtId="164" fontId="7" fillId="0" borderId="0" xfId="0" applyNumberFormat="1" applyFont="1" applyFill="1" applyBorder="1" applyAlignment="1" applyProtection="1">
      <alignment/>
      <protection locked="0"/>
    </xf>
    <xf numFmtId="3" fontId="7" fillId="6" borderId="14" xfId="0" applyNumberFormat="1" applyFont="1" applyFill="1" applyBorder="1" applyAlignment="1" applyProtection="1">
      <alignment/>
      <protection locked="0"/>
    </xf>
    <xf numFmtId="0" fontId="7" fillId="0" borderId="7" xfId="0" applyFont="1" applyBorder="1" applyAlignment="1">
      <alignment horizontal="center"/>
    </xf>
    <xf numFmtId="3" fontId="13" fillId="0" borderId="0" xfId="0" applyNumberFormat="1" applyFont="1" applyAlignment="1" applyProtection="1">
      <alignment/>
      <protection locked="0"/>
    </xf>
    <xf numFmtId="14" fontId="7" fillId="2" borderId="82" xfId="0" applyNumberFormat="1" applyFont="1" applyFill="1" applyBorder="1" applyAlignment="1">
      <alignment horizontal="center"/>
    </xf>
    <xf numFmtId="3" fontId="7" fillId="0" borderId="0" xfId="0" applyNumberFormat="1" applyFont="1" applyBorder="1" applyAlignment="1" applyProtection="1">
      <alignment horizontal="left"/>
      <protection locked="0"/>
    </xf>
    <xf numFmtId="4" fontId="7" fillId="0" borderId="0" xfId="0" applyNumberFormat="1" applyFont="1" applyBorder="1" applyAlignment="1" applyProtection="1">
      <alignment horizontal="left"/>
      <protection locked="0"/>
    </xf>
    <xf numFmtId="4" fontId="7" fillId="0" borderId="0" xfId="0" applyNumberFormat="1" applyFont="1" applyFill="1" applyBorder="1" applyAlignment="1" applyProtection="1">
      <alignment horizontal="right"/>
      <protection locked="0"/>
    </xf>
    <xf numFmtId="164" fontId="7" fillId="2" borderId="16" xfId="31" applyNumberFormat="1" applyFill="1" applyBorder="1">
      <alignment/>
      <protection/>
    </xf>
    <xf numFmtId="0" fontId="23" fillId="0" borderId="0" xfId="31" applyFont="1" applyFill="1" applyAlignment="1">
      <alignment horizontal="center"/>
      <protection/>
    </xf>
    <xf numFmtId="0" fontId="7" fillId="0" borderId="11" xfId="31" applyFont="1" applyFill="1" applyBorder="1">
      <alignment/>
      <protection/>
    </xf>
    <xf numFmtId="0" fontId="42" fillId="0" borderId="0" xfId="0" applyFont="1" applyFill="1" applyAlignment="1">
      <alignment horizontal="center"/>
    </xf>
    <xf numFmtId="6" fontId="42" fillId="0" borderId="0" xfId="0" applyNumberFormat="1" applyFont="1" applyFill="1" applyAlignment="1">
      <alignment horizontal="center"/>
    </xf>
    <xf numFmtId="6" fontId="23" fillId="0" borderId="0" xfId="31" applyNumberFormat="1" applyFont="1" applyFill="1" applyAlignment="1">
      <alignment horizontal="center"/>
      <protection/>
    </xf>
    <xf numFmtId="0" fontId="7" fillId="0" borderId="11" xfId="31" applyFill="1" applyBorder="1">
      <alignment/>
      <protection/>
    </xf>
    <xf numFmtId="0" fontId="7" fillId="0" borderId="86" xfId="31" applyFont="1" applyFill="1" applyBorder="1">
      <alignment/>
      <protection/>
    </xf>
    <xf numFmtId="0" fontId="0" fillId="0" borderId="86" xfId="0" applyFont="1" applyFill="1" applyBorder="1" applyAlignment="1">
      <alignment/>
    </xf>
    <xf numFmtId="164" fontId="7" fillId="0" borderId="86" xfId="31" applyNumberFormat="1" applyFont="1" applyFill="1" applyBorder="1">
      <alignment/>
      <protection/>
    </xf>
    <xf numFmtId="1" fontId="7" fillId="0" borderId="86" xfId="31" applyNumberFormat="1" applyFont="1" applyFill="1" applyBorder="1">
      <alignment/>
      <protection/>
    </xf>
    <xf numFmtId="0" fontId="7" fillId="0" borderId="87" xfId="31" applyFont="1" applyFill="1" applyBorder="1">
      <alignment/>
      <protection/>
    </xf>
    <xf numFmtId="0" fontId="0" fillId="0" borderId="87" xfId="0" applyFont="1" applyFill="1" applyBorder="1" applyAlignment="1">
      <alignment/>
    </xf>
    <xf numFmtId="0" fontId="46" fillId="0" borderId="11" xfId="0" applyFont="1" applyFill="1" applyBorder="1" applyAlignment="1">
      <alignment horizontal="center"/>
    </xf>
    <xf numFmtId="0" fontId="47" fillId="0" borderId="11" xfId="31" applyFont="1" applyFill="1" applyBorder="1" applyAlignment="1">
      <alignment horizontal="center"/>
      <protection/>
    </xf>
    <xf numFmtId="0" fontId="47" fillId="0" borderId="11" xfId="31" applyFont="1" applyFill="1" applyBorder="1" applyAlignment="1">
      <alignment horizontal="left"/>
      <protection/>
    </xf>
    <xf numFmtId="0" fontId="46" fillId="0" borderId="11" xfId="0" applyFont="1" applyFill="1" applyBorder="1" applyAlignment="1">
      <alignment horizontal="left"/>
    </xf>
    <xf numFmtId="2" fontId="46" fillId="0" borderId="11" xfId="0" applyNumberFormat="1" applyFont="1" applyFill="1" applyBorder="1" applyAlignment="1">
      <alignment horizontal="center"/>
    </xf>
    <xf numFmtId="0" fontId="29" fillId="0" borderId="0" xfId="0" applyFont="1" applyBorder="1" applyAlignment="1">
      <alignment/>
    </xf>
    <xf numFmtId="190" fontId="29" fillId="0" borderId="0" xfId="0" applyNumberFormat="1" applyFont="1" applyBorder="1" applyAlignment="1">
      <alignment horizontal="center"/>
    </xf>
    <xf numFmtId="0" fontId="29" fillId="0" borderId="0" xfId="0" applyFont="1" applyBorder="1" applyAlignment="1">
      <alignment horizontal="center"/>
    </xf>
    <xf numFmtId="166" fontId="41" fillId="0" borderId="0" xfId="0" applyNumberFormat="1" applyFont="1" applyBorder="1" applyAlignment="1" applyProtection="1">
      <alignment horizontal="left"/>
      <protection/>
    </xf>
    <xf numFmtId="0" fontId="41" fillId="0" borderId="0" xfId="0" applyFont="1" applyBorder="1" applyAlignment="1" applyProtection="1">
      <alignment horizontal="left"/>
      <protection/>
    </xf>
    <xf numFmtId="0" fontId="41" fillId="0" borderId="0" xfId="0" applyFont="1" applyAlignment="1">
      <alignment horizontal="left"/>
    </xf>
    <xf numFmtId="0" fontId="41" fillId="0" borderId="0" xfId="0" applyFont="1" applyBorder="1" applyAlignment="1">
      <alignment horizontal="left"/>
    </xf>
    <xf numFmtId="0" fontId="41" fillId="0" borderId="0" xfId="27" applyFont="1">
      <alignment/>
      <protection/>
    </xf>
    <xf numFmtId="0" fontId="41" fillId="0" borderId="0" xfId="0" applyFont="1" applyFill="1" applyAlignment="1">
      <alignment/>
    </xf>
    <xf numFmtId="2" fontId="7" fillId="0" borderId="88" xfId="0" applyNumberFormat="1" applyFont="1" applyBorder="1" applyAlignment="1">
      <alignment/>
    </xf>
    <xf numFmtId="2" fontId="7" fillId="0" borderId="80" xfId="0" applyNumberFormat="1" applyFont="1" applyFill="1" applyBorder="1" applyAlignment="1">
      <alignment/>
    </xf>
    <xf numFmtId="2" fontId="7" fillId="0" borderId="89" xfId="0" applyNumberFormat="1" applyFont="1" applyBorder="1" applyAlignment="1">
      <alignment/>
    </xf>
    <xf numFmtId="2" fontId="7" fillId="0" borderId="90" xfId="0" applyNumberFormat="1" applyFont="1" applyBorder="1" applyAlignment="1">
      <alignment/>
    </xf>
    <xf numFmtId="2" fontId="7" fillId="0" borderId="91" xfId="0" applyNumberFormat="1" applyFont="1" applyBorder="1" applyAlignment="1">
      <alignment/>
    </xf>
    <xf numFmtId="2" fontId="7" fillId="0" borderId="92" xfId="0" applyNumberFormat="1" applyFont="1" applyBorder="1" applyAlignment="1">
      <alignment/>
    </xf>
    <xf numFmtId="2" fontId="7" fillId="0" borderId="45" xfId="0" applyNumberFormat="1" applyFont="1" applyBorder="1" applyAlignment="1">
      <alignment/>
    </xf>
    <xf numFmtId="2" fontId="7" fillId="0" borderId="93" xfId="0" applyNumberFormat="1" applyFont="1" applyBorder="1" applyAlignment="1">
      <alignment/>
    </xf>
    <xf numFmtId="2" fontId="7" fillId="0" borderId="86" xfId="0" applyNumberFormat="1" applyFont="1" applyBorder="1" applyAlignment="1">
      <alignment/>
    </xf>
    <xf numFmtId="2" fontId="7" fillId="0" borderId="87" xfId="0" applyNumberFormat="1"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26" xfId="0" applyFont="1" applyBorder="1" applyAlignment="1">
      <alignment/>
    </xf>
    <xf numFmtId="0" fontId="7" fillId="0" borderId="94" xfId="0" applyFont="1" applyBorder="1" applyAlignment="1">
      <alignment/>
    </xf>
    <xf numFmtId="0" fontId="7" fillId="0" borderId="95" xfId="0" applyFont="1" applyBorder="1" applyAlignment="1">
      <alignment/>
    </xf>
    <xf numFmtId="0" fontId="7" fillId="0" borderId="96" xfId="0" applyFont="1" applyBorder="1" applyAlignment="1">
      <alignment/>
    </xf>
    <xf numFmtId="1" fontId="7" fillId="0" borderId="11" xfId="0" applyNumberFormat="1" applyFont="1" applyBorder="1" applyAlignment="1">
      <alignment/>
    </xf>
    <xf numFmtId="0" fontId="7" fillId="0" borderId="24" xfId="0" applyFont="1" applyBorder="1" applyAlignment="1">
      <alignment/>
    </xf>
    <xf numFmtId="1" fontId="7" fillId="0" borderId="97" xfId="0" applyNumberFormat="1" applyFont="1" applyBorder="1" applyAlignment="1">
      <alignment/>
    </xf>
    <xf numFmtId="0" fontId="7" fillId="0" borderId="98" xfId="0" applyFont="1" applyBorder="1" applyAlignment="1">
      <alignment/>
    </xf>
    <xf numFmtId="2" fontId="7" fillId="0" borderId="99" xfId="0" applyNumberFormat="1" applyFont="1" applyBorder="1" applyAlignment="1">
      <alignment/>
    </xf>
    <xf numFmtId="2" fontId="7" fillId="0" borderId="100" xfId="0" applyNumberFormat="1" applyFont="1" applyBorder="1" applyAlignment="1">
      <alignment/>
    </xf>
    <xf numFmtId="2" fontId="7" fillId="0" borderId="101" xfId="0" applyNumberFormat="1" applyFont="1" applyBorder="1" applyAlignment="1">
      <alignment/>
    </xf>
    <xf numFmtId="2" fontId="7" fillId="0" borderId="102" xfId="0" applyNumberFormat="1" applyFont="1" applyBorder="1" applyAlignment="1">
      <alignment/>
    </xf>
    <xf numFmtId="2" fontId="7" fillId="0" borderId="103" xfId="0" applyNumberFormat="1" applyFont="1" applyBorder="1" applyAlignment="1">
      <alignment/>
    </xf>
    <xf numFmtId="2" fontId="7" fillId="0" borderId="16" xfId="0" applyNumberFormat="1" applyFont="1" applyBorder="1" applyAlignment="1">
      <alignment/>
    </xf>
    <xf numFmtId="2" fontId="7" fillId="0" borderId="30" xfId="0" applyNumberFormat="1" applyFont="1" applyBorder="1" applyAlignment="1">
      <alignment/>
    </xf>
    <xf numFmtId="0" fontId="7" fillId="0" borderId="90" xfId="0" applyFont="1" applyBorder="1" applyAlignment="1">
      <alignment/>
    </xf>
    <xf numFmtId="0" fontId="7" fillId="0" borderId="71" xfId="0" applyFont="1" applyBorder="1" applyAlignment="1">
      <alignment/>
    </xf>
    <xf numFmtId="2" fontId="7" fillId="0" borderId="79" xfId="0" applyNumberFormat="1" applyFont="1" applyBorder="1" applyAlignment="1">
      <alignment/>
    </xf>
    <xf numFmtId="2" fontId="7" fillId="0" borderId="104" xfId="0" applyNumberFormat="1" applyFont="1" applyBorder="1" applyAlignment="1">
      <alignment/>
    </xf>
    <xf numFmtId="0" fontId="7" fillId="0" borderId="61" xfId="0" applyFont="1" applyBorder="1" applyAlignment="1">
      <alignment/>
    </xf>
    <xf numFmtId="2" fontId="7" fillId="0" borderId="76" xfId="0" applyNumberFormat="1" applyFont="1" applyBorder="1" applyAlignment="1">
      <alignment/>
    </xf>
    <xf numFmtId="0" fontId="7" fillId="0" borderId="105" xfId="0" applyFont="1" applyBorder="1" applyAlignment="1">
      <alignment/>
    </xf>
    <xf numFmtId="2" fontId="7" fillId="0" borderId="106" xfId="0" applyNumberFormat="1" applyFont="1" applyBorder="1" applyAlignment="1">
      <alignment/>
    </xf>
    <xf numFmtId="0" fontId="7" fillId="0" borderId="81" xfId="0" applyFont="1" applyBorder="1" applyAlignment="1">
      <alignment/>
    </xf>
    <xf numFmtId="2" fontId="7" fillId="0" borderId="107" xfId="0" applyNumberFormat="1" applyFont="1" applyFill="1" applyBorder="1" applyAlignment="1">
      <alignment/>
    </xf>
    <xf numFmtId="0" fontId="7" fillId="0" borderId="108" xfId="0" applyFont="1" applyBorder="1" applyAlignment="1">
      <alignment/>
    </xf>
    <xf numFmtId="2" fontId="7" fillId="0" borderId="51" xfId="0" applyNumberFormat="1" applyFont="1" applyBorder="1" applyAlignment="1">
      <alignment/>
    </xf>
    <xf numFmtId="2" fontId="7" fillId="0" borderId="109" xfId="0" applyNumberFormat="1" applyFont="1" applyBorder="1" applyAlignment="1">
      <alignment/>
    </xf>
    <xf numFmtId="0" fontId="7" fillId="0" borderId="110" xfId="0" applyFont="1" applyBorder="1" applyAlignment="1">
      <alignment/>
    </xf>
    <xf numFmtId="0" fontId="7" fillId="0" borderId="16" xfId="0" applyFont="1" applyBorder="1" applyAlignment="1">
      <alignment/>
    </xf>
    <xf numFmtId="0" fontId="7" fillId="0" borderId="91" xfId="0" applyFont="1" applyBorder="1" applyAlignment="1">
      <alignment/>
    </xf>
    <xf numFmtId="0" fontId="7" fillId="0" borderId="92" xfId="0" applyFont="1" applyBorder="1" applyAlignment="1">
      <alignment/>
    </xf>
    <xf numFmtId="0" fontId="7" fillId="0" borderId="30" xfId="0" applyFont="1" applyBorder="1" applyAlignment="1">
      <alignment/>
    </xf>
    <xf numFmtId="2" fontId="7" fillId="0" borderId="94" xfId="0" applyNumberFormat="1" applyFont="1" applyBorder="1" applyAlignment="1">
      <alignment/>
    </xf>
    <xf numFmtId="2" fontId="7" fillId="0" borderId="95" xfId="0" applyNumberFormat="1" applyFont="1" applyBorder="1" applyAlignment="1">
      <alignment/>
    </xf>
    <xf numFmtId="2" fontId="7" fillId="0" borderId="96" xfId="0" applyNumberFormat="1" applyFont="1" applyBorder="1" applyAlignment="1">
      <alignment/>
    </xf>
    <xf numFmtId="0" fontId="44" fillId="0" borderId="8" xfId="0" applyFont="1" applyBorder="1" applyAlignment="1">
      <alignment/>
    </xf>
    <xf numFmtId="3" fontId="7" fillId="0" borderId="77" xfId="0" applyNumberFormat="1" applyFont="1" applyBorder="1" applyAlignment="1" applyProtection="1">
      <alignment horizontal="left"/>
      <protection locked="0"/>
    </xf>
    <xf numFmtId="3" fontId="7" fillId="0" borderId="76" xfId="0" applyNumberFormat="1" applyFont="1" applyBorder="1" applyAlignment="1" applyProtection="1">
      <alignment horizontal="left"/>
      <protection locked="0"/>
    </xf>
    <xf numFmtId="3" fontId="7" fillId="0" borderId="106" xfId="0" applyNumberFormat="1" applyFont="1" applyBorder="1" applyAlignment="1" applyProtection="1">
      <alignment horizontal="left"/>
      <protection locked="0"/>
    </xf>
    <xf numFmtId="0" fontId="13" fillId="0" borderId="8" xfId="0" applyFont="1" applyBorder="1" applyAlignment="1">
      <alignment/>
    </xf>
    <xf numFmtId="0" fontId="13" fillId="0" borderId="9" xfId="0" applyFont="1" applyBorder="1" applyAlignment="1">
      <alignment/>
    </xf>
    <xf numFmtId="0" fontId="13" fillId="0" borderId="7" xfId="0" applyFont="1" applyBorder="1" applyAlignment="1">
      <alignment/>
    </xf>
    <xf numFmtId="3" fontId="7" fillId="0" borderId="103" xfId="0" applyNumberFormat="1" applyFont="1" applyBorder="1" applyAlignment="1" applyProtection="1">
      <alignment horizontal="left"/>
      <protection locked="0"/>
    </xf>
    <xf numFmtId="3" fontId="7" fillId="0" borderId="101" xfId="0" applyNumberFormat="1" applyFont="1" applyBorder="1" applyAlignment="1" applyProtection="1">
      <alignment horizontal="left"/>
      <protection locked="0"/>
    </xf>
    <xf numFmtId="3" fontId="7" fillId="0" borderId="102" xfId="0" applyNumberFormat="1" applyFont="1" applyBorder="1" applyAlignment="1" applyProtection="1">
      <alignment horizontal="left"/>
      <protection locked="0"/>
    </xf>
    <xf numFmtId="0" fontId="49" fillId="0" borderId="0" xfId="0" applyFont="1" applyAlignment="1">
      <alignment/>
    </xf>
    <xf numFmtId="0" fontId="7" fillId="0" borderId="0" xfId="0" applyFont="1" applyAlignment="1">
      <alignment wrapText="1"/>
    </xf>
    <xf numFmtId="0" fontId="7" fillId="0" borderId="84" xfId="0" applyFont="1" applyBorder="1" applyAlignment="1">
      <alignment/>
    </xf>
    <xf numFmtId="0" fontId="7" fillId="2" borderId="111" xfId="0" applyFont="1" applyFill="1" applyBorder="1" applyAlignment="1">
      <alignment/>
    </xf>
    <xf numFmtId="2" fontId="7" fillId="0" borderId="38" xfId="0" applyNumberFormat="1" applyFont="1" applyFill="1" applyBorder="1" applyAlignment="1" applyProtection="1">
      <alignment/>
      <protection locked="0"/>
    </xf>
    <xf numFmtId="0" fontId="0" fillId="0" borderId="0" xfId="0" applyNumberFormat="1" applyAlignment="1">
      <alignment/>
    </xf>
    <xf numFmtId="0" fontId="0" fillId="0" borderId="0" xfId="0" applyNumberFormat="1" applyAlignment="1">
      <alignment wrapText="1"/>
    </xf>
    <xf numFmtId="0" fontId="50" fillId="0" borderId="0" xfId="0" applyFont="1" applyAlignment="1">
      <alignment/>
    </xf>
    <xf numFmtId="0" fontId="12" fillId="0" borderId="0" xfId="0" applyFont="1" applyFill="1" applyBorder="1" applyAlignment="1">
      <alignment horizontal="center" vertical="center" textRotation="90"/>
    </xf>
    <xf numFmtId="0" fontId="7" fillId="0" borderId="0" xfId="0" applyFont="1" applyFill="1" applyBorder="1" applyAlignment="1" quotePrefix="1">
      <alignment horizontal="right"/>
    </xf>
    <xf numFmtId="0" fontId="8" fillId="0" borderId="0" xfId="0" applyFont="1" applyFill="1" applyBorder="1" applyAlignment="1">
      <alignment horizontal="center"/>
    </xf>
    <xf numFmtId="184" fontId="7" fillId="0" borderId="0" xfId="0" applyNumberFormat="1" applyFont="1" applyFill="1" applyBorder="1" applyAlignment="1">
      <alignment/>
    </xf>
    <xf numFmtId="175" fontId="7" fillId="0" borderId="27" xfId="0" applyNumberFormat="1" applyFont="1" applyFill="1" applyBorder="1" applyAlignment="1">
      <alignment/>
    </xf>
    <xf numFmtId="175" fontId="7" fillId="0" borderId="0" xfId="0" applyNumberFormat="1" applyFont="1" applyFill="1" applyBorder="1" applyAlignment="1">
      <alignment/>
    </xf>
    <xf numFmtId="176" fontId="7" fillId="0" borderId="0" xfId="0" applyNumberFormat="1" applyFont="1" applyFill="1" applyBorder="1" applyAlignment="1">
      <alignment/>
    </xf>
    <xf numFmtId="184" fontId="23" fillId="0" borderId="0" xfId="0" applyNumberFormat="1" applyFont="1" applyFill="1" applyBorder="1" applyAlignment="1">
      <alignment/>
    </xf>
    <xf numFmtId="2" fontId="22" fillId="0" borderId="0" xfId="0" applyNumberFormat="1" applyFont="1" applyFill="1" applyBorder="1" applyAlignment="1" applyProtection="1">
      <alignment/>
      <protection locked="0"/>
    </xf>
    <xf numFmtId="11" fontId="7" fillId="0" borderId="11" xfId="0" applyNumberFormat="1" applyFont="1" applyFill="1" applyBorder="1" applyAlignment="1">
      <alignment/>
    </xf>
    <xf numFmtId="1" fontId="7" fillId="0" borderId="11" xfId="0" applyNumberFormat="1" applyFont="1" applyFill="1" applyBorder="1" applyAlignment="1">
      <alignment/>
    </xf>
    <xf numFmtId="0" fontId="8" fillId="0" borderId="83" xfId="0" applyFont="1" applyFill="1" applyBorder="1" applyAlignment="1">
      <alignment horizontal="center" wrapText="1"/>
    </xf>
    <xf numFmtId="184" fontId="7" fillId="0" borderId="112" xfId="0" applyNumberFormat="1" applyFont="1" applyFill="1" applyBorder="1" applyAlignment="1">
      <alignment/>
    </xf>
    <xf numFmtId="184" fontId="7" fillId="0" borderId="97" xfId="0" applyNumberFormat="1" applyFont="1" applyFill="1" applyBorder="1" applyAlignment="1">
      <alignment/>
    </xf>
    <xf numFmtId="11" fontId="7" fillId="0" borderId="97" xfId="0" applyNumberFormat="1" applyFont="1" applyFill="1" applyBorder="1" applyAlignment="1">
      <alignment/>
    </xf>
    <xf numFmtId="0" fontId="7" fillId="0" borderId="30" xfId="0" applyFont="1" applyFill="1" applyBorder="1" applyAlignment="1">
      <alignment/>
    </xf>
    <xf numFmtId="0" fontId="7" fillId="0" borderId="47" xfId="0" applyFont="1" applyFill="1" applyBorder="1" applyAlignment="1">
      <alignment/>
    </xf>
    <xf numFmtId="1" fontId="7" fillId="0" borderId="47" xfId="0" applyNumberFormat="1" applyFont="1" applyFill="1" applyBorder="1" applyAlignment="1">
      <alignment/>
    </xf>
    <xf numFmtId="11" fontId="7" fillId="0" borderId="11" xfId="0" applyNumberFormat="1" applyFont="1" applyFill="1" applyBorder="1" applyAlignment="1">
      <alignment horizontal="center"/>
    </xf>
    <xf numFmtId="165" fontId="7" fillId="0" borderId="11" xfId="0" applyNumberFormat="1" applyFont="1" applyFill="1" applyBorder="1" applyAlignment="1">
      <alignment/>
    </xf>
    <xf numFmtId="5" fontId="7" fillId="0" borderId="4" xfId="0" applyNumberFormat="1" applyFont="1" applyFill="1" applyBorder="1" applyAlignment="1" applyProtection="1">
      <alignment/>
      <protection/>
    </xf>
    <xf numFmtId="183" fontId="7" fillId="0" borderId="5" xfId="0" applyNumberFormat="1" applyFont="1" applyFill="1" applyBorder="1" applyAlignment="1">
      <alignment horizontal="left"/>
    </xf>
    <xf numFmtId="168" fontId="7" fillId="0" borderId="11" xfId="0" applyNumberFormat="1" applyFont="1" applyFill="1" applyBorder="1" applyAlignment="1" applyProtection="1">
      <alignment/>
      <protection/>
    </xf>
    <xf numFmtId="173" fontId="7" fillId="0" borderId="11" xfId="15" applyNumberFormat="1" applyFont="1" applyFill="1" applyBorder="1" applyAlignment="1" applyProtection="1">
      <alignment/>
      <protection/>
    </xf>
    <xf numFmtId="5" fontId="7" fillId="0" borderId="4" xfId="0" applyNumberFormat="1" applyFont="1" applyFill="1" applyBorder="1" applyAlignment="1" applyProtection="1">
      <alignment/>
      <protection/>
    </xf>
    <xf numFmtId="0" fontId="7" fillId="0" borderId="3" xfId="0" applyFont="1" applyBorder="1" applyAlignment="1" applyProtection="1">
      <alignment horizontal="left"/>
      <protection/>
    </xf>
    <xf numFmtId="5" fontId="7" fillId="0" borderId="4" xfId="0" applyNumberFormat="1" applyFont="1" applyFill="1" applyBorder="1" applyAlignment="1" applyProtection="1">
      <alignment/>
      <protection/>
    </xf>
    <xf numFmtId="1" fontId="7" fillId="0" borderId="14" xfId="0" applyNumberFormat="1" applyFont="1" applyFill="1" applyBorder="1" applyAlignment="1" applyProtection="1">
      <alignment/>
      <protection/>
    </xf>
    <xf numFmtId="0" fontId="7" fillId="0" borderId="0" xfId="0" applyFont="1" applyFill="1" applyBorder="1" applyAlignment="1">
      <alignment/>
    </xf>
    <xf numFmtId="0" fontId="7" fillId="0" borderId="4" xfId="0" applyFont="1" applyFill="1" applyBorder="1" applyAlignment="1">
      <alignment/>
    </xf>
    <xf numFmtId="167" fontId="7" fillId="0" borderId="11" xfId="0" applyNumberFormat="1" applyFont="1" applyFill="1" applyBorder="1" applyAlignment="1" applyProtection="1">
      <alignment/>
      <protection/>
    </xf>
    <xf numFmtId="39" fontId="7" fillId="0" borderId="11" xfId="0" applyNumberFormat="1" applyFont="1" applyFill="1" applyBorder="1" applyAlignment="1" applyProtection="1">
      <alignment/>
      <protection/>
    </xf>
    <xf numFmtId="0" fontId="7" fillId="0" borderId="0" xfId="0" applyFont="1" applyFill="1" applyAlignment="1">
      <alignment/>
    </xf>
    <xf numFmtId="2" fontId="7" fillId="0" borderId="0" xfId="0" applyNumberFormat="1" applyFont="1" applyFill="1" applyBorder="1" applyAlignment="1" quotePrefix="1">
      <alignment/>
    </xf>
    <xf numFmtId="5" fontId="8" fillId="0" borderId="11" xfId="0" applyNumberFormat="1" applyFont="1" applyFill="1" applyBorder="1" applyAlignment="1" applyProtection="1">
      <alignment/>
      <protection/>
    </xf>
    <xf numFmtId="0" fontId="12" fillId="7" borderId="8" xfId="0" applyFont="1" applyFill="1" applyBorder="1" applyAlignment="1">
      <alignment horizontal="left"/>
    </xf>
    <xf numFmtId="0" fontId="7" fillId="7" borderId="9" xfId="0" applyFont="1" applyFill="1" applyBorder="1" applyAlignment="1">
      <alignment/>
    </xf>
    <xf numFmtId="0" fontId="7" fillId="7" borderId="7" xfId="0" applyFont="1" applyFill="1" applyBorder="1" applyAlignment="1">
      <alignment/>
    </xf>
    <xf numFmtId="5" fontId="8" fillId="0" borderId="0" xfId="0" applyNumberFormat="1" applyFont="1" applyFill="1" applyBorder="1" applyAlignment="1" applyProtection="1">
      <alignment/>
      <protection/>
    </xf>
    <xf numFmtId="39" fontId="7" fillId="0" borderId="49" xfId="0" applyNumberFormat="1" applyFont="1" applyBorder="1" applyAlignment="1" applyProtection="1">
      <alignment/>
      <protection/>
    </xf>
    <xf numFmtId="0" fontId="7" fillId="0" borderId="113" xfId="0" applyFont="1" applyFill="1" applyBorder="1" applyAlignment="1">
      <alignment horizontal="left"/>
    </xf>
    <xf numFmtId="0" fontId="7" fillId="0" borderId="113" xfId="0" applyFont="1" applyBorder="1" applyAlignment="1">
      <alignment horizontal="left"/>
    </xf>
    <xf numFmtId="0" fontId="7" fillId="0" borderId="114" xfId="0" applyFont="1" applyFill="1" applyBorder="1" applyAlignment="1">
      <alignment/>
    </xf>
    <xf numFmtId="39" fontId="7" fillId="0" borderId="49" xfId="0" applyNumberFormat="1" applyFont="1" applyFill="1" applyBorder="1" applyAlignment="1" applyProtection="1">
      <alignment/>
      <protection/>
    </xf>
    <xf numFmtId="0" fontId="7" fillId="0" borderId="28" xfId="0" applyFont="1" applyFill="1" applyBorder="1" applyAlignment="1">
      <alignment horizontal="center"/>
    </xf>
    <xf numFmtId="39" fontId="7" fillId="0" borderId="49" xfId="0" applyNumberFormat="1" applyFont="1" applyFill="1" applyBorder="1" applyAlignment="1" applyProtection="1">
      <alignment/>
      <protection/>
    </xf>
    <xf numFmtId="39" fontId="7" fillId="0" borderId="49" xfId="0" applyNumberFormat="1" applyFont="1" applyFill="1" applyBorder="1" applyAlignment="1" applyProtection="1">
      <alignment/>
      <protection/>
    </xf>
    <xf numFmtId="0" fontId="7" fillId="0" borderId="3" xfId="0" applyFont="1" applyBorder="1" applyAlignment="1">
      <alignment/>
    </xf>
    <xf numFmtId="166" fontId="7" fillId="0" borderId="3" xfId="0" applyNumberFormat="1" applyFont="1" applyBorder="1" applyAlignment="1" applyProtection="1">
      <alignment horizontal="left"/>
      <protection/>
    </xf>
    <xf numFmtId="166" fontId="7" fillId="0" borderId="3" xfId="0" applyNumberFormat="1" applyFont="1" applyBorder="1" applyAlignment="1" applyProtection="1">
      <alignment/>
      <protection/>
    </xf>
    <xf numFmtId="0" fontId="7" fillId="0" borderId="40" xfId="0" applyFont="1" applyBorder="1" applyAlignment="1">
      <alignment/>
    </xf>
    <xf numFmtId="0" fontId="12" fillId="7" borderId="8" xfId="0" applyFont="1" applyFill="1" applyBorder="1" applyAlignment="1">
      <alignment/>
    </xf>
    <xf numFmtId="0" fontId="13" fillId="7" borderId="9" xfId="0" applyFont="1" applyFill="1" applyBorder="1" applyAlignment="1">
      <alignment/>
    </xf>
    <xf numFmtId="0" fontId="13" fillId="7" borderId="7" xfId="0" applyFont="1" applyFill="1" applyBorder="1" applyAlignment="1">
      <alignment/>
    </xf>
    <xf numFmtId="1" fontId="13" fillId="0" borderId="0" xfId="0" applyNumberFormat="1" applyFont="1" applyAlignment="1">
      <alignment/>
    </xf>
    <xf numFmtId="182" fontId="13" fillId="0" borderId="0" xfId="0" applyNumberFormat="1" applyFont="1" applyAlignment="1">
      <alignment/>
    </xf>
    <xf numFmtId="0" fontId="7" fillId="0" borderId="0" xfId="0" applyFont="1" applyFill="1" applyAlignment="1">
      <alignment/>
    </xf>
    <xf numFmtId="0" fontId="7" fillId="0" borderId="4" xfId="0" applyFont="1" applyFill="1" applyBorder="1" applyAlignment="1">
      <alignment/>
    </xf>
    <xf numFmtId="2" fontId="7" fillId="0" borderId="0" xfId="0" applyNumberFormat="1" applyFont="1" applyFill="1" applyBorder="1" applyAlignment="1">
      <alignment/>
    </xf>
    <xf numFmtId="0" fontId="11" fillId="0" borderId="0" xfId="0" applyFont="1" applyFill="1" applyAlignment="1">
      <alignment/>
    </xf>
    <xf numFmtId="5" fontId="7" fillId="0" borderId="0" xfId="0" applyNumberFormat="1" applyFont="1" applyFill="1" applyAlignment="1">
      <alignment/>
    </xf>
    <xf numFmtId="0" fontId="13" fillId="0" borderId="0" xfId="0" applyFont="1" applyFill="1" applyAlignment="1">
      <alignment/>
    </xf>
    <xf numFmtId="0" fontId="7" fillId="0" borderId="3" xfId="0" applyFont="1" applyFill="1" applyBorder="1" applyAlignment="1">
      <alignment/>
    </xf>
    <xf numFmtId="4" fontId="7" fillId="0" borderId="10" xfId="0" applyNumberFormat="1" applyFont="1" applyFill="1" applyBorder="1" applyAlignment="1" applyProtection="1">
      <alignment/>
      <protection/>
    </xf>
    <xf numFmtId="166" fontId="7" fillId="0" borderId="12" xfId="0" applyNumberFormat="1" applyFont="1" applyFill="1" applyBorder="1" applyAlignment="1" applyProtection="1">
      <alignment/>
      <protection/>
    </xf>
    <xf numFmtId="166" fontId="7" fillId="0" borderId="0" xfId="0" applyNumberFormat="1" applyFont="1" applyFill="1" applyAlignment="1" applyProtection="1">
      <alignment/>
      <protection/>
    </xf>
    <xf numFmtId="0" fontId="7" fillId="0" borderId="3" xfId="0" applyFont="1" applyFill="1" applyBorder="1" applyAlignment="1">
      <alignment/>
    </xf>
    <xf numFmtId="166" fontId="7" fillId="0" borderId="0" xfId="0" applyNumberFormat="1" applyFont="1" applyFill="1" applyBorder="1" applyAlignment="1" applyProtection="1">
      <alignment horizontal="left"/>
      <protection/>
    </xf>
    <xf numFmtId="166" fontId="7" fillId="0" borderId="4" xfId="0" applyNumberFormat="1" applyFont="1" applyFill="1" applyBorder="1" applyAlignment="1" applyProtection="1">
      <alignment/>
      <protection/>
    </xf>
    <xf numFmtId="166" fontId="7" fillId="0" borderId="4" xfId="0" applyNumberFormat="1" applyFont="1" applyFill="1" applyBorder="1" applyAlignment="1" applyProtection="1">
      <alignment horizontal="left"/>
      <protection/>
    </xf>
    <xf numFmtId="166" fontId="7" fillId="0" borderId="5" xfId="0" applyNumberFormat="1" applyFont="1" applyFill="1" applyBorder="1" applyAlignment="1" applyProtection="1">
      <alignment horizontal="left"/>
      <protection/>
    </xf>
    <xf numFmtId="166" fontId="7" fillId="0" borderId="113" xfId="0" applyNumberFormat="1" applyFont="1" applyFill="1" applyBorder="1" applyAlignment="1" applyProtection="1">
      <alignment horizontal="left"/>
      <protection/>
    </xf>
    <xf numFmtId="0" fontId="7" fillId="0" borderId="114" xfId="0" applyFont="1" applyFill="1" applyBorder="1" applyAlignment="1">
      <alignment horizontal="center"/>
    </xf>
    <xf numFmtId="169" fontId="8" fillId="0" borderId="3" xfId="0" applyNumberFormat="1" applyFont="1" applyFill="1" applyBorder="1" applyAlignment="1" applyProtection="1">
      <alignment horizontal="left"/>
      <protection/>
    </xf>
    <xf numFmtId="168" fontId="7" fillId="0" borderId="3" xfId="0" applyNumberFormat="1" applyFont="1" applyFill="1" applyBorder="1" applyAlignment="1" applyProtection="1">
      <alignment horizontal="left"/>
      <protection/>
    </xf>
    <xf numFmtId="0" fontId="8" fillId="7" borderId="8" xfId="0" applyFont="1" applyFill="1" applyBorder="1" applyAlignment="1">
      <alignment horizontal="left"/>
    </xf>
    <xf numFmtId="0" fontId="7" fillId="0" borderId="40" xfId="0" applyFont="1" applyFill="1" applyBorder="1" applyAlignment="1">
      <alignment/>
    </xf>
    <xf numFmtId="0" fontId="7" fillId="0" borderId="39" xfId="0" applyFont="1" applyFill="1" applyBorder="1" applyAlignment="1">
      <alignment/>
    </xf>
    <xf numFmtId="0" fontId="8" fillId="7" borderId="115" xfId="0" applyFont="1" applyFill="1" applyBorder="1" applyAlignment="1">
      <alignment horizontal="left"/>
    </xf>
    <xf numFmtId="0" fontId="7" fillId="7" borderId="116" xfId="0" applyFont="1" applyFill="1" applyBorder="1" applyAlignment="1">
      <alignment/>
    </xf>
    <xf numFmtId="0" fontId="8" fillId="7" borderId="116" xfId="0" applyFont="1" applyFill="1" applyBorder="1" applyAlignment="1">
      <alignment/>
    </xf>
    <xf numFmtId="0" fontId="7" fillId="0" borderId="28" xfId="0" applyFont="1" applyFill="1" applyBorder="1" applyAlignment="1">
      <alignment/>
    </xf>
    <xf numFmtId="0" fontId="7" fillId="0" borderId="117" xfId="0" applyFont="1" applyFill="1" applyBorder="1" applyAlignment="1">
      <alignment/>
    </xf>
    <xf numFmtId="0" fontId="7" fillId="0" borderId="118" xfId="0" applyFont="1" applyFill="1" applyBorder="1" applyAlignment="1">
      <alignment/>
    </xf>
    <xf numFmtId="2" fontId="7" fillId="0" borderId="49" xfId="0" applyNumberFormat="1" applyFont="1" applyBorder="1" applyAlignment="1">
      <alignment/>
    </xf>
    <xf numFmtId="0" fontId="7" fillId="0" borderId="28" xfId="0" applyFont="1" applyBorder="1" applyAlignment="1">
      <alignment horizontal="center"/>
    </xf>
    <xf numFmtId="0" fontId="8" fillId="0" borderId="119" xfId="0" applyFont="1" applyFill="1" applyBorder="1" applyAlignment="1">
      <alignment horizontal="left"/>
    </xf>
    <xf numFmtId="0" fontId="11" fillId="0" borderId="0" xfId="31" applyFont="1" applyFill="1" applyBorder="1" applyAlignment="1">
      <alignment horizontal="left" wrapText="1"/>
      <protection/>
    </xf>
    <xf numFmtId="0" fontId="7" fillId="0" borderId="0" xfId="31" applyFont="1" applyFill="1" applyBorder="1" applyAlignment="1">
      <alignment horizontal="left"/>
      <protection/>
    </xf>
    <xf numFmtId="0" fontId="7" fillId="0" borderId="0" xfId="31" applyFill="1" applyBorder="1" applyAlignment="1">
      <alignment horizontal="left"/>
      <protection/>
    </xf>
    <xf numFmtId="0" fontId="7" fillId="0" borderId="0" xfId="31" applyFill="1" applyBorder="1" applyAlignment="1">
      <alignment horizontal="left" wrapText="1"/>
      <protection/>
    </xf>
    <xf numFmtId="0" fontId="7" fillId="0" borderId="0" xfId="31" applyFont="1" applyFill="1" applyBorder="1" applyAlignment="1">
      <alignment horizontal="left"/>
      <protection/>
    </xf>
    <xf numFmtId="166" fontId="7" fillId="0" borderId="4" xfId="0" applyNumberFormat="1" applyFont="1" applyFill="1" applyBorder="1" applyAlignment="1" applyProtection="1">
      <alignment/>
      <protection/>
    </xf>
    <xf numFmtId="166" fontId="7" fillId="0" borderId="113" xfId="0" applyNumberFormat="1" applyFont="1" applyFill="1" applyBorder="1" applyAlignment="1" applyProtection="1">
      <alignment horizontal="left"/>
      <protection/>
    </xf>
    <xf numFmtId="166" fontId="7" fillId="0" borderId="28" xfId="0" applyNumberFormat="1" applyFont="1" applyFill="1" applyBorder="1" applyAlignment="1" applyProtection="1">
      <alignment horizontal="center"/>
      <protection/>
    </xf>
    <xf numFmtId="166" fontId="7" fillId="0" borderId="14" xfId="0" applyNumberFormat="1" applyFont="1" applyFill="1" applyBorder="1" applyAlignment="1" applyProtection="1">
      <alignment horizontal="left"/>
      <protection/>
    </xf>
    <xf numFmtId="4" fontId="7" fillId="0" borderId="14" xfId="0" applyNumberFormat="1" applyFont="1" applyFill="1" applyBorder="1" applyAlignment="1" applyProtection="1">
      <alignment/>
      <protection/>
    </xf>
    <xf numFmtId="0" fontId="7" fillId="0" borderId="120" xfId="0" applyFont="1" applyFill="1" applyBorder="1" applyAlignment="1">
      <alignment horizontal="center"/>
    </xf>
    <xf numFmtId="4" fontId="7" fillId="0" borderId="111" xfId="0" applyNumberFormat="1" applyFont="1" applyFill="1" applyBorder="1" applyAlignment="1" applyProtection="1">
      <alignment/>
      <protection/>
    </xf>
    <xf numFmtId="0" fontId="7" fillId="0" borderId="121" xfId="0" applyFont="1" applyBorder="1" applyAlignment="1">
      <alignment horizontal="center"/>
    </xf>
    <xf numFmtId="3" fontId="7" fillId="0" borderId="122" xfId="0" applyNumberFormat="1" applyFont="1" applyBorder="1" applyAlignment="1">
      <alignment horizontal="center"/>
    </xf>
    <xf numFmtId="0" fontId="7" fillId="0" borderId="122"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xf>
    <xf numFmtId="0" fontId="8" fillId="0" borderId="3" xfId="0" applyFont="1" applyBorder="1" applyAlignment="1">
      <alignment/>
    </xf>
    <xf numFmtId="0" fontId="7" fillId="0" borderId="39" xfId="0" applyFont="1" applyBorder="1" applyAlignment="1">
      <alignment/>
    </xf>
    <xf numFmtId="0" fontId="52" fillId="0" borderId="0" xfId="0" applyFont="1" applyBorder="1" applyAlignment="1">
      <alignment/>
    </xf>
    <xf numFmtId="0" fontId="8" fillId="7" borderId="115" xfId="0" applyFont="1" applyFill="1" applyBorder="1" applyAlignment="1">
      <alignment/>
    </xf>
    <xf numFmtId="0" fontId="7" fillId="7" borderId="116" xfId="0" applyFont="1" applyFill="1" applyBorder="1" applyAlignment="1">
      <alignment/>
    </xf>
    <xf numFmtId="0" fontId="8" fillId="0" borderId="0" xfId="0" applyFont="1" applyBorder="1" applyAlignment="1" applyProtection="1">
      <alignment horizontal="left"/>
      <protection/>
    </xf>
    <xf numFmtId="0" fontId="8" fillId="7" borderId="115" xfId="0" applyFont="1" applyFill="1" applyBorder="1" applyAlignment="1" applyProtection="1">
      <alignment horizontal="left"/>
      <protection/>
    </xf>
    <xf numFmtId="0" fontId="8" fillId="7" borderId="123" xfId="0" applyFont="1" applyFill="1" applyBorder="1" applyAlignment="1" applyProtection="1">
      <alignment/>
      <protection/>
    </xf>
    <xf numFmtId="0" fontId="8" fillId="7" borderId="116" xfId="0" applyFont="1" applyFill="1" applyBorder="1" applyAlignment="1" applyProtection="1">
      <alignment/>
      <protection/>
    </xf>
    <xf numFmtId="0" fontId="8" fillId="0" borderId="3" xfId="0" applyFont="1" applyBorder="1" applyAlignment="1" applyProtection="1">
      <alignment horizontal="left"/>
      <protection/>
    </xf>
    <xf numFmtId="0" fontId="7" fillId="0" borderId="3" xfId="0" applyFont="1" applyBorder="1" applyAlignment="1" applyProtection="1">
      <alignment/>
      <protection/>
    </xf>
    <xf numFmtId="0" fontId="8" fillId="0" borderId="119" xfId="0" applyFont="1" applyFill="1" applyBorder="1" applyAlignment="1" applyProtection="1">
      <alignment horizontal="left"/>
      <protection/>
    </xf>
    <xf numFmtId="1" fontId="7" fillId="0" borderId="14" xfId="0" applyNumberFormat="1" applyFont="1" applyFill="1" applyBorder="1" applyAlignment="1" applyProtection="1">
      <alignment/>
      <protection/>
    </xf>
    <xf numFmtId="0" fontId="7" fillId="0" borderId="3" xfId="0" applyFont="1" applyBorder="1" applyAlignment="1">
      <alignment horizontal="right"/>
    </xf>
    <xf numFmtId="0" fontId="8" fillId="0" borderId="3" xfId="0" applyFont="1" applyBorder="1" applyAlignment="1">
      <alignment horizontal="left"/>
    </xf>
    <xf numFmtId="0" fontId="7" fillId="0" borderId="40" xfId="0" applyFont="1" applyBorder="1" applyAlignment="1">
      <alignment horizontal="left"/>
    </xf>
    <xf numFmtId="0" fontId="7" fillId="0" borderId="39" xfId="0" applyFont="1" applyBorder="1" applyAlignment="1">
      <alignment/>
    </xf>
    <xf numFmtId="170" fontId="7" fillId="0" borderId="4" xfId="0" applyNumberFormat="1" applyFont="1" applyBorder="1" applyAlignment="1" applyProtection="1">
      <alignment/>
      <protection/>
    </xf>
    <xf numFmtId="0" fontId="7" fillId="0" borderId="40" xfId="0" applyFont="1" applyBorder="1" applyAlignment="1">
      <alignment/>
    </xf>
    <xf numFmtId="0" fontId="44" fillId="0" borderId="0" xfId="0" applyFont="1" applyAlignment="1">
      <alignment/>
    </xf>
    <xf numFmtId="7" fontId="13" fillId="0" borderId="0" xfId="0" applyNumberFormat="1" applyFont="1" applyAlignment="1">
      <alignment/>
    </xf>
    <xf numFmtId="1" fontId="13" fillId="0" borderId="0" xfId="0" applyNumberFormat="1" applyFont="1" applyAlignment="1">
      <alignment horizontal="center"/>
    </xf>
    <xf numFmtId="5" fontId="13" fillId="0" borderId="0" xfId="0" applyNumberFormat="1" applyFont="1" applyAlignment="1">
      <alignment horizontal="center"/>
    </xf>
    <xf numFmtId="0" fontId="12" fillId="0" borderId="8" xfId="0" applyFont="1" applyFill="1" applyBorder="1" applyAlignment="1">
      <alignment/>
    </xf>
    <xf numFmtId="0" fontId="7" fillId="0" borderId="124" xfId="0" applyFont="1" applyFill="1" applyBorder="1" applyAlignment="1">
      <alignment horizontal="center"/>
    </xf>
    <xf numFmtId="166" fontId="7" fillId="0" borderId="84" xfId="0" applyNumberFormat="1" applyFont="1" applyFill="1" applyBorder="1" applyAlignment="1" applyProtection="1">
      <alignment horizontal="left"/>
      <protection/>
    </xf>
    <xf numFmtId="166" fontId="7" fillId="0" borderId="3" xfId="0" applyNumberFormat="1" applyFont="1" applyFill="1" applyBorder="1" applyAlignment="1" applyProtection="1">
      <alignment/>
      <protection/>
    </xf>
    <xf numFmtId="5" fontId="8" fillId="0" borderId="4" xfId="0" applyNumberFormat="1" applyFont="1" applyFill="1" applyBorder="1" applyAlignment="1" applyProtection="1">
      <alignment/>
      <protection/>
    </xf>
    <xf numFmtId="0" fontId="52" fillId="0" borderId="3" xfId="0" applyFont="1" applyBorder="1" applyAlignment="1">
      <alignment/>
    </xf>
    <xf numFmtId="0" fontId="52" fillId="0" borderId="4" xfId="0" applyFont="1" applyBorder="1" applyAlignment="1">
      <alignment/>
    </xf>
    <xf numFmtId="0" fontId="7" fillId="0" borderId="125" xfId="0" applyFont="1" applyBorder="1" applyAlignment="1">
      <alignment horizontal="left"/>
    </xf>
    <xf numFmtId="0" fontId="7" fillId="0" borderId="126" xfId="0" applyFont="1" applyBorder="1" applyAlignment="1">
      <alignment/>
    </xf>
    <xf numFmtId="0" fontId="7" fillId="0" borderId="117" xfId="0" applyFont="1" applyBorder="1" applyAlignment="1">
      <alignment/>
    </xf>
    <xf numFmtId="0" fontId="52" fillId="0" borderId="3" xfId="0" applyFont="1" applyFill="1" applyBorder="1" applyAlignment="1">
      <alignment/>
    </xf>
    <xf numFmtId="0" fontId="51" fillId="0" borderId="115" xfId="0" applyFont="1" applyFill="1" applyBorder="1" applyAlignment="1">
      <alignment horizontal="left"/>
    </xf>
    <xf numFmtId="0" fontId="7" fillId="0" borderId="116" xfId="0" applyFont="1" applyFill="1" applyBorder="1" applyAlignment="1">
      <alignment/>
    </xf>
    <xf numFmtId="182" fontId="7" fillId="2" borderId="11" xfId="22" applyNumberFormat="1" applyFill="1" applyBorder="1" applyAlignment="1">
      <alignment/>
    </xf>
    <xf numFmtId="1" fontId="7" fillId="2" borderId="11" xfId="22" applyNumberFormat="1" applyFill="1" applyBorder="1" applyAlignment="1">
      <alignment/>
    </xf>
    <xf numFmtId="0" fontId="7" fillId="2" borderId="11" xfId="31" applyFont="1" applyFill="1" applyBorder="1" applyAlignment="1">
      <alignment horizontal="right"/>
      <protection/>
    </xf>
    <xf numFmtId="0" fontId="7" fillId="2" borderId="16" xfId="31" applyFont="1" applyFill="1" applyBorder="1" applyAlignment="1">
      <alignment horizontal="right"/>
      <protection/>
    </xf>
    <xf numFmtId="1" fontId="7" fillId="0" borderId="11" xfId="28" applyNumberFormat="1" applyFill="1" applyBorder="1" applyAlignment="1">
      <alignment horizontal="right"/>
      <protection/>
    </xf>
    <xf numFmtId="0" fontId="8" fillId="0" borderId="8" xfId="32" applyFont="1" applyFill="1" applyBorder="1">
      <alignment/>
      <protection/>
    </xf>
    <xf numFmtId="0" fontId="7" fillId="0" borderId="8" xfId="32" applyFill="1" applyBorder="1">
      <alignment/>
      <protection/>
    </xf>
    <xf numFmtId="0" fontId="7" fillId="0" borderId="11" xfId="32" applyFont="1" applyFill="1" applyBorder="1" applyAlignment="1">
      <alignment horizontal="right"/>
      <protection/>
    </xf>
    <xf numFmtId="1" fontId="7" fillId="0" borderId="11" xfId="32" applyNumberFormat="1" applyFont="1" applyFill="1" applyBorder="1">
      <alignment/>
      <protection/>
    </xf>
    <xf numFmtId="0" fontId="7" fillId="0" borderId="5" xfId="32" applyFont="1" applyFill="1" applyBorder="1">
      <alignment/>
      <protection/>
    </xf>
    <xf numFmtId="178" fontId="7" fillId="0" borderId="6" xfId="23" applyNumberFormat="1" applyFill="1" applyBorder="1" applyAlignment="1">
      <alignment/>
    </xf>
    <xf numFmtId="178" fontId="8" fillId="0" borderId="6" xfId="22" applyNumberFormat="1" applyFont="1" applyFill="1" applyBorder="1" applyAlignment="1">
      <alignment/>
    </xf>
    <xf numFmtId="177" fontId="7" fillId="0" borderId="0" xfId="18" applyNumberFormat="1" applyFill="1" applyAlignment="1">
      <alignment/>
    </xf>
    <xf numFmtId="178" fontId="8" fillId="0" borderId="127" xfId="23" applyNumberFormat="1" applyFont="1" applyFill="1" applyBorder="1" applyAlignment="1">
      <alignment/>
    </xf>
    <xf numFmtId="0" fontId="7" fillId="0" borderId="127" xfId="32" applyFill="1" applyBorder="1">
      <alignment/>
      <protection/>
    </xf>
    <xf numFmtId="0" fontId="7" fillId="0" borderId="12" xfId="32" applyFill="1" applyBorder="1">
      <alignment/>
      <protection/>
    </xf>
    <xf numFmtId="42" fontId="7" fillId="0" borderId="4" xfId="32" applyNumberFormat="1" applyFill="1" applyBorder="1">
      <alignment/>
      <protection/>
    </xf>
    <xf numFmtId="0" fontId="8" fillId="0" borderId="3" xfId="32" applyFont="1" applyFill="1" applyBorder="1" applyAlignment="1">
      <alignment horizontal="left"/>
      <protection/>
    </xf>
    <xf numFmtId="178" fontId="8" fillId="0" borderId="127" xfId="32" applyNumberFormat="1" applyFont="1" applyFill="1" applyBorder="1">
      <alignment/>
      <protection/>
    </xf>
    <xf numFmtId="0" fontId="12" fillId="0" borderId="10" xfId="32" applyFont="1" applyFill="1" applyBorder="1">
      <alignment/>
      <protection/>
    </xf>
    <xf numFmtId="178" fontId="12" fillId="0" borderId="12" xfId="32" applyNumberFormat="1" applyFont="1" applyFill="1" applyBorder="1">
      <alignment/>
      <protection/>
    </xf>
    <xf numFmtId="179" fontId="12" fillId="0" borderId="0" xfId="32" applyNumberFormat="1" applyFont="1" applyFill="1" applyBorder="1">
      <alignment/>
      <protection/>
    </xf>
    <xf numFmtId="44" fontId="12" fillId="0" borderId="12" xfId="32" applyNumberFormat="1" applyFont="1" applyFill="1" applyBorder="1">
      <alignment/>
      <protection/>
    </xf>
    <xf numFmtId="0" fontId="0" fillId="0" borderId="11" xfId="33" applyBorder="1">
      <alignment/>
      <protection/>
    </xf>
    <xf numFmtId="2" fontId="0" fillId="0" borderId="11" xfId="33" applyNumberFormat="1" applyBorder="1">
      <alignment/>
      <protection/>
    </xf>
    <xf numFmtId="1" fontId="0" fillId="0" borderId="11" xfId="33" applyNumberFormat="1" applyBorder="1">
      <alignment/>
      <protection/>
    </xf>
    <xf numFmtId="0" fontId="0" fillId="0" borderId="117" xfId="33" applyBorder="1">
      <alignment/>
      <protection/>
    </xf>
    <xf numFmtId="0" fontId="0" fillId="0" borderId="117" xfId="33" applyFont="1" applyBorder="1">
      <alignment/>
      <protection/>
    </xf>
    <xf numFmtId="0" fontId="0" fillId="0" borderId="8" xfId="33" applyBorder="1">
      <alignment/>
      <protection/>
    </xf>
    <xf numFmtId="0" fontId="0" fillId="0" borderId="9" xfId="33" applyBorder="1">
      <alignment/>
      <protection/>
    </xf>
    <xf numFmtId="0" fontId="0" fillId="0" borderId="9" xfId="33" applyFont="1" applyBorder="1">
      <alignment/>
      <protection/>
    </xf>
    <xf numFmtId="0" fontId="0" fillId="0" borderId="7" xfId="33" applyBorder="1">
      <alignment/>
      <protection/>
    </xf>
    <xf numFmtId="0" fontId="0" fillId="0" borderId="125" xfId="33" applyBorder="1">
      <alignment/>
      <protection/>
    </xf>
    <xf numFmtId="0" fontId="0" fillId="0" borderId="128" xfId="33" applyFont="1" applyBorder="1">
      <alignment/>
      <protection/>
    </xf>
    <xf numFmtId="0" fontId="0" fillId="0" borderId="3" xfId="33" applyBorder="1">
      <alignment/>
      <protection/>
    </xf>
    <xf numFmtId="0" fontId="0" fillId="0" borderId="0" xfId="33" applyBorder="1">
      <alignment/>
      <protection/>
    </xf>
    <xf numFmtId="165" fontId="0" fillId="0" borderId="0" xfId="33" applyNumberFormat="1" applyBorder="1">
      <alignment/>
      <protection/>
    </xf>
    <xf numFmtId="165" fontId="0" fillId="0" borderId="4" xfId="33" applyNumberFormat="1" applyBorder="1">
      <alignment/>
      <protection/>
    </xf>
    <xf numFmtId="0" fontId="0" fillId="0" borderId="5" xfId="33" applyBorder="1">
      <alignment/>
      <protection/>
    </xf>
    <xf numFmtId="0" fontId="0" fillId="0" borderId="2" xfId="33" applyBorder="1">
      <alignment/>
      <protection/>
    </xf>
    <xf numFmtId="165" fontId="0" fillId="0" borderId="2" xfId="33" applyNumberFormat="1" applyBorder="1">
      <alignment/>
      <protection/>
    </xf>
    <xf numFmtId="165" fontId="0" fillId="0" borderId="6" xfId="33" applyNumberFormat="1" applyBorder="1">
      <alignment/>
      <protection/>
    </xf>
    <xf numFmtId="164" fontId="0" fillId="0" borderId="11" xfId="33" applyNumberFormat="1" applyBorder="1">
      <alignment/>
      <protection/>
    </xf>
    <xf numFmtId="0" fontId="7" fillId="0" borderId="7" xfId="27" applyBorder="1">
      <alignment/>
      <protection/>
    </xf>
    <xf numFmtId="0" fontId="7" fillId="0" borderId="4" xfId="27" applyBorder="1">
      <alignment/>
      <protection/>
    </xf>
    <xf numFmtId="178" fontId="7" fillId="0" borderId="4" xfId="27" applyNumberFormat="1" applyBorder="1">
      <alignment/>
      <protection/>
    </xf>
    <xf numFmtId="178" fontId="7" fillId="0" borderId="6" xfId="27" applyNumberFormat="1" applyBorder="1">
      <alignment/>
      <protection/>
    </xf>
    <xf numFmtId="178" fontId="8" fillId="0" borderId="6" xfId="19" applyNumberFormat="1" applyFont="1" applyFill="1" applyBorder="1" applyAlignment="1">
      <alignment/>
    </xf>
    <xf numFmtId="0" fontId="7" fillId="0" borderId="11" xfId="27" applyFont="1" applyBorder="1">
      <alignment/>
      <protection/>
    </xf>
    <xf numFmtId="14" fontId="7" fillId="0" borderId="11" xfId="27" applyNumberFormat="1" applyBorder="1" applyAlignment="1">
      <alignment horizontal="left"/>
      <protection/>
    </xf>
    <xf numFmtId="0" fontId="12" fillId="0" borderId="3" xfId="0" applyFont="1" applyFill="1" applyBorder="1" applyAlignment="1">
      <alignment horizontal="left"/>
    </xf>
    <xf numFmtId="0" fontId="12" fillId="0" borderId="3" xfId="0" applyFont="1" applyBorder="1" applyAlignment="1">
      <alignment horizontal="left"/>
    </xf>
    <xf numFmtId="5" fontId="8" fillId="0" borderId="11" xfId="0" applyNumberFormat="1" applyFont="1" applyBorder="1" applyAlignment="1">
      <alignment horizontal="right"/>
    </xf>
    <xf numFmtId="0" fontId="52" fillId="0" borderId="0" xfId="0" applyFont="1" applyAlignment="1">
      <alignment/>
    </xf>
    <xf numFmtId="0" fontId="0" fillId="0" borderId="11" xfId="0" applyBorder="1" applyAlignment="1">
      <alignment/>
    </xf>
    <xf numFmtId="0" fontId="1" fillId="0" borderId="11" xfId="0" applyFont="1" applyBorder="1" applyAlignment="1">
      <alignment/>
    </xf>
    <xf numFmtId="0" fontId="1" fillId="0" borderId="11" xfId="0" applyFont="1" applyBorder="1" applyAlignment="1">
      <alignment horizontal="center"/>
    </xf>
    <xf numFmtId="0" fontId="0" fillId="0" borderId="11" xfId="0" applyBorder="1" applyAlignment="1">
      <alignment horizontal="center"/>
    </xf>
    <xf numFmtId="2" fontId="0" fillId="0" borderId="11" xfId="0" applyNumberFormat="1" applyBorder="1" applyAlignment="1">
      <alignment/>
    </xf>
    <xf numFmtId="1" fontId="0" fillId="0" borderId="11" xfId="0" applyNumberFormat="1" applyBorder="1" applyAlignment="1">
      <alignment/>
    </xf>
    <xf numFmtId="2" fontId="0" fillId="0" borderId="11" xfId="0" applyNumberFormat="1" applyFill="1" applyBorder="1" applyAlignment="1">
      <alignment/>
    </xf>
    <xf numFmtId="0" fontId="0" fillId="0" borderId="11" xfId="0" applyFill="1" applyBorder="1" applyAlignment="1">
      <alignment/>
    </xf>
    <xf numFmtId="0" fontId="0" fillId="5" borderId="11" xfId="0" applyFill="1" applyBorder="1" applyAlignment="1">
      <alignment/>
    </xf>
    <xf numFmtId="1" fontId="0" fillId="5" borderId="11" xfId="0" applyNumberFormat="1" applyFill="1" applyBorder="1" applyAlignment="1">
      <alignment/>
    </xf>
    <xf numFmtId="164" fontId="0" fillId="0" borderId="11" xfId="0" applyNumberFormat="1" applyBorder="1" applyAlignment="1">
      <alignment/>
    </xf>
    <xf numFmtId="164" fontId="0" fillId="5" borderId="11" xfId="0" applyNumberFormat="1" applyFill="1" applyBorder="1" applyAlignment="1">
      <alignment/>
    </xf>
    <xf numFmtId="0" fontId="7" fillId="0" borderId="14" xfId="0" applyFont="1" applyFill="1" applyBorder="1" applyAlignment="1">
      <alignment/>
    </xf>
    <xf numFmtId="165" fontId="7" fillId="0" borderId="14" xfId="0" applyNumberFormat="1" applyFont="1" applyFill="1" applyBorder="1" applyAlignment="1" applyProtection="1">
      <alignment/>
      <protection locked="0"/>
    </xf>
    <xf numFmtId="0" fontId="22" fillId="0" borderId="14" xfId="0" applyFont="1" applyFill="1" applyBorder="1" applyAlignment="1" applyProtection="1">
      <alignment/>
      <protection locked="0"/>
    </xf>
    <xf numFmtId="0" fontId="8" fillId="0" borderId="117" xfId="0" applyFont="1" applyFill="1" applyBorder="1" applyAlignment="1">
      <alignment wrapText="1"/>
    </xf>
    <xf numFmtId="0" fontId="7" fillId="0" borderId="120" xfId="0" applyFont="1" applyFill="1" applyBorder="1" applyAlignment="1">
      <alignment horizontal="center" wrapText="1"/>
    </xf>
    <xf numFmtId="1" fontId="7" fillId="0" borderId="11" xfId="0" applyNumberFormat="1" applyFont="1" applyBorder="1" applyAlignment="1">
      <alignment horizontal="right"/>
    </xf>
    <xf numFmtId="1" fontId="7" fillId="0" borderId="97" xfId="0" applyNumberFormat="1" applyFont="1" applyBorder="1" applyAlignment="1">
      <alignment horizontal="right"/>
    </xf>
    <xf numFmtId="166" fontId="8" fillId="7" borderId="115" xfId="0" applyNumberFormat="1" applyFont="1" applyFill="1" applyBorder="1" applyAlignment="1" applyProtection="1">
      <alignment horizontal="left"/>
      <protection/>
    </xf>
    <xf numFmtId="0" fontId="7" fillId="7" borderId="116" xfId="0" applyFont="1" applyFill="1" applyBorder="1" applyAlignment="1" applyProtection="1">
      <alignment/>
      <protection/>
    </xf>
    <xf numFmtId="166" fontId="8" fillId="0" borderId="3" xfId="0" applyNumberFormat="1" applyFont="1" applyBorder="1" applyAlignment="1" applyProtection="1">
      <alignment horizontal="left"/>
      <protection/>
    </xf>
    <xf numFmtId="166" fontId="7" fillId="0" borderId="3" xfId="0" applyNumberFormat="1" applyFont="1" applyBorder="1" applyAlignment="1" applyProtection="1">
      <alignment horizontal="left"/>
      <protection/>
    </xf>
    <xf numFmtId="166" fontId="8" fillId="0" borderId="4" xfId="0" applyNumberFormat="1" applyFont="1" applyBorder="1" applyAlignment="1" applyProtection="1">
      <alignment horizontal="center"/>
      <protection/>
    </xf>
    <xf numFmtId="166" fontId="7" fillId="0" borderId="3" xfId="0" applyNumberFormat="1" applyFont="1" applyBorder="1" applyAlignment="1" applyProtection="1">
      <alignment horizontal="left"/>
      <protection/>
    </xf>
    <xf numFmtId="166" fontId="7" fillId="0" borderId="4" xfId="0" applyNumberFormat="1" applyFont="1" applyBorder="1" applyAlignment="1" applyProtection="1">
      <alignment/>
      <protection/>
    </xf>
    <xf numFmtId="0" fontId="7" fillId="0" borderId="40" xfId="0" applyFont="1" applyBorder="1" applyAlignment="1" applyProtection="1">
      <alignment horizontal="left"/>
      <protection/>
    </xf>
    <xf numFmtId="0" fontId="7" fillId="0" borderId="39" xfId="0" applyFont="1" applyBorder="1" applyAlignment="1" applyProtection="1">
      <alignment/>
      <protection/>
    </xf>
    <xf numFmtId="166" fontId="8" fillId="0" borderId="3" xfId="0" applyNumberFormat="1" applyFont="1" applyBorder="1" applyAlignment="1" applyProtection="1">
      <alignment horizontal="left"/>
      <protection/>
    </xf>
    <xf numFmtId="166" fontId="7" fillId="0" borderId="4" xfId="0" applyNumberFormat="1" applyFont="1" applyBorder="1" applyAlignment="1" applyProtection="1">
      <alignment horizontal="left"/>
      <protection/>
    </xf>
    <xf numFmtId="166" fontId="7" fillId="0" borderId="3" xfId="0" applyNumberFormat="1" applyFont="1" applyBorder="1" applyAlignment="1" applyProtection="1">
      <alignment horizontal="left"/>
      <protection/>
    </xf>
    <xf numFmtId="0" fontId="7" fillId="0" borderId="4" xfId="0" applyFont="1" applyBorder="1" applyAlignment="1" applyProtection="1">
      <alignment/>
      <protection/>
    </xf>
    <xf numFmtId="166" fontId="7" fillId="0" borderId="4" xfId="0" applyNumberFormat="1" applyFont="1" applyBorder="1" applyAlignment="1" applyProtection="1">
      <alignment/>
      <protection/>
    </xf>
    <xf numFmtId="166" fontId="7" fillId="0" borderId="5" xfId="0" applyNumberFormat="1" applyFont="1" applyBorder="1" applyAlignment="1" applyProtection="1">
      <alignment horizontal="left"/>
      <protection/>
    </xf>
    <xf numFmtId="166" fontId="7" fillId="0" borderId="6" xfId="0" applyNumberFormat="1" applyFont="1" applyBorder="1" applyAlignment="1" applyProtection="1">
      <alignment/>
      <protection/>
    </xf>
    <xf numFmtId="166" fontId="7" fillId="0" borderId="0" xfId="0" applyNumberFormat="1" applyFont="1" applyBorder="1" applyAlignment="1" applyProtection="1">
      <alignment/>
      <protection/>
    </xf>
    <xf numFmtId="166" fontId="7" fillId="0" borderId="0" xfId="0" applyNumberFormat="1" applyFont="1" applyBorder="1" applyAlignment="1" applyProtection="1" quotePrefix="1">
      <alignment/>
      <protection/>
    </xf>
    <xf numFmtId="166" fontId="8" fillId="0" borderId="0" xfId="0" applyNumberFormat="1" applyFont="1" applyBorder="1" applyAlignment="1" applyProtection="1">
      <alignment horizontal="left"/>
      <protection/>
    </xf>
    <xf numFmtId="166" fontId="7" fillId="0" borderId="0" xfId="0" applyNumberFormat="1" applyFont="1" applyBorder="1" applyAlignment="1" applyProtection="1">
      <alignment/>
      <protection/>
    </xf>
    <xf numFmtId="166" fontId="7" fillId="0" borderId="0" xfId="0" applyNumberFormat="1" applyFont="1" applyBorder="1" applyAlignment="1" applyProtection="1" quotePrefix="1">
      <alignment/>
      <protection/>
    </xf>
    <xf numFmtId="166" fontId="7" fillId="0" borderId="0" xfId="0" applyNumberFormat="1" applyFont="1" applyBorder="1" applyAlignment="1" applyProtection="1">
      <alignment/>
      <protection/>
    </xf>
    <xf numFmtId="1" fontId="7" fillId="0" borderId="0" xfId="0" applyNumberFormat="1" applyFont="1" applyFill="1" applyBorder="1" applyAlignment="1" applyProtection="1">
      <alignment/>
      <protection/>
    </xf>
    <xf numFmtId="0" fontId="7" fillId="0" borderId="0" xfId="0" applyFont="1" applyBorder="1" applyAlignment="1">
      <alignment/>
    </xf>
    <xf numFmtId="166" fontId="7" fillId="0" borderId="0" xfId="0" applyNumberFormat="1" applyFont="1" applyBorder="1" applyAlignment="1" applyProtection="1">
      <alignment horizontal="left"/>
      <protection/>
    </xf>
    <xf numFmtId="1" fontId="7" fillId="0" borderId="0" xfId="0" applyNumberFormat="1" applyFont="1" applyAlignment="1">
      <alignment/>
    </xf>
    <xf numFmtId="1" fontId="7" fillId="0" borderId="0" xfId="0" applyNumberFormat="1" applyFont="1" applyBorder="1" applyAlignment="1" applyProtection="1">
      <alignment/>
      <protection/>
    </xf>
    <xf numFmtId="2" fontId="7" fillId="0" borderId="0" xfId="0" applyNumberFormat="1" applyFont="1" applyBorder="1" applyAlignment="1" applyProtection="1">
      <alignment/>
      <protection/>
    </xf>
    <xf numFmtId="182" fontId="7" fillId="0" borderId="0" xfId="0" applyNumberFormat="1" applyFont="1" applyBorder="1" applyAlignment="1" applyProtection="1">
      <alignment/>
      <protection/>
    </xf>
    <xf numFmtId="1" fontId="7" fillId="0" borderId="0" xfId="0" applyNumberFormat="1" applyFont="1" applyBorder="1" applyAlignment="1" applyProtection="1">
      <alignment/>
      <protection/>
    </xf>
    <xf numFmtId="2" fontId="7" fillId="0" borderId="0" xfId="0" applyNumberFormat="1" applyFont="1" applyBorder="1" applyAlignment="1" applyProtection="1">
      <alignment/>
      <protection/>
    </xf>
    <xf numFmtId="166" fontId="7" fillId="0" borderId="0" xfId="0" applyNumberFormat="1" applyFont="1" applyBorder="1" applyAlignment="1" applyProtection="1">
      <alignment horizontal="center"/>
      <protection/>
    </xf>
    <xf numFmtId="0" fontId="0" fillId="0" borderId="0" xfId="0" applyFont="1" applyAlignment="1">
      <alignment/>
    </xf>
    <xf numFmtId="166" fontId="7" fillId="0" borderId="0" xfId="0" applyNumberFormat="1" applyFont="1" applyFill="1" applyBorder="1" applyAlignment="1" applyProtection="1">
      <alignment/>
      <protection/>
    </xf>
    <xf numFmtId="37" fontId="7" fillId="0" borderId="0" xfId="0" applyNumberFormat="1" applyFont="1" applyBorder="1" applyAlignment="1" applyProtection="1">
      <alignment/>
      <protection/>
    </xf>
    <xf numFmtId="169"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166"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0" fontId="7" fillId="0" borderId="0" xfId="0" applyFont="1" applyAlignment="1">
      <alignment/>
    </xf>
    <xf numFmtId="0" fontId="7" fillId="0" borderId="3" xfId="0" applyFont="1" applyBorder="1" applyAlignment="1" applyProtection="1">
      <alignment/>
      <protection/>
    </xf>
    <xf numFmtId="0" fontId="7" fillId="0" borderId="3" xfId="0" applyFont="1" applyBorder="1" applyAlignment="1" applyProtection="1">
      <alignment/>
      <protection/>
    </xf>
    <xf numFmtId="0" fontId="7" fillId="7" borderId="123" xfId="0" applyFont="1" applyFill="1" applyBorder="1" applyAlignment="1" applyProtection="1">
      <alignment/>
      <protection/>
    </xf>
    <xf numFmtId="5" fontId="7" fillId="7" borderId="116" xfId="0" applyNumberFormat="1" applyFont="1" applyFill="1" applyBorder="1" applyAlignment="1" applyProtection="1">
      <alignment/>
      <protection/>
    </xf>
    <xf numFmtId="0" fontId="7" fillId="0" borderId="40" xfId="0" applyFont="1" applyBorder="1" applyAlignment="1" applyProtection="1">
      <alignment/>
      <protection/>
    </xf>
    <xf numFmtId="1" fontId="7" fillId="0" borderId="11" xfId="0" applyNumberFormat="1" applyFont="1" applyFill="1" applyBorder="1" applyAlignment="1" applyProtection="1">
      <alignment/>
      <protection/>
    </xf>
    <xf numFmtId="0" fontId="7" fillId="0" borderId="11" xfId="0" applyFont="1" applyFill="1" applyBorder="1" applyAlignment="1" applyProtection="1">
      <alignment/>
      <protection/>
    </xf>
    <xf numFmtId="0" fontId="7" fillId="0" borderId="11" xfId="0" applyFont="1" applyFill="1" applyBorder="1" applyAlignment="1" applyProtection="1">
      <alignment horizontal="right"/>
      <protection/>
    </xf>
    <xf numFmtId="1" fontId="7" fillId="0" borderId="11" xfId="0" applyNumberFormat="1" applyFont="1" applyFill="1" applyBorder="1" applyAlignment="1" applyProtection="1">
      <alignment/>
      <protection/>
    </xf>
    <xf numFmtId="0" fontId="7" fillId="0" borderId="11" xfId="0" applyFont="1" applyBorder="1" applyAlignment="1" applyProtection="1">
      <alignment/>
      <protection/>
    </xf>
    <xf numFmtId="168" fontId="7" fillId="0" borderId="11" xfId="0" applyNumberFormat="1" applyFont="1" applyFill="1" applyBorder="1" applyAlignment="1" applyProtection="1">
      <alignment/>
      <protection/>
    </xf>
    <xf numFmtId="1" fontId="7" fillId="0" borderId="11" xfId="0" applyNumberFormat="1" applyFont="1" applyFill="1" applyBorder="1" applyAlignment="1" applyProtection="1">
      <alignment/>
      <protection/>
    </xf>
    <xf numFmtId="0" fontId="7" fillId="0" borderId="11" xfId="0" applyFont="1" applyBorder="1" applyAlignment="1" applyProtection="1">
      <alignment/>
      <protection/>
    </xf>
    <xf numFmtId="0" fontId="7" fillId="0" borderId="13" xfId="0" applyFont="1" applyBorder="1" applyAlignment="1" applyProtection="1">
      <alignment/>
      <protection/>
    </xf>
    <xf numFmtId="0" fontId="7" fillId="0" borderId="0" xfId="0" applyFont="1" applyFill="1" applyBorder="1" applyAlignment="1" applyProtection="1" quotePrefix="1">
      <alignment horizontal="left"/>
      <protection/>
    </xf>
    <xf numFmtId="0" fontId="12" fillId="7" borderId="9" xfId="0" applyFont="1" applyFill="1" applyBorder="1" applyAlignment="1" applyProtection="1">
      <alignment/>
      <protection/>
    </xf>
    <xf numFmtId="0" fontId="12" fillId="7" borderId="7" xfId="0" applyFont="1" applyFill="1" applyBorder="1" applyAlignment="1" applyProtection="1">
      <alignment/>
      <protection/>
    </xf>
    <xf numFmtId="0" fontId="8" fillId="0" borderId="85" xfId="0" applyFont="1" applyBorder="1" applyAlignment="1" applyProtection="1">
      <alignment horizontal="left"/>
      <protection/>
    </xf>
    <xf numFmtId="0" fontId="7" fillId="0" borderId="85" xfId="0" applyFont="1" applyBorder="1" applyAlignment="1" applyProtection="1">
      <alignment horizontal="left"/>
      <protection/>
    </xf>
    <xf numFmtId="0" fontId="8" fillId="0" borderId="85" xfId="0" applyFont="1" applyBorder="1" applyAlignment="1" applyProtection="1">
      <alignment horizontal="left"/>
      <protection/>
    </xf>
    <xf numFmtId="0" fontId="7" fillId="0" borderId="85" xfId="0" applyFont="1" applyFill="1" applyBorder="1" applyAlignment="1">
      <alignment/>
    </xf>
    <xf numFmtId="0" fontId="7" fillId="0" borderId="85" xfId="0" applyFont="1" applyBorder="1" applyAlignment="1" applyProtection="1">
      <alignment horizontal="left"/>
      <protection/>
    </xf>
    <xf numFmtId="0" fontId="7" fillId="0" borderId="4" xfId="0" applyFont="1" applyBorder="1" applyAlignment="1" applyProtection="1">
      <alignment/>
      <protection/>
    </xf>
    <xf numFmtId="0" fontId="8" fillId="0" borderId="85" xfId="0" applyFont="1" applyBorder="1" applyAlignment="1" applyProtection="1">
      <alignment horizontal="left"/>
      <protection/>
    </xf>
    <xf numFmtId="0" fontId="7" fillId="0" borderId="3" xfId="0" applyFont="1" applyBorder="1" applyAlignment="1" applyProtection="1">
      <alignment/>
      <protection/>
    </xf>
    <xf numFmtId="0" fontId="7" fillId="0" borderId="2" xfId="0" applyFont="1" applyBorder="1" applyAlignment="1" applyProtection="1">
      <alignment/>
      <protection/>
    </xf>
    <xf numFmtId="1" fontId="7" fillId="0" borderId="11" xfId="0" applyNumberFormat="1" applyFont="1" applyFill="1" applyBorder="1" applyAlignment="1" applyProtection="1">
      <alignment/>
      <protection/>
    </xf>
    <xf numFmtId="0" fontId="7" fillId="0" borderId="11" xfId="0" applyFont="1" applyBorder="1" applyAlignment="1">
      <alignment horizontal="left"/>
    </xf>
    <xf numFmtId="0" fontId="7" fillId="0" borderId="11" xfId="0" applyFont="1" applyBorder="1" applyAlignment="1">
      <alignment/>
    </xf>
    <xf numFmtId="0" fontId="7" fillId="0" borderId="11" xfId="0" applyFont="1" applyFill="1" applyBorder="1" applyAlignment="1">
      <alignment/>
    </xf>
    <xf numFmtId="11" fontId="7" fillId="0" borderId="11" xfId="0" applyNumberFormat="1" applyFont="1" applyFill="1" applyBorder="1" applyAlignment="1">
      <alignment/>
    </xf>
    <xf numFmtId="0" fontId="7" fillId="0" borderId="11" xfId="0" applyFont="1" applyFill="1" applyBorder="1" applyAlignment="1">
      <alignment horizontal="left"/>
    </xf>
    <xf numFmtId="0" fontId="7" fillId="0" borderId="11" xfId="0" applyFont="1" applyBorder="1" applyAlignment="1">
      <alignment horizontal="right"/>
    </xf>
    <xf numFmtId="0" fontId="7" fillId="0" borderId="14" xfId="0" applyFont="1" applyBorder="1" applyAlignment="1">
      <alignment horizontal="left"/>
    </xf>
    <xf numFmtId="39" fontId="7" fillId="0" borderId="14" xfId="0" applyNumberFormat="1" applyFont="1" applyFill="1" applyBorder="1" applyAlignment="1" applyProtection="1">
      <alignment/>
      <protection/>
    </xf>
    <xf numFmtId="0" fontId="7" fillId="0" borderId="14" xfId="0" applyFont="1" applyBorder="1" applyAlignment="1">
      <alignment/>
    </xf>
    <xf numFmtId="0" fontId="7" fillId="0" borderId="14" xfId="0" applyFont="1" applyFill="1" applyBorder="1" applyAlignment="1">
      <alignment/>
    </xf>
    <xf numFmtId="0" fontId="7" fillId="0" borderId="11" xfId="0" applyFont="1" applyBorder="1" applyAlignment="1">
      <alignment horizontal="left"/>
    </xf>
    <xf numFmtId="2" fontId="7" fillId="0" borderId="11" xfId="0" applyNumberFormat="1" applyFont="1" applyFill="1" applyBorder="1" applyAlignment="1" quotePrefix="1">
      <alignment/>
    </xf>
    <xf numFmtId="170" fontId="7" fillId="0" borderId="11" xfId="0" applyNumberFormat="1" applyFont="1" applyBorder="1" applyAlignment="1" applyProtection="1">
      <alignment/>
      <protection/>
    </xf>
    <xf numFmtId="167" fontId="7" fillId="0" borderId="11" xfId="0" applyNumberFormat="1" applyFont="1" applyBorder="1" applyAlignment="1" applyProtection="1">
      <alignment/>
      <protection/>
    </xf>
    <xf numFmtId="166" fontId="7" fillId="0" borderId="0" xfId="0" applyNumberFormat="1" applyFont="1" applyFill="1" applyBorder="1" applyAlignment="1" applyProtection="1">
      <alignment horizontal="right"/>
      <protection/>
    </xf>
    <xf numFmtId="2" fontId="7" fillId="0" borderId="14" xfId="0" applyNumberFormat="1" applyFont="1" applyFill="1" applyBorder="1" applyAlignment="1">
      <alignment/>
    </xf>
    <xf numFmtId="0" fontId="7" fillId="0" borderId="11" xfId="0" applyFont="1" applyFill="1" applyBorder="1" applyAlignment="1">
      <alignment/>
    </xf>
    <xf numFmtId="2" fontId="7" fillId="0" borderId="11" xfId="0" applyNumberFormat="1" applyFont="1" applyFill="1" applyBorder="1" applyAlignment="1">
      <alignment/>
    </xf>
    <xf numFmtId="0" fontId="7" fillId="0" borderId="11" xfId="0" applyFont="1" applyBorder="1" applyAlignment="1">
      <alignment/>
    </xf>
    <xf numFmtId="1" fontId="7" fillId="0" borderId="11" xfId="0" applyNumberFormat="1" applyFont="1" applyFill="1" applyBorder="1" applyAlignment="1">
      <alignment/>
    </xf>
    <xf numFmtId="164" fontId="7" fillId="0" borderId="11" xfId="0" applyNumberFormat="1" applyFont="1" applyFill="1" applyBorder="1" applyAlignment="1">
      <alignment/>
    </xf>
    <xf numFmtId="0" fontId="11" fillId="0" borderId="11" xfId="0" applyFont="1" applyFill="1" applyBorder="1" applyAlignment="1">
      <alignment/>
    </xf>
    <xf numFmtId="0" fontId="11" fillId="0" borderId="0" xfId="0" applyFont="1" applyFill="1" applyBorder="1" applyAlignment="1">
      <alignment/>
    </xf>
    <xf numFmtId="169" fontId="7" fillId="0" borderId="14" xfId="0" applyNumberFormat="1" applyFont="1" applyFill="1" applyBorder="1" applyAlignment="1" applyProtection="1">
      <alignment/>
      <protection/>
    </xf>
    <xf numFmtId="169" fontId="7" fillId="0" borderId="11" xfId="0" applyNumberFormat="1" applyFont="1" applyFill="1" applyBorder="1" applyAlignment="1" applyProtection="1">
      <alignment/>
      <protection/>
    </xf>
    <xf numFmtId="171" fontId="7" fillId="0" borderId="11" xfId="0" applyNumberFormat="1" applyFont="1" applyFill="1" applyBorder="1" applyAlignment="1" applyProtection="1">
      <alignment/>
      <protection/>
    </xf>
    <xf numFmtId="169" fontId="7" fillId="0" borderId="13" xfId="0" applyNumberFormat="1" applyFont="1" applyFill="1" applyBorder="1" applyAlignment="1" applyProtection="1">
      <alignment/>
      <protection/>
    </xf>
    <xf numFmtId="0" fontId="7" fillId="0" borderId="85" xfId="0" applyFont="1" applyFill="1" applyBorder="1" applyAlignment="1">
      <alignment horizontal="left"/>
    </xf>
    <xf numFmtId="169" fontId="7" fillId="0" borderId="85" xfId="0" applyNumberFormat="1" applyFont="1" applyFill="1" applyBorder="1" applyAlignment="1" applyProtection="1">
      <alignment/>
      <protection/>
    </xf>
    <xf numFmtId="169" fontId="7" fillId="0" borderId="97" xfId="0" applyNumberFormat="1" applyFont="1" applyFill="1" applyBorder="1" applyAlignment="1" applyProtection="1">
      <alignment/>
      <protection/>
    </xf>
    <xf numFmtId="167" fontId="7" fillId="0" borderId="85" xfId="0" applyNumberFormat="1" applyFont="1" applyFill="1" applyBorder="1" applyAlignment="1" applyProtection="1">
      <alignment/>
      <protection/>
    </xf>
    <xf numFmtId="171" fontId="7" fillId="0" borderId="29" xfId="0" applyNumberFormat="1" applyFont="1" applyFill="1" applyBorder="1" applyAlignment="1" applyProtection="1">
      <alignment/>
      <protection/>
    </xf>
    <xf numFmtId="169" fontId="7" fillId="0" borderId="30" xfId="0" applyNumberFormat="1" applyFont="1" applyFill="1" applyBorder="1" applyAlignment="1" applyProtection="1">
      <alignment/>
      <protection/>
    </xf>
    <xf numFmtId="0" fontId="7" fillId="0" borderId="97" xfId="0" applyFont="1" applyFill="1" applyBorder="1" applyAlignment="1">
      <alignment/>
    </xf>
    <xf numFmtId="0" fontId="7" fillId="0" borderId="38" xfId="0" applyFont="1" applyFill="1" applyBorder="1" applyAlignment="1">
      <alignment/>
    </xf>
    <xf numFmtId="0" fontId="8" fillId="0" borderId="129" xfId="0" applyFont="1" applyFill="1" applyBorder="1" applyAlignment="1">
      <alignment horizontal="center"/>
    </xf>
    <xf numFmtId="0" fontId="7" fillId="0" borderId="130" xfId="0" applyFont="1" applyFill="1" applyBorder="1" applyAlignment="1">
      <alignment horizontal="left"/>
    </xf>
    <xf numFmtId="0" fontId="7" fillId="0" borderId="10" xfId="0" applyFont="1" applyFill="1" applyBorder="1" applyAlignment="1">
      <alignment horizontal="right"/>
    </xf>
    <xf numFmtId="0" fontId="7" fillId="0" borderId="46" xfId="0" applyFont="1" applyFill="1" applyBorder="1" applyAlignment="1">
      <alignment horizontal="left"/>
    </xf>
    <xf numFmtId="169" fontId="7" fillId="0" borderId="46" xfId="0" applyNumberFormat="1" applyFont="1" applyFill="1" applyBorder="1" applyAlignment="1" applyProtection="1">
      <alignment/>
      <protection/>
    </xf>
    <xf numFmtId="0" fontId="8" fillId="0" borderId="11" xfId="0" applyFont="1" applyFill="1" applyBorder="1" applyAlignment="1">
      <alignment horizontal="left"/>
    </xf>
    <xf numFmtId="3" fontId="7" fillId="0" borderId="11" xfId="0" applyNumberFormat="1" applyFont="1" applyFill="1" applyBorder="1" applyAlignment="1">
      <alignment/>
    </xf>
    <xf numFmtId="0" fontId="7" fillId="0" borderId="14" xfId="0" applyFont="1" applyFill="1" applyBorder="1" applyAlignment="1">
      <alignment horizontal="left"/>
    </xf>
    <xf numFmtId="0" fontId="8" fillId="0" borderId="117" xfId="0" applyFont="1" applyFill="1" applyBorder="1" applyAlignment="1">
      <alignment horizontal="left"/>
    </xf>
    <xf numFmtId="0" fontId="7" fillId="0" borderId="120" xfId="0" applyFont="1" applyBorder="1" applyAlignment="1">
      <alignment horizontal="center"/>
    </xf>
    <xf numFmtId="0" fontId="7" fillId="0" borderId="14" xfId="0" applyFont="1" applyBorder="1" applyAlignment="1">
      <alignment/>
    </xf>
    <xf numFmtId="0" fontId="7" fillId="0" borderId="14" xfId="0" applyFont="1" applyFill="1" applyBorder="1" applyAlignment="1">
      <alignment/>
    </xf>
    <xf numFmtId="2" fontId="7" fillId="0" borderId="14" xfId="0" applyNumberFormat="1" applyFont="1" applyFill="1" applyBorder="1" applyAlignment="1">
      <alignment/>
    </xf>
    <xf numFmtId="0" fontId="7" fillId="0" borderId="120" xfId="0" applyFont="1" applyBorder="1" applyAlignment="1">
      <alignment/>
    </xf>
    <xf numFmtId="0" fontId="13" fillId="0" borderId="120" xfId="0" applyFont="1" applyFill="1" applyBorder="1" applyAlignment="1">
      <alignment/>
    </xf>
    <xf numFmtId="0" fontId="7" fillId="0" borderId="14" xfId="0" applyFont="1" applyBorder="1" applyAlignment="1">
      <alignment horizontal="left"/>
    </xf>
    <xf numFmtId="0" fontId="8" fillId="0" borderId="117" xfId="0" applyFont="1" applyBorder="1" applyAlignment="1">
      <alignment horizontal="left"/>
    </xf>
    <xf numFmtId="0" fontId="7" fillId="0" borderId="117" xfId="0" applyFont="1" applyBorder="1" applyAlignment="1">
      <alignment horizontal="right"/>
    </xf>
    <xf numFmtId="0" fontId="7" fillId="0" borderId="120" xfId="0" applyFont="1" applyBorder="1" applyAlignment="1">
      <alignment horizontal="left"/>
    </xf>
    <xf numFmtId="0" fontId="7" fillId="0" borderId="120" xfId="0" applyFont="1" applyBorder="1" applyAlignment="1">
      <alignment horizontal="right"/>
    </xf>
    <xf numFmtId="0" fontId="12" fillId="0" borderId="113" xfId="0" applyFont="1" applyFill="1" applyBorder="1" applyAlignment="1">
      <alignment horizontal="left"/>
    </xf>
    <xf numFmtId="0" fontId="7" fillId="0" borderId="84" xfId="0" applyFont="1" applyBorder="1" applyAlignment="1" applyProtection="1">
      <alignment horizontal="left"/>
      <protection/>
    </xf>
    <xf numFmtId="1" fontId="7" fillId="0" borderId="14" xfId="0" applyNumberFormat="1" applyFont="1" applyFill="1" applyBorder="1" applyAlignment="1" applyProtection="1">
      <alignment/>
      <protection/>
    </xf>
    <xf numFmtId="0" fontId="7" fillId="0" borderId="125" xfId="0" applyFont="1" applyFill="1" applyBorder="1" applyAlignment="1" applyProtection="1">
      <alignment/>
      <protection/>
    </xf>
    <xf numFmtId="0" fontId="7" fillId="0" borderId="117" xfId="0" applyFont="1" applyFill="1" applyBorder="1" applyAlignment="1" applyProtection="1">
      <alignment/>
      <protection/>
    </xf>
    <xf numFmtId="0" fontId="7" fillId="0" borderId="131" xfId="0" applyFont="1" applyBorder="1" applyAlignment="1" applyProtection="1">
      <alignment/>
      <protection/>
    </xf>
    <xf numFmtId="3" fontId="7" fillId="0" borderId="14" xfId="0" applyNumberFormat="1" applyFont="1" applyFill="1" applyBorder="1" applyAlignment="1">
      <alignment/>
    </xf>
    <xf numFmtId="0" fontId="7" fillId="0" borderId="131" xfId="0" applyFont="1" applyFill="1" applyBorder="1" applyAlignment="1">
      <alignment/>
    </xf>
    <xf numFmtId="1" fontId="7" fillId="0" borderId="14" xfId="0" applyNumberFormat="1" applyFont="1" applyFill="1" applyBorder="1" applyAlignment="1">
      <alignment/>
    </xf>
    <xf numFmtId="38" fontId="7" fillId="0" borderId="11" xfId="15" applyNumberFormat="1" applyFont="1" applyFill="1" applyBorder="1" applyAlignment="1">
      <alignment/>
    </xf>
    <xf numFmtId="3" fontId="7" fillId="0" borderId="11" xfId="0" applyNumberFormat="1" applyFont="1" applyBorder="1" applyAlignment="1">
      <alignment/>
    </xf>
    <xf numFmtId="0" fontId="7" fillId="0" borderId="131" xfId="0" applyFont="1" applyBorder="1" applyAlignment="1">
      <alignment/>
    </xf>
    <xf numFmtId="0" fontId="8" fillId="0" borderId="11" xfId="0" applyFont="1" applyBorder="1" applyAlignment="1">
      <alignment/>
    </xf>
    <xf numFmtId="1" fontId="8" fillId="0" borderId="11" xfId="0" applyNumberFormat="1" applyFont="1" applyBorder="1" applyAlignment="1">
      <alignment/>
    </xf>
    <xf numFmtId="0" fontId="8" fillId="0" borderId="11" xfId="0" applyFont="1" applyBorder="1" applyAlignment="1">
      <alignment horizontal="right"/>
    </xf>
    <xf numFmtId="0" fontId="12" fillId="0" borderId="117" xfId="0" applyFont="1" applyFill="1" applyBorder="1" applyAlignment="1">
      <alignment/>
    </xf>
    <xf numFmtId="4" fontId="7" fillId="0" borderId="11" xfId="0" applyNumberFormat="1" applyFont="1" applyFill="1" applyBorder="1" applyAlignment="1">
      <alignment/>
    </xf>
    <xf numFmtId="1" fontId="7" fillId="0" borderId="25" xfId="0" applyNumberFormat="1" applyFont="1" applyFill="1" applyBorder="1" applyAlignment="1">
      <alignment/>
    </xf>
    <xf numFmtId="0" fontId="12" fillId="0" borderId="117" xfId="0" applyFont="1" applyBorder="1" applyAlignment="1">
      <alignment/>
    </xf>
    <xf numFmtId="5" fontId="7" fillId="0" borderId="11" xfId="0" applyNumberFormat="1" applyFont="1" applyFill="1" applyBorder="1" applyAlignment="1" applyProtection="1">
      <alignment/>
      <protection locked="0"/>
    </xf>
    <xf numFmtId="0" fontId="7" fillId="2" borderId="11" xfId="0" applyFont="1" applyFill="1" applyBorder="1" applyAlignment="1" applyProtection="1">
      <alignment/>
      <protection locked="0"/>
    </xf>
    <xf numFmtId="0" fontId="7" fillId="0" borderId="11" xfId="0" applyNumberFormat="1" applyFont="1" applyFill="1" applyBorder="1" applyAlignment="1" applyProtection="1">
      <alignment/>
      <protection locked="0"/>
    </xf>
    <xf numFmtId="38" fontId="7" fillId="2" borderId="11" xfId="19" applyNumberFormat="1" applyFont="1" applyFill="1" applyBorder="1" applyAlignment="1" applyProtection="1">
      <alignment/>
      <protection locked="0"/>
    </xf>
    <xf numFmtId="165" fontId="7" fillId="2" borderId="11" xfId="0" applyNumberFormat="1" applyFont="1" applyFill="1" applyBorder="1" applyAlignment="1">
      <alignment/>
    </xf>
    <xf numFmtId="0" fontId="7" fillId="2" borderId="11" xfId="0" applyNumberFormat="1" applyFont="1" applyFill="1" applyBorder="1" applyAlignment="1" applyProtection="1">
      <alignment/>
      <protection locked="0"/>
    </xf>
    <xf numFmtId="7" fontId="7" fillId="2" borderId="11" xfId="0" applyNumberFormat="1" applyFont="1" applyFill="1" applyBorder="1" applyAlignment="1" applyProtection="1">
      <alignment/>
      <protection locked="0"/>
    </xf>
    <xf numFmtId="7" fontId="7" fillId="0" borderId="11" xfId="0" applyNumberFormat="1" applyFont="1" applyFill="1" applyBorder="1" applyAlignment="1">
      <alignment/>
    </xf>
    <xf numFmtId="0" fontId="11" fillId="0" borderId="11" xfId="31" applyFont="1" applyFill="1" applyBorder="1" applyAlignment="1">
      <alignment horizontal="right" wrapText="1"/>
      <protection/>
    </xf>
    <xf numFmtId="0" fontId="11" fillId="0" borderId="11" xfId="31" applyFont="1" applyFill="1" applyBorder="1" applyAlignment="1">
      <alignment horizontal="left" wrapText="1"/>
      <protection/>
    </xf>
    <xf numFmtId="0" fontId="7" fillId="0" borderId="11" xfId="31" applyFont="1" applyFill="1" applyBorder="1" applyAlignment="1">
      <alignment horizontal="left"/>
      <protection/>
    </xf>
    <xf numFmtId="0" fontId="7" fillId="0" borderId="11" xfId="31" applyFill="1" applyBorder="1" applyAlignment="1">
      <alignment horizontal="right"/>
      <protection/>
    </xf>
    <xf numFmtId="0" fontId="7" fillId="0" borderId="11" xfId="31" applyFill="1" applyBorder="1" applyAlignment="1">
      <alignment horizontal="left"/>
      <protection/>
    </xf>
    <xf numFmtId="0" fontId="7" fillId="0" borderId="11" xfId="31" applyFill="1" applyBorder="1" applyAlignment="1">
      <alignment wrapText="1"/>
      <protection/>
    </xf>
    <xf numFmtId="0" fontId="7" fillId="0" borderId="11" xfId="31" applyFill="1" applyBorder="1" applyAlignment="1">
      <alignment horizontal="right" wrapText="1"/>
      <protection/>
    </xf>
    <xf numFmtId="0" fontId="7" fillId="0" borderId="11" xfId="31" applyFill="1" applyBorder="1" applyAlignment="1">
      <alignment horizontal="left" wrapText="1"/>
      <protection/>
    </xf>
    <xf numFmtId="0" fontId="7" fillId="0" borderId="11" xfId="31" applyFont="1" applyFill="1" applyBorder="1" applyAlignment="1">
      <alignment wrapText="1"/>
      <protection/>
    </xf>
    <xf numFmtId="164" fontId="7" fillId="0" borderId="11" xfId="31" applyNumberFormat="1" applyFont="1" applyFill="1" applyBorder="1" applyAlignment="1">
      <alignment horizontal="right"/>
      <protection/>
    </xf>
    <xf numFmtId="0" fontId="7" fillId="0" borderId="11" xfId="31" applyFont="1" applyFill="1" applyBorder="1" applyAlignment="1">
      <alignment horizontal="left"/>
      <protection/>
    </xf>
    <xf numFmtId="165" fontId="7" fillId="0" borderId="11" xfId="31" applyNumberFormat="1" applyFill="1" applyBorder="1">
      <alignment/>
      <protection/>
    </xf>
    <xf numFmtId="164" fontId="7" fillId="0" borderId="11" xfId="31" applyNumberFormat="1" applyFill="1" applyBorder="1" applyAlignment="1">
      <alignment horizontal="right"/>
      <protection/>
    </xf>
    <xf numFmtId="164" fontId="7" fillId="0" borderId="11" xfId="31" applyNumberFormat="1" applyFill="1" applyBorder="1">
      <alignment/>
      <protection/>
    </xf>
    <xf numFmtId="0" fontId="8" fillId="0" borderId="14" xfId="31" applyFont="1" applyFill="1" applyBorder="1">
      <alignment/>
      <protection/>
    </xf>
    <xf numFmtId="0" fontId="0" fillId="0" borderId="14" xfId="0" applyBorder="1" applyAlignment="1">
      <alignment/>
    </xf>
    <xf numFmtId="0" fontId="7" fillId="0" borderId="125" xfId="0" applyFont="1" applyFill="1" applyBorder="1" applyAlignment="1">
      <alignment/>
    </xf>
    <xf numFmtId="0" fontId="15" fillId="0" borderId="0" xfId="0" applyFont="1" applyFill="1" applyBorder="1" applyAlignment="1">
      <alignment horizontal="left"/>
    </xf>
    <xf numFmtId="0" fontId="11" fillId="0" borderId="0" xfId="0" applyFont="1" applyFill="1" applyBorder="1" applyAlignment="1">
      <alignment/>
    </xf>
    <xf numFmtId="0" fontId="7" fillId="2" borderId="14" xfId="0" applyFont="1" applyFill="1" applyBorder="1" applyAlignment="1" applyProtection="1">
      <alignment/>
      <protection locked="0"/>
    </xf>
    <xf numFmtId="3" fontId="7" fillId="0" borderId="11" xfId="31" applyNumberFormat="1" applyFill="1" applyBorder="1" applyAlignment="1">
      <alignment/>
      <protection/>
    </xf>
    <xf numFmtId="0" fontId="8" fillId="0" borderId="9" xfId="0" applyFont="1" applyFill="1" applyBorder="1" applyAlignment="1">
      <alignment horizontal="center"/>
    </xf>
    <xf numFmtId="0" fontId="7" fillId="0" borderId="85" xfId="0" applyFont="1" applyFill="1" applyBorder="1" applyAlignment="1">
      <alignment/>
    </xf>
    <xf numFmtId="0" fontId="7" fillId="0" borderId="29" xfId="0" applyFont="1" applyFill="1" applyBorder="1" applyAlignment="1">
      <alignment/>
    </xf>
    <xf numFmtId="0" fontId="7" fillId="0" borderId="9" xfId="0" applyFont="1" applyFill="1" applyBorder="1" applyAlignment="1">
      <alignment horizontal="right"/>
    </xf>
    <xf numFmtId="5" fontId="7" fillId="0" borderId="7" xfId="0" applyNumberFormat="1" applyFont="1" applyFill="1" applyBorder="1" applyAlignment="1">
      <alignment/>
    </xf>
    <xf numFmtId="0" fontId="15" fillId="0" borderId="29" xfId="0" applyFont="1" applyFill="1" applyBorder="1" applyAlignment="1">
      <alignment horizontal="right"/>
    </xf>
    <xf numFmtId="0" fontId="8" fillId="0" borderId="52" xfId="0" applyFont="1" applyFill="1" applyBorder="1" applyAlignment="1">
      <alignment/>
    </xf>
    <xf numFmtId="0" fontId="7" fillId="0" borderId="84" xfId="0" applyFont="1" applyFill="1" applyBorder="1" applyAlignment="1">
      <alignment/>
    </xf>
    <xf numFmtId="0" fontId="15" fillId="0" borderId="85" xfId="0" applyFont="1" applyFill="1" applyBorder="1" applyAlignment="1">
      <alignment horizontal="left"/>
    </xf>
    <xf numFmtId="0" fontId="15" fillId="0" borderId="29" xfId="0" applyFont="1" applyFill="1" applyBorder="1" applyAlignment="1">
      <alignment horizontal="left"/>
    </xf>
    <xf numFmtId="0" fontId="11" fillId="0" borderId="16" xfId="0" applyFont="1" applyFill="1" applyBorder="1" applyAlignment="1">
      <alignment/>
    </xf>
    <xf numFmtId="0" fontId="7" fillId="8" borderId="14" xfId="0" applyFont="1" applyFill="1" applyBorder="1" applyAlignment="1">
      <alignment horizontal="right"/>
    </xf>
    <xf numFmtId="166" fontId="7" fillId="8" borderId="38" xfId="0" applyNumberFormat="1" applyFont="1" applyFill="1" applyBorder="1" applyAlignment="1" applyProtection="1">
      <alignment horizontal="right"/>
      <protection/>
    </xf>
    <xf numFmtId="0" fontId="7" fillId="0" borderId="132" xfId="0" applyFont="1" applyFill="1" applyBorder="1" applyAlignment="1">
      <alignment horizontal="left"/>
    </xf>
    <xf numFmtId="0" fontId="7" fillId="8" borderId="111" xfId="0" applyFont="1" applyFill="1" applyBorder="1" applyAlignment="1">
      <alignment/>
    </xf>
    <xf numFmtId="0" fontId="7" fillId="8" borderId="11" xfId="0" applyFont="1" applyFill="1" applyBorder="1" applyAlignment="1">
      <alignment/>
    </xf>
    <xf numFmtId="0" fontId="7" fillId="0" borderId="85" xfId="0" applyFont="1" applyBorder="1" applyAlignment="1" applyProtection="1">
      <alignment horizontal="left"/>
      <protection/>
    </xf>
    <xf numFmtId="0" fontId="7" fillId="0" borderId="29" xfId="0" applyFont="1" applyFill="1" applyBorder="1" applyAlignment="1">
      <alignment horizontal="left"/>
    </xf>
    <xf numFmtId="0" fontId="7" fillId="8" borderId="16" xfId="0" applyFont="1" applyFill="1" applyBorder="1" applyAlignment="1">
      <alignment/>
    </xf>
    <xf numFmtId="7" fontId="7" fillId="0" borderId="16" xfId="0" applyNumberFormat="1" applyFont="1" applyFill="1" applyBorder="1" applyAlignment="1" applyProtection="1">
      <alignment/>
      <protection/>
    </xf>
    <xf numFmtId="0" fontId="7" fillId="8" borderId="111" xfId="0" applyFont="1" applyFill="1" applyBorder="1" applyAlignment="1" applyProtection="1">
      <alignment/>
      <protection/>
    </xf>
    <xf numFmtId="0" fontId="7" fillId="8" borderId="11" xfId="0" applyFont="1" applyFill="1" applyBorder="1" applyAlignment="1" applyProtection="1">
      <alignment/>
      <protection/>
    </xf>
    <xf numFmtId="0" fontId="7" fillId="8" borderId="11" xfId="0" applyFont="1" applyFill="1" applyBorder="1" applyAlignment="1" applyProtection="1">
      <alignment/>
      <protection/>
    </xf>
    <xf numFmtId="0" fontId="7" fillId="8" borderId="16" xfId="0" applyFont="1" applyFill="1" applyBorder="1" applyAlignment="1" applyProtection="1">
      <alignment/>
      <protection/>
    </xf>
    <xf numFmtId="0" fontId="7" fillId="8" borderId="111" xfId="0" applyFont="1" applyFill="1" applyBorder="1" applyAlignment="1" applyProtection="1">
      <alignment/>
      <protection/>
    </xf>
    <xf numFmtId="0" fontId="7" fillId="0" borderId="29" xfId="0" applyFont="1" applyBorder="1" applyAlignment="1">
      <alignment horizontal="left"/>
    </xf>
    <xf numFmtId="0" fontId="7" fillId="8" borderId="16" xfId="0" applyFont="1" applyFill="1" applyBorder="1" applyAlignment="1" applyProtection="1">
      <alignment/>
      <protection/>
    </xf>
    <xf numFmtId="166" fontId="7" fillId="0" borderId="132" xfId="0" applyNumberFormat="1" applyFont="1" applyFill="1" applyBorder="1" applyAlignment="1" applyProtection="1">
      <alignment horizontal="left"/>
      <protection/>
    </xf>
    <xf numFmtId="166" fontId="7" fillId="0" borderId="85" xfId="0" applyNumberFormat="1" applyFont="1" applyFill="1" applyBorder="1" applyAlignment="1" applyProtection="1">
      <alignment horizontal="left"/>
      <protection/>
    </xf>
    <xf numFmtId="166" fontId="7" fillId="0" borderId="29" xfId="0" applyNumberFormat="1" applyFont="1" applyFill="1" applyBorder="1" applyAlignment="1" applyProtection="1">
      <alignment horizontal="left"/>
      <protection/>
    </xf>
    <xf numFmtId="166" fontId="7" fillId="0" borderId="132" xfId="0" applyNumberFormat="1" applyFont="1" applyFill="1" applyBorder="1" applyAlignment="1" applyProtection="1">
      <alignment horizontal="left"/>
      <protection/>
    </xf>
    <xf numFmtId="166" fontId="7" fillId="0" borderId="85" xfId="0" applyNumberFormat="1" applyFont="1" applyFill="1" applyBorder="1" applyAlignment="1" applyProtection="1">
      <alignment horizontal="left"/>
      <protection/>
    </xf>
    <xf numFmtId="166" fontId="7" fillId="0" borderId="29" xfId="0" applyNumberFormat="1" applyFont="1" applyFill="1" applyBorder="1" applyAlignment="1" applyProtection="1">
      <alignment horizontal="left"/>
      <protection/>
    </xf>
    <xf numFmtId="0" fontId="7" fillId="0" borderId="132" xfId="0" applyFont="1" applyBorder="1" applyAlignment="1">
      <alignment/>
    </xf>
    <xf numFmtId="178" fontId="8" fillId="0" borderId="82" xfId="23" applyNumberFormat="1" applyFont="1" applyFill="1" applyBorder="1" applyAlignment="1">
      <alignment/>
    </xf>
    <xf numFmtId="178" fontId="12" fillId="0" borderId="82" xfId="32" applyNumberFormat="1" applyFont="1" applyFill="1" applyBorder="1">
      <alignment/>
      <protection/>
    </xf>
    <xf numFmtId="178" fontId="12" fillId="0" borderId="26" xfId="32" applyNumberFormat="1" applyFont="1" applyFill="1" applyBorder="1">
      <alignment/>
      <protection/>
    </xf>
    <xf numFmtId="44" fontId="12" fillId="0" borderId="30" xfId="32" applyNumberFormat="1" applyFont="1" applyFill="1" applyBorder="1">
      <alignment/>
      <protection/>
    </xf>
    <xf numFmtId="42" fontId="7" fillId="0" borderId="0" xfId="23" applyNumberFormat="1" applyFill="1" applyBorder="1" applyAlignment="1">
      <alignment/>
    </xf>
    <xf numFmtId="42" fontId="7" fillId="0" borderId="4" xfId="23" applyNumberFormat="1" applyFill="1" applyBorder="1" applyAlignment="1">
      <alignment/>
    </xf>
    <xf numFmtId="42" fontId="7" fillId="0" borderId="4" xfId="23" applyNumberFormat="1" applyFont="1" applyFill="1" applyBorder="1" applyAlignment="1">
      <alignment/>
    </xf>
    <xf numFmtId="42" fontId="8" fillId="0" borderId="82" xfId="19" applyNumberFormat="1" applyFont="1" applyFill="1" applyBorder="1" applyAlignment="1">
      <alignment/>
    </xf>
    <xf numFmtId="42" fontId="7" fillId="2" borderId="11" xfId="32" applyNumberFormat="1" applyFill="1" applyBorder="1">
      <alignment/>
      <protection/>
    </xf>
    <xf numFmtId="42" fontId="7" fillId="0" borderId="93" xfId="0" applyNumberFormat="1" applyFont="1" applyBorder="1" applyAlignment="1">
      <alignment/>
    </xf>
    <xf numFmtId="42" fontId="7" fillId="0" borderId="103" xfId="0" applyNumberFormat="1" applyFont="1" applyBorder="1" applyAlignment="1">
      <alignment/>
    </xf>
    <xf numFmtId="42" fontId="7" fillId="0" borderId="86" xfId="0" applyNumberFormat="1" applyFont="1" applyBorder="1" applyAlignment="1">
      <alignment/>
    </xf>
    <xf numFmtId="42" fontId="7" fillId="0" borderId="101" xfId="0" applyNumberFormat="1" applyFont="1" applyBorder="1" applyAlignment="1">
      <alignment/>
    </xf>
    <xf numFmtId="42" fontId="7" fillId="0" borderId="87" xfId="0" applyNumberFormat="1" applyFont="1" applyBorder="1" applyAlignment="1">
      <alignment/>
    </xf>
    <xf numFmtId="42" fontId="7" fillId="0" borderId="102" xfId="0" applyNumberFormat="1" applyFont="1" applyBorder="1" applyAlignment="1">
      <alignment/>
    </xf>
    <xf numFmtId="42" fontId="7" fillId="0" borderId="87" xfId="0" applyNumberFormat="1" applyFont="1" applyFill="1" applyBorder="1" applyAlignment="1">
      <alignment/>
    </xf>
    <xf numFmtId="42" fontId="7" fillId="0" borderId="16" xfId="15" applyNumberFormat="1" applyFont="1" applyBorder="1" applyAlignment="1">
      <alignment/>
    </xf>
    <xf numFmtId="42" fontId="7" fillId="0" borderId="30" xfId="15" applyNumberFormat="1" applyFont="1" applyBorder="1" applyAlignment="1">
      <alignment/>
    </xf>
    <xf numFmtId="42" fontId="7" fillId="0" borderId="93" xfId="15" applyNumberFormat="1" applyFont="1" applyBorder="1" applyAlignment="1">
      <alignment/>
    </xf>
    <xf numFmtId="42" fontId="7" fillId="0" borderId="103" xfId="15" applyNumberFormat="1" applyFont="1" applyBorder="1" applyAlignment="1">
      <alignment/>
    </xf>
    <xf numFmtId="42" fontId="7" fillId="0" borderId="86" xfId="15" applyNumberFormat="1" applyFont="1" applyBorder="1" applyAlignment="1">
      <alignment/>
    </xf>
    <xf numFmtId="42" fontId="7" fillId="0" borderId="101" xfId="15" applyNumberFormat="1" applyFont="1" applyBorder="1" applyAlignment="1">
      <alignment/>
    </xf>
    <xf numFmtId="42" fontId="7" fillId="0" borderId="87" xfId="15" applyNumberFormat="1" applyFont="1" applyBorder="1" applyAlignment="1">
      <alignment/>
    </xf>
    <xf numFmtId="42" fontId="7" fillId="0" borderId="102" xfId="15" applyNumberFormat="1" applyFont="1" applyBorder="1" applyAlignment="1">
      <alignment/>
    </xf>
    <xf numFmtId="42" fontId="7" fillId="0" borderId="133" xfId="15" applyNumberFormat="1" applyFont="1" applyBorder="1" applyAlignment="1">
      <alignment/>
    </xf>
    <xf numFmtId="42" fontId="7" fillId="0" borderId="134" xfId="15" applyNumberFormat="1" applyFont="1" applyBorder="1" applyAlignment="1">
      <alignment/>
    </xf>
    <xf numFmtId="42" fontId="7" fillId="0" borderId="114" xfId="0" applyNumberFormat="1" applyFont="1" applyFill="1" applyBorder="1" applyAlignment="1" applyProtection="1">
      <alignment/>
      <protection/>
    </xf>
    <xf numFmtId="42" fontId="7" fillId="0" borderId="135" xfId="0" applyNumberFormat="1" applyFont="1" applyFill="1" applyBorder="1" applyAlignment="1" applyProtection="1">
      <alignment/>
      <protection/>
    </xf>
    <xf numFmtId="42" fontId="7" fillId="0" borderId="111" xfId="0" applyNumberFormat="1" applyFont="1" applyFill="1" applyBorder="1" applyAlignment="1" applyProtection="1">
      <alignment/>
      <protection/>
    </xf>
    <xf numFmtId="42" fontId="7" fillId="0" borderId="112" xfId="0" applyNumberFormat="1" applyFont="1" applyFill="1" applyBorder="1" applyAlignment="1" applyProtection="1">
      <alignment/>
      <protection/>
    </xf>
    <xf numFmtId="42" fontId="7" fillId="0" borderId="11" xfId="0" applyNumberFormat="1" applyFont="1" applyFill="1" applyBorder="1" applyAlignment="1" applyProtection="1">
      <alignment/>
      <protection/>
    </xf>
    <xf numFmtId="42" fontId="7" fillId="0" borderId="97" xfId="0" applyNumberFormat="1" applyFont="1" applyFill="1" applyBorder="1" applyAlignment="1" applyProtection="1">
      <alignment/>
      <protection/>
    </xf>
    <xf numFmtId="42" fontId="7" fillId="0" borderId="16" xfId="0" applyNumberFormat="1" applyFont="1" applyFill="1" applyBorder="1" applyAlignment="1" applyProtection="1">
      <alignment/>
      <protection/>
    </xf>
    <xf numFmtId="42" fontId="7" fillId="0" borderId="30" xfId="0" applyNumberFormat="1" applyFont="1" applyFill="1" applyBorder="1" applyAlignment="1" applyProtection="1">
      <alignment/>
      <protection/>
    </xf>
    <xf numFmtId="42" fontId="8" fillId="0" borderId="48" xfId="0" applyNumberFormat="1" applyFont="1" applyFill="1" applyBorder="1" applyAlignment="1" applyProtection="1">
      <alignment/>
      <protection/>
    </xf>
    <xf numFmtId="42" fontId="8" fillId="0" borderId="136" xfId="0" applyNumberFormat="1" applyFont="1" applyFill="1" applyBorder="1" applyAlignment="1" applyProtection="1">
      <alignment/>
      <protection/>
    </xf>
    <xf numFmtId="42" fontId="7" fillId="0" borderId="112" xfId="0" applyNumberFormat="1" applyFont="1" applyFill="1" applyBorder="1" applyAlignment="1" applyProtection="1">
      <alignment/>
      <protection/>
    </xf>
    <xf numFmtId="42" fontId="7" fillId="0" borderId="97" xfId="0" applyNumberFormat="1" applyFont="1" applyFill="1" applyBorder="1" applyAlignment="1" applyProtection="1">
      <alignment/>
      <protection/>
    </xf>
    <xf numFmtId="42" fontId="7" fillId="0" borderId="30" xfId="0" applyNumberFormat="1" applyFont="1" applyFill="1" applyBorder="1" applyAlignment="1" applyProtection="1">
      <alignment/>
      <protection/>
    </xf>
    <xf numFmtId="42" fontId="7" fillId="0" borderId="6" xfId="0" applyNumberFormat="1" applyFont="1" applyFill="1" applyBorder="1" applyAlignment="1" applyProtection="1">
      <alignment/>
      <protection/>
    </xf>
    <xf numFmtId="42" fontId="7" fillId="0" borderId="112" xfId="0" applyNumberFormat="1" applyFont="1" applyFill="1" applyBorder="1" applyAlignment="1" applyProtection="1">
      <alignment/>
      <protection/>
    </xf>
    <xf numFmtId="42" fontId="7" fillId="0" borderId="97" xfId="0" applyNumberFormat="1" applyFont="1" applyFill="1" applyBorder="1" applyAlignment="1" applyProtection="1">
      <alignment/>
      <protection/>
    </xf>
    <xf numFmtId="42" fontId="7" fillId="0" borderId="30" xfId="0" applyNumberFormat="1" applyFont="1" applyFill="1" applyBorder="1" applyAlignment="1" applyProtection="1">
      <alignment/>
      <protection/>
    </xf>
    <xf numFmtId="42" fontId="7" fillId="0" borderId="135" xfId="0" applyNumberFormat="1" applyFont="1" applyFill="1" applyBorder="1" applyAlignment="1" applyProtection="1">
      <alignment/>
      <protection/>
    </xf>
    <xf numFmtId="42" fontId="7" fillId="0" borderId="112" xfId="0" applyNumberFormat="1" applyFont="1" applyFill="1" applyBorder="1" applyAlignment="1" applyProtection="1">
      <alignment/>
      <protection/>
    </xf>
    <xf numFmtId="42" fontId="7" fillId="0" borderId="97" xfId="0" applyNumberFormat="1" applyFont="1" applyFill="1" applyBorder="1" applyAlignment="1" applyProtection="1">
      <alignment/>
      <protection/>
    </xf>
    <xf numFmtId="42" fontId="7" fillId="0" borderId="30" xfId="0" applyNumberFormat="1" applyFont="1" applyFill="1" applyBorder="1" applyAlignment="1" applyProtection="1">
      <alignment/>
      <protection/>
    </xf>
    <xf numFmtId="42" fontId="7" fillId="0" borderId="6" xfId="0" applyNumberFormat="1" applyFont="1" applyFill="1" applyBorder="1" applyAlignment="1" applyProtection="1">
      <alignment/>
      <protection/>
    </xf>
    <xf numFmtId="42" fontId="8" fillId="0" borderId="6" xfId="0" applyNumberFormat="1" applyFont="1" applyFill="1" applyBorder="1" applyAlignment="1" applyProtection="1">
      <alignment/>
      <protection/>
    </xf>
    <xf numFmtId="42" fontId="7" fillId="0" borderId="30" xfId="0" applyNumberFormat="1" applyFont="1" applyFill="1" applyBorder="1" applyAlignment="1" applyProtection="1">
      <alignment/>
      <protection/>
    </xf>
    <xf numFmtId="42" fontId="7" fillId="0" borderId="135" xfId="19" applyNumberFormat="1" applyFont="1" applyFill="1" applyBorder="1" applyAlignment="1" applyProtection="1">
      <alignment/>
      <protection/>
    </xf>
    <xf numFmtId="42" fontId="7" fillId="0" borderId="30" xfId="19" applyNumberFormat="1" applyFont="1" applyFill="1" applyBorder="1" applyAlignment="1" applyProtection="1">
      <alignment/>
      <protection/>
    </xf>
    <xf numFmtId="42" fontId="7" fillId="0" borderId="112" xfId="19" applyNumberFormat="1" applyFont="1" applyFill="1" applyBorder="1" applyAlignment="1" applyProtection="1">
      <alignment/>
      <protection/>
    </xf>
    <xf numFmtId="42" fontId="7" fillId="0" borderId="97" xfId="19" applyNumberFormat="1" applyFont="1" applyFill="1" applyBorder="1" applyAlignment="1" applyProtection="1">
      <alignment/>
      <protection/>
    </xf>
    <xf numFmtId="42" fontId="8" fillId="0" borderId="12" xfId="0" applyNumberFormat="1" applyFont="1" applyFill="1" applyBorder="1" applyAlignment="1" applyProtection="1">
      <alignment/>
      <protection/>
    </xf>
    <xf numFmtId="42" fontId="8" fillId="0" borderId="82" xfId="0" applyNumberFormat="1" applyFont="1" applyFill="1" applyBorder="1" applyAlignment="1">
      <alignment/>
    </xf>
    <xf numFmtId="42" fontId="7" fillId="0" borderId="112" xfId="0" applyNumberFormat="1" applyFont="1" applyBorder="1" applyAlignment="1" applyProtection="1">
      <alignment/>
      <protection/>
    </xf>
    <xf numFmtId="42" fontId="7" fillId="0" borderId="97" xfId="0" applyNumberFormat="1" applyFont="1" applyBorder="1" applyAlignment="1" applyProtection="1">
      <alignment/>
      <protection/>
    </xf>
    <xf numFmtId="42" fontId="7" fillId="0" borderId="30" xfId="19" applyNumberFormat="1" applyFont="1" applyFill="1" applyBorder="1" applyAlignment="1">
      <alignment/>
    </xf>
    <xf numFmtId="42" fontId="7" fillId="2" borderId="11" xfId="0" applyNumberFormat="1" applyFont="1" applyFill="1" applyBorder="1" applyAlignment="1">
      <alignment/>
    </xf>
    <xf numFmtId="192" fontId="7" fillId="2" borderId="11" xfId="0" applyNumberFormat="1" applyFont="1" applyFill="1" applyBorder="1" applyAlignment="1">
      <alignment/>
    </xf>
    <xf numFmtId="42" fontId="7" fillId="0" borderId="50" xfId="0" applyNumberFormat="1" applyFont="1" applyFill="1" applyBorder="1" applyAlignment="1">
      <alignment/>
    </xf>
    <xf numFmtId="42" fontId="7" fillId="0" borderId="28" xfId="0" applyNumberFormat="1" applyFont="1" applyFill="1" applyBorder="1" applyAlignment="1">
      <alignment/>
    </xf>
    <xf numFmtId="42" fontId="7" fillId="0" borderId="83" xfId="0" applyNumberFormat="1" applyFont="1" applyFill="1" applyBorder="1" applyAlignment="1">
      <alignment/>
    </xf>
    <xf numFmtId="42" fontId="7" fillId="0" borderId="111" xfId="0" applyNumberFormat="1" applyFont="1" applyBorder="1" applyAlignment="1">
      <alignment/>
    </xf>
    <xf numFmtId="42" fontId="7" fillId="0" borderId="112" xfId="0" applyNumberFormat="1" applyFont="1" applyBorder="1" applyAlignment="1">
      <alignment/>
    </xf>
    <xf numFmtId="42" fontId="7" fillId="0" borderId="11" xfId="0" applyNumberFormat="1" applyFont="1" applyBorder="1" applyAlignment="1">
      <alignment/>
    </xf>
    <xf numFmtId="42" fontId="7" fillId="0" borderId="97" xfId="0" applyNumberFormat="1" applyFont="1" applyBorder="1" applyAlignment="1">
      <alignment/>
    </xf>
    <xf numFmtId="42" fontId="7" fillId="0" borderId="16" xfId="0" applyNumberFormat="1" applyFont="1" applyBorder="1" applyAlignment="1">
      <alignment/>
    </xf>
    <xf numFmtId="42" fontId="7" fillId="0" borderId="30" xfId="0" applyNumberFormat="1" applyFont="1" applyBorder="1" applyAlignment="1">
      <alignment/>
    </xf>
    <xf numFmtId="42" fontId="7" fillId="0" borderId="2" xfId="19" applyNumberFormat="1" applyFont="1" applyBorder="1" applyAlignment="1">
      <alignment/>
    </xf>
    <xf numFmtId="42" fontId="7" fillId="0" borderId="6" xfId="19" applyNumberFormat="1" applyFont="1" applyBorder="1" applyAlignment="1">
      <alignment/>
    </xf>
    <xf numFmtId="42" fontId="7" fillId="0" borderId="111" xfId="0" applyNumberFormat="1" applyFont="1" applyBorder="1" applyAlignment="1" applyProtection="1">
      <alignment/>
      <protection/>
    </xf>
    <xf numFmtId="42" fontId="7" fillId="0" borderId="112" xfId="0" applyNumberFormat="1" applyFont="1" applyBorder="1" applyAlignment="1" applyProtection="1">
      <alignment/>
      <protection/>
    </xf>
    <xf numFmtId="42" fontId="7" fillId="0" borderId="11" xfId="0" applyNumberFormat="1" applyFont="1" applyBorder="1" applyAlignment="1" applyProtection="1">
      <alignment/>
      <protection/>
    </xf>
    <xf numFmtId="42" fontId="7" fillId="0" borderId="97" xfId="0" applyNumberFormat="1" applyFont="1" applyBorder="1" applyAlignment="1" applyProtection="1">
      <alignment/>
      <protection/>
    </xf>
    <xf numFmtId="42" fontId="7" fillId="0" borderId="16" xfId="0" applyNumberFormat="1" applyFont="1" applyBorder="1" applyAlignment="1" applyProtection="1">
      <alignment/>
      <protection/>
    </xf>
    <xf numFmtId="42" fontId="7" fillId="0" borderId="30" xfId="0" applyNumberFormat="1" applyFont="1" applyBorder="1" applyAlignment="1" applyProtection="1">
      <alignment/>
      <protection/>
    </xf>
    <xf numFmtId="42" fontId="7" fillId="0" borderId="83" xfId="0" applyNumberFormat="1" applyFont="1" applyFill="1" applyBorder="1" applyAlignment="1" applyProtection="1">
      <alignment/>
      <protection/>
    </xf>
    <xf numFmtId="42" fontId="7" fillId="0" borderId="0" xfId="0" applyNumberFormat="1" applyFont="1" applyFill="1" applyBorder="1" applyAlignment="1">
      <alignment/>
    </xf>
    <xf numFmtId="42" fontId="7" fillId="0" borderId="2" xfId="0" applyNumberFormat="1" applyFont="1" applyFill="1" applyBorder="1" applyAlignment="1">
      <alignment/>
    </xf>
    <xf numFmtId="42" fontId="7" fillId="0" borderId="131" xfId="0" applyNumberFormat="1" applyFont="1" applyBorder="1" applyAlignment="1">
      <alignment/>
    </xf>
    <xf numFmtId="42" fontId="7" fillId="0" borderId="111" xfId="0" applyNumberFormat="1" applyFont="1" applyFill="1" applyBorder="1" applyAlignment="1">
      <alignment/>
    </xf>
    <xf numFmtId="42" fontId="7" fillId="0" borderId="11" xfId="0" applyNumberFormat="1" applyFont="1" applyFill="1" applyBorder="1" applyAlignment="1">
      <alignment/>
    </xf>
    <xf numFmtId="42" fontId="7" fillId="0" borderId="16" xfId="0" applyNumberFormat="1" applyFont="1" applyFill="1" applyBorder="1" applyAlignment="1">
      <alignment/>
    </xf>
    <xf numFmtId="42" fontId="7" fillId="0" borderId="128" xfId="0" applyNumberFormat="1" applyFont="1" applyBorder="1" applyAlignment="1">
      <alignment/>
    </xf>
    <xf numFmtId="42" fontId="7" fillId="0" borderId="112" xfId="0" applyNumberFormat="1" applyFont="1" applyFill="1" applyBorder="1" applyAlignment="1">
      <alignment/>
    </xf>
    <xf numFmtId="42" fontId="7" fillId="0" borderId="97" xfId="0" applyNumberFormat="1" applyFont="1" applyFill="1" applyBorder="1" applyAlignment="1">
      <alignment/>
    </xf>
    <xf numFmtId="42" fontId="7" fillId="0" borderId="30" xfId="0" applyNumberFormat="1" applyFont="1" applyFill="1" applyBorder="1" applyAlignment="1">
      <alignment/>
    </xf>
    <xf numFmtId="42" fontId="7" fillId="0" borderId="16" xfId="0" applyNumberFormat="1" applyFont="1" applyFill="1" applyBorder="1" applyAlignment="1" applyProtection="1">
      <alignment/>
      <protection locked="0"/>
    </xf>
    <xf numFmtId="42" fontId="8" fillId="0" borderId="16" xfId="0" applyNumberFormat="1" applyFont="1" applyFill="1" applyBorder="1" applyAlignment="1">
      <alignment/>
    </xf>
    <xf numFmtId="42" fontId="7" fillId="2" borderId="11" xfId="22" applyNumberFormat="1" applyFill="1" applyBorder="1" applyAlignment="1">
      <alignment/>
    </xf>
    <xf numFmtId="44" fontId="8" fillId="0" borderId="137" xfId="0" applyNumberFormat="1" applyFont="1" applyBorder="1" applyAlignment="1">
      <alignment horizontal="left"/>
    </xf>
    <xf numFmtId="44" fontId="8" fillId="0" borderId="138" xfId="0" applyNumberFormat="1" applyFont="1" applyBorder="1" applyAlignment="1">
      <alignment horizontal="center"/>
    </xf>
    <xf numFmtId="44" fontId="8" fillId="0" borderId="137" xfId="0" applyNumberFormat="1" applyFont="1" applyBorder="1" applyAlignment="1">
      <alignment horizontal="center"/>
    </xf>
    <xf numFmtId="44" fontId="8" fillId="0" borderId="139" xfId="0" applyNumberFormat="1" applyFont="1" applyBorder="1" applyAlignment="1">
      <alignment horizontal="center"/>
    </xf>
    <xf numFmtId="44" fontId="7" fillId="0" borderId="137" xfId="0" applyNumberFormat="1" applyFont="1" applyBorder="1" applyAlignment="1">
      <alignment/>
    </xf>
    <xf numFmtId="44" fontId="7" fillId="0" borderId="138" xfId="0" applyNumberFormat="1" applyFont="1" applyBorder="1" applyAlignment="1">
      <alignment/>
    </xf>
    <xf numFmtId="44" fontId="7" fillId="0" borderId="139" xfId="0" applyNumberFormat="1" applyFont="1" applyBorder="1" applyAlignment="1">
      <alignment/>
    </xf>
    <xf numFmtId="44" fontId="7" fillId="0" borderId="137" xfId="0" applyNumberFormat="1" applyFont="1" applyBorder="1" applyAlignment="1">
      <alignment horizontal="center"/>
    </xf>
    <xf numFmtId="44" fontId="7" fillId="0" borderId="138" xfId="0" applyNumberFormat="1" applyFont="1" applyBorder="1" applyAlignment="1">
      <alignment horizontal="center"/>
    </xf>
    <xf numFmtId="44" fontId="7" fillId="0" borderId="139" xfId="0" applyNumberFormat="1" applyFont="1" applyBorder="1" applyAlignment="1">
      <alignment horizontal="center"/>
    </xf>
    <xf numFmtId="44" fontId="7" fillId="0" borderId="140" xfId="0" applyNumberFormat="1" applyFont="1" applyBorder="1" applyAlignment="1">
      <alignment/>
    </xf>
    <xf numFmtId="44" fontId="7" fillId="0" borderId="141" xfId="0" applyNumberFormat="1" applyFont="1" applyBorder="1" applyAlignment="1">
      <alignment/>
    </xf>
    <xf numFmtId="44" fontId="7" fillId="0" borderId="142" xfId="0" applyNumberFormat="1" applyFont="1" applyBorder="1" applyAlignment="1">
      <alignment/>
    </xf>
    <xf numFmtId="44" fontId="7" fillId="0" borderId="137" xfId="19" applyNumberFormat="1" applyFont="1" applyBorder="1" applyAlignment="1">
      <alignment/>
    </xf>
    <xf numFmtId="44" fontId="7" fillId="0" borderId="139" xfId="19" applyNumberFormat="1" applyFont="1" applyBorder="1" applyAlignment="1">
      <alignment/>
    </xf>
    <xf numFmtId="44" fontId="7" fillId="0" borderId="143" xfId="0" applyNumberFormat="1" applyFont="1" applyBorder="1" applyAlignment="1">
      <alignment/>
    </xf>
    <xf numFmtId="44" fontId="7" fillId="0" borderId="144" xfId="0" applyNumberFormat="1" applyFont="1" applyBorder="1" applyAlignment="1">
      <alignment/>
    </xf>
    <xf numFmtId="44" fontId="7" fillId="0" borderId="145" xfId="19" applyNumberFormat="1" applyFont="1" applyBorder="1" applyAlignment="1">
      <alignment/>
    </xf>
    <xf numFmtId="44" fontId="7" fillId="0" borderId="140" xfId="19" applyNumberFormat="1" applyFont="1" applyBorder="1" applyAlignment="1">
      <alignment/>
    </xf>
    <xf numFmtId="44" fontId="7" fillId="0" borderId="142" xfId="19" applyNumberFormat="1" applyFont="1" applyBorder="1" applyAlignment="1">
      <alignment/>
    </xf>
    <xf numFmtId="44" fontId="7" fillId="0" borderId="145" xfId="0" applyNumberFormat="1" applyFont="1" applyBorder="1" applyAlignment="1">
      <alignment/>
    </xf>
    <xf numFmtId="42" fontId="7" fillId="0" borderId="146" xfId="0" applyNumberFormat="1" applyFont="1" applyFill="1" applyBorder="1" applyAlignment="1">
      <alignment horizontal="right"/>
    </xf>
    <xf numFmtId="42" fontId="8" fillId="0" borderId="147" xfId="0" applyNumberFormat="1" applyFont="1" applyBorder="1" applyAlignment="1">
      <alignment horizontal="center"/>
    </xf>
    <xf numFmtId="42" fontId="7" fillId="0" borderId="148" xfId="0" applyNumberFormat="1" applyFont="1" applyBorder="1" applyAlignment="1">
      <alignment horizontal="right"/>
    </xf>
    <xf numFmtId="42" fontId="7" fillId="0" borderId="147" xfId="19" applyNumberFormat="1" applyFont="1" applyBorder="1" applyAlignment="1">
      <alignment horizontal="right"/>
    </xf>
    <xf numFmtId="42" fontId="7" fillId="0" borderId="147" xfId="0" applyNumberFormat="1" applyFont="1" applyBorder="1" applyAlignment="1">
      <alignment horizontal="right"/>
    </xf>
    <xf numFmtId="42" fontId="7" fillId="0" borderId="149" xfId="0" applyNumberFormat="1" applyFont="1" applyBorder="1" applyAlignment="1">
      <alignment horizontal="right"/>
    </xf>
    <xf numFmtId="42" fontId="7" fillId="5" borderId="148" xfId="0" applyNumberFormat="1" applyFont="1" applyFill="1" applyBorder="1" applyAlignment="1">
      <alignment horizontal="right"/>
    </xf>
    <xf numFmtId="42" fontId="7" fillId="0" borderId="150" xfId="0" applyNumberFormat="1" applyFont="1" applyBorder="1" applyAlignment="1">
      <alignment/>
    </xf>
    <xf numFmtId="42" fontId="7" fillId="0" borderId="150" xfId="0" applyNumberFormat="1" applyFont="1" applyBorder="1" applyAlignment="1">
      <alignment horizontal="right"/>
    </xf>
    <xf numFmtId="42" fontId="7" fillId="5" borderId="146" xfId="0" applyNumberFormat="1" applyFont="1" applyFill="1" applyBorder="1" applyAlignment="1">
      <alignment horizontal="right"/>
    </xf>
    <xf numFmtId="42" fontId="7" fillId="0" borderId="147" xfId="0" applyNumberFormat="1" applyFont="1" applyBorder="1" applyAlignment="1">
      <alignment/>
    </xf>
    <xf numFmtId="42" fontId="7" fillId="0" borderId="147" xfId="0" applyNumberFormat="1" applyFont="1" applyBorder="1" applyAlignment="1">
      <alignment horizontal="center"/>
    </xf>
    <xf numFmtId="42" fontId="7" fillId="0" borderId="148" xfId="0" applyNumberFormat="1" applyFont="1" applyBorder="1" applyAlignment="1">
      <alignment/>
    </xf>
    <xf numFmtId="42" fontId="7" fillId="0" borderId="149" xfId="0" applyNumberFormat="1" applyFont="1" applyBorder="1" applyAlignment="1">
      <alignment/>
    </xf>
    <xf numFmtId="42" fontId="7" fillId="5" borderId="148" xfId="0" applyNumberFormat="1" applyFont="1" applyFill="1" applyBorder="1" applyAlignment="1">
      <alignment/>
    </xf>
    <xf numFmtId="0" fontId="7" fillId="8" borderId="111" xfId="0" applyFont="1" applyFill="1" applyBorder="1" applyAlignment="1" applyProtection="1">
      <alignment/>
      <protection/>
    </xf>
    <xf numFmtId="0" fontId="7" fillId="8" borderId="11" xfId="0" applyFont="1" applyFill="1" applyBorder="1" applyAlignment="1" applyProtection="1">
      <alignment/>
      <protection/>
    </xf>
    <xf numFmtId="0" fontId="7" fillId="8" borderId="16" xfId="0" applyFont="1" applyFill="1" applyBorder="1" applyAlignment="1" applyProtection="1">
      <alignment/>
      <protection/>
    </xf>
    <xf numFmtId="166" fontId="7" fillId="8" borderId="14" xfId="0" applyNumberFormat="1" applyFont="1" applyFill="1" applyBorder="1" applyAlignment="1" applyProtection="1">
      <alignment horizontal="right"/>
      <protection/>
    </xf>
    <xf numFmtId="0" fontId="7" fillId="0" borderId="85" xfId="0" applyFont="1" applyFill="1" applyBorder="1" applyAlignment="1" applyProtection="1">
      <alignment horizontal="left"/>
      <protection/>
    </xf>
    <xf numFmtId="42" fontId="7" fillId="0" borderId="48" xfId="0" applyNumberFormat="1" applyFont="1" applyFill="1" applyBorder="1" applyAlignment="1" applyProtection="1">
      <alignment/>
      <protection/>
    </xf>
    <xf numFmtId="42" fontId="7" fillId="0" borderId="49" xfId="0" applyNumberFormat="1" applyFont="1" applyFill="1" applyBorder="1" applyAlignment="1" applyProtection="1">
      <alignment/>
      <protection/>
    </xf>
    <xf numFmtId="42" fontId="7" fillId="0" borderId="136" xfId="0" applyNumberFormat="1" applyFont="1" applyFill="1" applyBorder="1" applyAlignment="1" applyProtection="1">
      <alignment/>
      <protection/>
    </xf>
    <xf numFmtId="0" fontId="8" fillId="0" borderId="85" xfId="0" applyFont="1" applyFill="1" applyBorder="1" applyAlignment="1">
      <alignment horizontal="left"/>
    </xf>
    <xf numFmtId="42" fontId="7" fillId="2" borderId="11" xfId="0" applyNumberFormat="1" applyFont="1" applyFill="1" applyBorder="1" applyAlignment="1" applyProtection="1">
      <alignment/>
      <protection/>
    </xf>
    <xf numFmtId="2" fontId="7" fillId="0" borderId="14" xfId="0" applyNumberFormat="1" applyFont="1" applyFill="1" applyBorder="1" applyAlignment="1" quotePrefix="1">
      <alignment/>
    </xf>
    <xf numFmtId="167" fontId="7" fillId="8" borderId="111" xfId="0" applyNumberFormat="1" applyFont="1" applyFill="1" applyBorder="1" applyAlignment="1" applyProtection="1">
      <alignment/>
      <protection/>
    </xf>
    <xf numFmtId="167" fontId="7" fillId="8" borderId="11" xfId="0" applyNumberFormat="1" applyFont="1" applyFill="1" applyBorder="1" applyAlignment="1" applyProtection="1">
      <alignment/>
      <protection/>
    </xf>
    <xf numFmtId="167" fontId="7" fillId="8" borderId="16" xfId="0" applyNumberFormat="1" applyFont="1" applyFill="1" applyBorder="1" applyAlignment="1" applyProtection="1">
      <alignment/>
      <protection/>
    </xf>
    <xf numFmtId="166" fontId="7" fillId="8" borderId="111" xfId="0" applyNumberFormat="1" applyFont="1" applyFill="1" applyBorder="1" applyAlignment="1" applyProtection="1">
      <alignment/>
      <protection/>
    </xf>
    <xf numFmtId="166" fontId="7" fillId="8" borderId="11" xfId="0" applyNumberFormat="1" applyFont="1" applyFill="1" applyBorder="1" applyAlignment="1" applyProtection="1">
      <alignment/>
      <protection/>
    </xf>
    <xf numFmtId="42" fontId="7" fillId="2" borderId="11" xfId="0" applyNumberFormat="1" applyFont="1" applyFill="1" applyBorder="1" applyAlignment="1" applyProtection="1">
      <alignment/>
      <protection/>
    </xf>
    <xf numFmtId="169" fontId="7" fillId="8" borderId="85" xfId="0" applyNumberFormat="1" applyFont="1" applyFill="1" applyBorder="1" applyAlignment="1" applyProtection="1">
      <alignment/>
      <protection/>
    </xf>
    <xf numFmtId="166" fontId="7" fillId="8" borderId="111" xfId="0" applyNumberFormat="1" applyFont="1" applyFill="1" applyBorder="1" applyAlignment="1" applyProtection="1">
      <alignment/>
      <protection/>
    </xf>
    <xf numFmtId="166" fontId="7" fillId="8" borderId="11" xfId="0" applyNumberFormat="1" applyFont="1" applyFill="1" applyBorder="1" applyAlignment="1" applyProtection="1">
      <alignment/>
      <protection/>
    </xf>
    <xf numFmtId="166" fontId="7" fillId="8" borderId="16" xfId="0" applyNumberFormat="1" applyFont="1" applyFill="1" applyBorder="1" applyAlignment="1" applyProtection="1">
      <alignment/>
      <protection/>
    </xf>
    <xf numFmtId="42" fontId="7" fillId="0" borderId="7" xfId="0" applyNumberFormat="1" applyFont="1" applyFill="1" applyBorder="1" applyAlignment="1">
      <alignment/>
    </xf>
    <xf numFmtId="42" fontId="7" fillId="0" borderId="4" xfId="0" applyNumberFormat="1" applyFont="1" applyFill="1" applyBorder="1" applyAlignment="1">
      <alignment/>
    </xf>
    <xf numFmtId="42" fontId="0" fillId="2" borderId="16" xfId="19" applyNumberFormat="1" applyFill="1" applyBorder="1" applyAlignment="1">
      <alignment horizontal="center"/>
    </xf>
    <xf numFmtId="42" fontId="0" fillId="2" borderId="47" xfId="19" applyNumberFormat="1" applyFill="1" applyBorder="1" applyAlignment="1">
      <alignment horizontal="center"/>
    </xf>
    <xf numFmtId="42" fontId="0" fillId="2" borderId="11" xfId="19" applyNumberFormat="1" applyFill="1" applyBorder="1" applyAlignment="1">
      <alignment horizontal="center"/>
    </xf>
    <xf numFmtId="42" fontId="0" fillId="2" borderId="25" xfId="19" applyNumberFormat="1" applyFill="1" applyBorder="1" applyAlignment="1">
      <alignment horizontal="center"/>
    </xf>
    <xf numFmtId="42" fontId="8" fillId="0" borderId="6" xfId="0" applyNumberFormat="1" applyFont="1" applyFill="1" applyBorder="1" applyAlignment="1">
      <alignment/>
    </xf>
    <xf numFmtId="42" fontId="8" fillId="0" borderId="7" xfId="0" applyNumberFormat="1" applyFont="1" applyFill="1" applyBorder="1" applyAlignment="1">
      <alignment/>
    </xf>
    <xf numFmtId="42" fontId="7" fillId="0" borderId="151" xfId="0" applyNumberFormat="1" applyFont="1" applyFill="1" applyBorder="1" applyAlignment="1">
      <alignment/>
    </xf>
    <xf numFmtId="42" fontId="7" fillId="0" borderId="152" xfId="0" applyNumberFormat="1" applyFont="1" applyFill="1" applyBorder="1" applyAlignment="1">
      <alignment/>
    </xf>
    <xf numFmtId="1" fontId="7" fillId="0" borderId="11" xfId="31" applyNumberFormat="1" applyFill="1" applyBorder="1">
      <alignment/>
      <protection/>
    </xf>
    <xf numFmtId="0" fontId="23" fillId="0" borderId="0" xfId="0" applyFont="1" applyFill="1" applyBorder="1" applyAlignment="1">
      <alignment/>
    </xf>
    <xf numFmtId="4" fontId="23" fillId="0" borderId="0" xfId="0" applyNumberFormat="1" applyFont="1" applyFill="1" applyBorder="1" applyAlignment="1">
      <alignment/>
    </xf>
    <xf numFmtId="0" fontId="8" fillId="0" borderId="113" xfId="31" applyFont="1" applyFill="1" applyBorder="1">
      <alignment/>
      <protection/>
    </xf>
    <xf numFmtId="1" fontId="7" fillId="2" borderId="16" xfId="32" applyNumberFormat="1" applyFill="1" applyBorder="1">
      <alignment/>
      <protection/>
    </xf>
    <xf numFmtId="0" fontId="8" fillId="0" borderId="24" xfId="32" applyFont="1" applyFill="1" applyBorder="1">
      <alignment/>
      <protection/>
    </xf>
    <xf numFmtId="0" fontId="7" fillId="0" borderId="25" xfId="32" applyFill="1" applyBorder="1">
      <alignment/>
      <protection/>
    </xf>
    <xf numFmtId="0" fontId="7" fillId="0" borderId="26" xfId="32" applyFill="1" applyBorder="1">
      <alignment/>
      <protection/>
    </xf>
    <xf numFmtId="0" fontId="7" fillId="0" borderId="85" xfId="32" applyFont="1" applyFill="1" applyBorder="1">
      <alignment/>
      <protection/>
    </xf>
    <xf numFmtId="178" fontId="7" fillId="0" borderId="11" xfId="23" applyNumberFormat="1" applyFill="1" applyBorder="1" applyAlignment="1">
      <alignment/>
    </xf>
    <xf numFmtId="0" fontId="7" fillId="0" borderId="11" xfId="32" applyFill="1" applyBorder="1" applyAlignment="1">
      <alignment horizontal="right"/>
      <protection/>
    </xf>
    <xf numFmtId="0" fontId="7" fillId="0" borderId="11" xfId="32" applyFont="1" applyFill="1" applyBorder="1">
      <alignment/>
      <protection/>
    </xf>
    <xf numFmtId="0" fontId="7" fillId="0" borderId="97" xfId="32" applyFill="1" applyBorder="1">
      <alignment/>
      <protection/>
    </xf>
    <xf numFmtId="0" fontId="7" fillId="0" borderId="85" xfId="32" applyFill="1" applyBorder="1">
      <alignment/>
      <protection/>
    </xf>
    <xf numFmtId="0" fontId="7" fillId="0" borderId="97" xfId="32" applyFont="1" applyFill="1" applyBorder="1">
      <alignment/>
      <protection/>
    </xf>
    <xf numFmtId="0" fontId="7" fillId="0" borderId="11" xfId="32" applyFill="1" applyBorder="1">
      <alignment/>
      <protection/>
    </xf>
    <xf numFmtId="0" fontId="7" fillId="0" borderId="29" xfId="32" applyFont="1" applyFill="1" applyBorder="1">
      <alignment/>
      <protection/>
    </xf>
    <xf numFmtId="178" fontId="7" fillId="0" borderId="16" xfId="23" applyNumberFormat="1" applyFill="1" applyBorder="1" applyAlignment="1">
      <alignment/>
    </xf>
    <xf numFmtId="0" fontId="7" fillId="0" borderId="16" xfId="32" applyFill="1" applyBorder="1">
      <alignment/>
      <protection/>
    </xf>
    <xf numFmtId="0" fontId="7" fillId="0" borderId="16" xfId="32" applyFont="1" applyFill="1" applyBorder="1">
      <alignment/>
      <protection/>
    </xf>
    <xf numFmtId="0" fontId="7" fillId="0" borderId="30" xfId="32" applyFill="1" applyBorder="1">
      <alignment/>
      <protection/>
    </xf>
    <xf numFmtId="0" fontId="8" fillId="0" borderId="24" xfId="32" applyFont="1" applyFill="1" applyBorder="1">
      <alignment/>
      <protection/>
    </xf>
    <xf numFmtId="178" fontId="7" fillId="0" borderId="25" xfId="23" applyNumberFormat="1" applyFill="1" applyBorder="1" applyAlignment="1">
      <alignment/>
    </xf>
    <xf numFmtId="0" fontId="7" fillId="2" borderId="16" xfId="32" applyFill="1" applyBorder="1">
      <alignment/>
      <protection/>
    </xf>
    <xf numFmtId="0" fontId="0" fillId="0" borderId="11" xfId="33" applyFill="1" applyBorder="1">
      <alignment/>
      <protection/>
    </xf>
    <xf numFmtId="2" fontId="0" fillId="0" borderId="11" xfId="33" applyNumberFormat="1" applyFill="1" applyBorder="1">
      <alignment/>
      <protection/>
    </xf>
    <xf numFmtId="9" fontId="7" fillId="0" borderId="11" xfId="27" applyNumberFormat="1" applyFill="1" applyBorder="1">
      <alignment/>
      <protection/>
    </xf>
    <xf numFmtId="1" fontId="7" fillId="0" borderId="11" xfId="27" applyNumberFormat="1" applyFill="1" applyBorder="1">
      <alignment/>
      <protection/>
    </xf>
    <xf numFmtId="0" fontId="7" fillId="0" borderId="11" xfId="27" applyBorder="1">
      <alignment/>
      <protection/>
    </xf>
    <xf numFmtId="1" fontId="7" fillId="0" borderId="11" xfId="27" applyNumberFormat="1" applyBorder="1">
      <alignment/>
      <protection/>
    </xf>
    <xf numFmtId="2" fontId="7" fillId="0" borderId="11" xfId="27" applyNumberFormat="1" applyBorder="1">
      <alignment/>
      <protection/>
    </xf>
    <xf numFmtId="178" fontId="7" fillId="0" borderId="11" xfId="21" applyNumberFormat="1" applyBorder="1" applyAlignment="1">
      <alignment/>
    </xf>
    <xf numFmtId="164" fontId="7" fillId="0" borderId="11" xfId="21" applyNumberFormat="1" applyBorder="1" applyAlignment="1">
      <alignment/>
    </xf>
    <xf numFmtId="1" fontId="7" fillId="0" borderId="16" xfId="0" applyNumberFormat="1" applyFont="1" applyFill="1" applyBorder="1" applyAlignment="1" applyProtection="1">
      <alignment/>
      <protection/>
    </xf>
    <xf numFmtId="0" fontId="7" fillId="0" borderId="82" xfId="0" applyFont="1" applyFill="1" applyBorder="1" applyAlignment="1">
      <alignment/>
    </xf>
    <xf numFmtId="2" fontId="7" fillId="0" borderId="11" xfId="0" applyNumberFormat="1" applyFont="1" applyFill="1" applyBorder="1" applyAlignment="1" applyProtection="1">
      <alignment/>
      <protection/>
    </xf>
    <xf numFmtId="0" fontId="7" fillId="0" borderId="25" xfId="0" applyFont="1" applyFill="1" applyBorder="1" applyAlignment="1">
      <alignment/>
    </xf>
    <xf numFmtId="0" fontId="7" fillId="0" borderId="24" xfId="0" applyFont="1" applyBorder="1" applyAlignment="1">
      <alignment horizontal="left"/>
    </xf>
    <xf numFmtId="0" fontId="7" fillId="0" borderId="85" xfId="0" applyFont="1" applyBorder="1" applyAlignment="1">
      <alignment horizontal="left"/>
    </xf>
    <xf numFmtId="42" fontId="7" fillId="0" borderId="82" xfId="0" applyNumberFormat="1" applyFont="1" applyFill="1" applyBorder="1" applyAlignment="1" applyProtection="1">
      <alignment/>
      <protection/>
    </xf>
    <xf numFmtId="42" fontId="7" fillId="0" borderId="82" xfId="0" applyNumberFormat="1" applyFont="1" applyFill="1" applyBorder="1" applyAlignment="1">
      <alignment/>
    </xf>
    <xf numFmtId="0" fontId="7" fillId="0" borderId="24" xfId="0" applyFont="1" applyFill="1" applyBorder="1" applyAlignment="1">
      <alignment/>
    </xf>
    <xf numFmtId="0" fontId="7" fillId="0" borderId="26" xfId="0" applyFont="1" applyBorder="1" applyAlignment="1">
      <alignment/>
    </xf>
    <xf numFmtId="0" fontId="7" fillId="0" borderId="97" xfId="0" applyFont="1" applyBorder="1" applyAlignment="1">
      <alignment/>
    </xf>
    <xf numFmtId="0" fontId="7" fillId="0" borderId="24" xfId="0" applyFont="1" applyFill="1" applyBorder="1" applyAlignment="1">
      <alignment horizontal="left"/>
    </xf>
    <xf numFmtId="42" fontId="7" fillId="0" borderId="26" xfId="0" applyNumberFormat="1" applyFont="1" applyFill="1" applyBorder="1" applyAlignment="1">
      <alignment/>
    </xf>
    <xf numFmtId="44" fontId="7" fillId="0" borderId="16" xfId="0" applyNumberFormat="1" applyFont="1" applyFill="1" applyBorder="1" applyAlignment="1" applyProtection="1">
      <alignment/>
      <protection/>
    </xf>
    <xf numFmtId="44" fontId="7" fillId="0" borderId="25" xfId="0" applyNumberFormat="1" applyFont="1" applyFill="1" applyBorder="1" applyAlignment="1">
      <alignment/>
    </xf>
    <xf numFmtId="44" fontId="7" fillId="8" borderId="26" xfId="0" applyNumberFormat="1" applyFont="1" applyFill="1" applyBorder="1" applyAlignment="1">
      <alignment/>
    </xf>
    <xf numFmtId="0" fontId="7" fillId="8" borderId="30" xfId="0" applyFont="1" applyFill="1" applyBorder="1" applyAlignment="1">
      <alignment/>
    </xf>
    <xf numFmtId="0" fontId="7" fillId="8" borderId="26" xfId="0" applyFont="1" applyFill="1" applyBorder="1" applyAlignment="1">
      <alignment/>
    </xf>
    <xf numFmtId="44" fontId="7" fillId="8" borderId="30" xfId="0" applyNumberFormat="1" applyFont="1" applyFill="1" applyBorder="1" applyAlignment="1">
      <alignment/>
    </xf>
    <xf numFmtId="0" fontId="7" fillId="8" borderId="97" xfId="0" applyFont="1" applyFill="1" applyBorder="1" applyAlignment="1">
      <alignment/>
    </xf>
    <xf numFmtId="0" fontId="7" fillId="2" borderId="25" xfId="0" applyFont="1" applyFill="1" applyBorder="1" applyAlignment="1">
      <alignment horizontal="right"/>
    </xf>
    <xf numFmtId="1" fontId="7" fillId="2" borderId="16" xfId="0" applyNumberFormat="1" applyFont="1" applyFill="1" applyBorder="1" applyAlignment="1" applyProtection="1">
      <alignment/>
      <protection/>
    </xf>
    <xf numFmtId="44" fontId="7" fillId="2" borderId="25" xfId="0" applyNumberFormat="1" applyFont="1" applyFill="1" applyBorder="1" applyAlignment="1" applyProtection="1">
      <alignment/>
      <protection/>
    </xf>
    <xf numFmtId="0" fontId="7" fillId="0" borderId="15" xfId="0" applyFont="1" applyFill="1" applyBorder="1" applyAlignment="1">
      <alignment horizontal="center"/>
    </xf>
    <xf numFmtId="0" fontId="7" fillId="0" borderId="153" xfId="0" applyFont="1" applyBorder="1" applyAlignment="1">
      <alignment horizontal="center"/>
    </xf>
    <xf numFmtId="164" fontId="7" fillId="0" borderId="25" xfId="0" applyNumberFormat="1" applyFont="1" applyFill="1" applyBorder="1" applyAlignment="1">
      <alignment/>
    </xf>
    <xf numFmtId="0" fontId="7" fillId="0" borderId="26" xfId="0" applyFont="1" applyBorder="1" applyAlignment="1">
      <alignment horizontal="center"/>
    </xf>
    <xf numFmtId="0" fontId="7" fillId="0" borderId="97" xfId="0" applyFont="1" applyBorder="1" applyAlignment="1">
      <alignment horizontal="center"/>
    </xf>
    <xf numFmtId="2" fontId="7" fillId="0" borderId="16" xfId="0" applyNumberFormat="1" applyFont="1" applyFill="1" applyBorder="1" applyAlignment="1">
      <alignment/>
    </xf>
    <xf numFmtId="168" fontId="7" fillId="2" borderId="11" xfId="0" applyNumberFormat="1" applyFont="1" applyFill="1" applyBorder="1" applyAlignment="1" applyProtection="1">
      <alignment/>
      <protection/>
    </xf>
    <xf numFmtId="168" fontId="7" fillId="0" borderId="97" xfId="0" applyNumberFormat="1" applyFont="1" applyBorder="1" applyAlignment="1" applyProtection="1">
      <alignment/>
      <protection/>
    </xf>
    <xf numFmtId="168" fontId="7" fillId="0" borderId="11" xfId="0" applyNumberFormat="1" applyFont="1" applyFill="1" applyBorder="1" applyAlignment="1" applyProtection="1">
      <alignment horizontal="left"/>
      <protection/>
    </xf>
    <xf numFmtId="171" fontId="7" fillId="2" borderId="11" xfId="0" applyNumberFormat="1" applyFont="1" applyFill="1" applyBorder="1" applyAlignment="1" applyProtection="1">
      <alignment/>
      <protection/>
    </xf>
    <xf numFmtId="168" fontId="7" fillId="0" borderId="97" xfId="0" applyNumberFormat="1" applyFont="1" applyBorder="1" applyAlignment="1" applyProtection="1">
      <alignment horizontal="right"/>
      <protection/>
    </xf>
    <xf numFmtId="168" fontId="7" fillId="0" borderId="16" xfId="0" applyNumberFormat="1" applyFont="1" applyFill="1" applyBorder="1" applyAlignment="1" applyProtection="1">
      <alignment/>
      <protection/>
    </xf>
    <xf numFmtId="168" fontId="7" fillId="0" borderId="30" xfId="0" applyNumberFormat="1" applyFont="1" applyBorder="1" applyAlignment="1" applyProtection="1">
      <alignment/>
      <protection/>
    </xf>
    <xf numFmtId="2" fontId="7" fillId="0" borderId="25" xfId="0" applyNumberFormat="1" applyFont="1" applyFill="1" applyBorder="1" applyAlignment="1" applyProtection="1">
      <alignment/>
      <protection/>
    </xf>
    <xf numFmtId="2" fontId="7" fillId="0" borderId="26" xfId="0" applyNumberFormat="1" applyFont="1" applyBorder="1" applyAlignment="1">
      <alignment/>
    </xf>
    <xf numFmtId="2" fontId="7" fillId="2" borderId="11" xfId="0" applyNumberFormat="1" applyFont="1" applyFill="1" applyBorder="1" applyAlignment="1" applyProtection="1">
      <alignment/>
      <protection/>
    </xf>
    <xf numFmtId="2" fontId="7" fillId="0" borderId="97" xfId="0" applyNumberFormat="1" applyFont="1" applyBorder="1" applyAlignment="1">
      <alignment/>
    </xf>
    <xf numFmtId="37" fontId="7" fillId="0" borderId="25" xfId="0" applyNumberFormat="1" applyFont="1" applyFill="1" applyBorder="1" applyAlignment="1" applyProtection="1">
      <alignment/>
      <protection/>
    </xf>
    <xf numFmtId="37" fontId="7" fillId="0" borderId="16" xfId="0" applyNumberFormat="1" applyFont="1" applyFill="1" applyBorder="1" applyAlignment="1" applyProtection="1">
      <alignment/>
      <protection/>
    </xf>
    <xf numFmtId="37" fontId="7" fillId="0" borderId="11" xfId="0" applyNumberFormat="1" applyFont="1" applyFill="1" applyBorder="1" applyAlignment="1">
      <alignment/>
    </xf>
    <xf numFmtId="39" fontId="7" fillId="2" borderId="16" xfId="0" applyNumberFormat="1" applyFont="1" applyFill="1" applyBorder="1" applyAlignment="1">
      <alignment/>
    </xf>
    <xf numFmtId="7" fontId="7" fillId="2" borderId="25" xfId="0" applyNumberFormat="1" applyFont="1" applyFill="1" applyBorder="1" applyAlignment="1" applyProtection="1">
      <alignment/>
      <protection/>
    </xf>
    <xf numFmtId="0" fontId="7" fillId="2" borderId="25" xfId="0" applyFont="1" applyFill="1" applyBorder="1" applyAlignment="1">
      <alignment/>
    </xf>
    <xf numFmtId="38" fontId="7" fillId="0" borderId="25" xfId="15" applyNumberFormat="1" applyFont="1" applyFill="1" applyBorder="1" applyAlignment="1">
      <alignment/>
    </xf>
    <xf numFmtId="38" fontId="7" fillId="0" borderId="16" xfId="15" applyNumberFormat="1" applyFont="1" applyFill="1" applyBorder="1" applyAlignment="1">
      <alignment/>
    </xf>
    <xf numFmtId="0" fontId="7" fillId="0" borderId="129" xfId="0" applyFont="1" applyBorder="1" applyAlignment="1">
      <alignment/>
    </xf>
    <xf numFmtId="0" fontId="7" fillId="0" borderId="154" xfId="0" applyFont="1" applyFill="1" applyBorder="1" applyAlignment="1">
      <alignment/>
    </xf>
    <xf numFmtId="6" fontId="7" fillId="0" borderId="154" xfId="19" applyNumberFormat="1" applyFont="1" applyFill="1" applyBorder="1" applyAlignment="1">
      <alignment/>
    </xf>
    <xf numFmtId="0" fontId="7" fillId="0" borderId="130" xfId="0" applyFont="1" applyBorder="1" applyAlignment="1">
      <alignment/>
    </xf>
    <xf numFmtId="0" fontId="8" fillId="0" borderId="29" xfId="0" applyFont="1" applyBorder="1" applyAlignment="1">
      <alignment/>
    </xf>
    <xf numFmtId="0" fontId="7" fillId="0" borderId="25" xfId="0" applyFont="1" applyFill="1" applyBorder="1" applyAlignment="1">
      <alignment horizontal="center"/>
    </xf>
    <xf numFmtId="9" fontId="7" fillId="0" borderId="11" xfId="34" applyFont="1" applyBorder="1" applyAlignment="1">
      <alignment/>
    </xf>
    <xf numFmtId="165" fontId="7" fillId="0" borderId="11" xfId="0" applyNumberFormat="1" applyFont="1" applyBorder="1" applyAlignment="1">
      <alignment/>
    </xf>
    <xf numFmtId="6" fontId="7" fillId="0" borderId="11" xfId="19" applyNumberFormat="1" applyFont="1" applyBorder="1" applyAlignment="1">
      <alignment/>
    </xf>
    <xf numFmtId="11" fontId="7" fillId="0" borderId="11" xfId="0" applyNumberFormat="1" applyFont="1" applyBorder="1" applyAlignment="1">
      <alignment/>
    </xf>
    <xf numFmtId="0" fontId="19" fillId="0" borderId="117" xfId="31" applyFont="1" applyFill="1" applyBorder="1">
      <alignment/>
      <protection/>
    </xf>
    <xf numFmtId="0" fontId="0" fillId="8" borderId="11" xfId="0" applyFill="1" applyBorder="1" applyAlignment="1">
      <alignment/>
    </xf>
    <xf numFmtId="0" fontId="0" fillId="9" borderId="11" xfId="0" applyFill="1" applyBorder="1" applyAlignment="1">
      <alignment/>
    </xf>
    <xf numFmtId="0" fontId="0" fillId="0" borderId="0" xfId="0" applyAlignment="1" quotePrefix="1">
      <alignment/>
    </xf>
    <xf numFmtId="0" fontId="53" fillId="0" borderId="0" xfId="0" applyFont="1" applyAlignment="1">
      <alignment/>
    </xf>
    <xf numFmtId="0" fontId="55" fillId="0" borderId="0" xfId="31" applyFont="1" applyFill="1" applyBorder="1">
      <alignment/>
      <protection/>
    </xf>
    <xf numFmtId="42" fontId="8" fillId="0" borderId="82" xfId="32" applyNumberFormat="1" applyFont="1" applyFill="1" applyBorder="1">
      <alignment/>
      <protection/>
    </xf>
    <xf numFmtId="0" fontId="55" fillId="0" borderId="0" xfId="0" applyFont="1" applyFill="1" applyBorder="1" applyAlignment="1">
      <alignment/>
    </xf>
    <xf numFmtId="0" fontId="7" fillId="0" borderId="13" xfId="0" applyFont="1" applyFill="1" applyBorder="1" applyAlignment="1">
      <alignment horizontal="left"/>
    </xf>
    <xf numFmtId="0" fontId="7" fillId="10" borderId="0" xfId="32" applyFont="1" applyFill="1">
      <alignment/>
      <protection/>
    </xf>
    <xf numFmtId="0" fontId="54" fillId="0" borderId="0" xfId="32" applyFont="1" applyFill="1">
      <alignment/>
      <protection/>
    </xf>
    <xf numFmtId="0" fontId="55" fillId="0" borderId="0" xfId="29" applyFont="1">
      <alignment/>
      <protection/>
    </xf>
    <xf numFmtId="0" fontId="56" fillId="0" borderId="0" xfId="33" applyFont="1">
      <alignment/>
      <protection/>
    </xf>
    <xf numFmtId="1" fontId="7" fillId="8" borderId="11" xfId="0" applyNumberFormat="1" applyFont="1" applyFill="1" applyBorder="1" applyAlignment="1">
      <alignment/>
    </xf>
    <xf numFmtId="0" fontId="54" fillId="0" borderId="0" xfId="0" applyFont="1" applyAlignment="1">
      <alignment/>
    </xf>
    <xf numFmtId="1" fontId="54" fillId="0" borderId="11" xfId="0" applyNumberFormat="1" applyFont="1" applyFill="1" applyBorder="1" applyAlignment="1">
      <alignment/>
    </xf>
    <xf numFmtId="0" fontId="0" fillId="10" borderId="1" xfId="0" applyFont="1" applyFill="1" applyBorder="1" applyAlignment="1">
      <alignment/>
    </xf>
    <xf numFmtId="0" fontId="0" fillId="10" borderId="0" xfId="0" applyFont="1" applyFill="1" applyAlignment="1">
      <alignment/>
    </xf>
    <xf numFmtId="0" fontId="0" fillId="0" borderId="13" xfId="0" applyFill="1" applyBorder="1" applyAlignment="1">
      <alignment/>
    </xf>
    <xf numFmtId="0" fontId="0" fillId="0" borderId="45" xfId="0" applyFill="1" applyBorder="1" applyAlignment="1">
      <alignment/>
    </xf>
    <xf numFmtId="0" fontId="7" fillId="0" borderId="11" xfId="29" applyBorder="1">
      <alignment/>
      <protection/>
    </xf>
    <xf numFmtId="0" fontId="8" fillId="0" borderId="11" xfId="29" applyFont="1" applyBorder="1" applyAlignment="1">
      <alignment horizontal="center"/>
      <protection/>
    </xf>
    <xf numFmtId="11" fontId="7" fillId="0" borderId="11" xfId="29" applyNumberFormat="1" applyBorder="1">
      <alignment/>
      <protection/>
    </xf>
    <xf numFmtId="11" fontId="7" fillId="0" borderId="11" xfId="29" applyNumberFormat="1" applyFont="1" applyBorder="1">
      <alignment/>
      <protection/>
    </xf>
    <xf numFmtId="0" fontId="7" fillId="0" borderId="11" xfId="29" applyFont="1" applyBorder="1">
      <alignment/>
      <protection/>
    </xf>
    <xf numFmtId="1" fontId="7" fillId="0" borderId="11" xfId="29" applyNumberFormat="1" applyBorder="1">
      <alignment/>
      <protection/>
    </xf>
    <xf numFmtId="1" fontId="7" fillId="0" borderId="11" xfId="29" applyNumberFormat="1" applyFont="1" applyBorder="1">
      <alignment/>
      <protection/>
    </xf>
    <xf numFmtId="0" fontId="7" fillId="0" borderId="11" xfId="29" applyFont="1" applyFill="1" applyBorder="1">
      <alignment/>
      <protection/>
    </xf>
    <xf numFmtId="11" fontId="7" fillId="2" borderId="11" xfId="29" applyNumberFormat="1" applyFill="1" applyBorder="1">
      <alignment/>
      <protection/>
    </xf>
    <xf numFmtId="2" fontId="7" fillId="0" borderId="11" xfId="29" applyNumberFormat="1" applyBorder="1">
      <alignment/>
      <protection/>
    </xf>
    <xf numFmtId="1" fontId="7" fillId="8" borderId="11" xfId="29" applyNumberFormat="1" applyFont="1" applyFill="1" applyBorder="1">
      <alignment/>
      <protection/>
    </xf>
    <xf numFmtId="0" fontId="7" fillId="0" borderId="11" xfId="29" applyFill="1" applyBorder="1">
      <alignment/>
      <protection/>
    </xf>
    <xf numFmtId="0" fontId="7" fillId="8" borderId="11" xfId="29" applyFill="1" applyBorder="1">
      <alignment/>
      <protection/>
    </xf>
    <xf numFmtId="11" fontId="7" fillId="8" borderId="11" xfId="29" applyNumberFormat="1" applyFill="1" applyBorder="1">
      <alignment/>
      <protection/>
    </xf>
    <xf numFmtId="187" fontId="7" fillId="0" borderId="11" xfId="29" applyNumberFormat="1" applyBorder="1">
      <alignment/>
      <protection/>
    </xf>
    <xf numFmtId="188" fontId="7" fillId="0" borderId="11" xfId="29" applyNumberFormat="1" applyBorder="1">
      <alignment/>
      <protection/>
    </xf>
    <xf numFmtId="165" fontId="7" fillId="2" borderId="11" xfId="29" applyNumberFormat="1" applyFill="1" applyBorder="1">
      <alignment/>
      <protection/>
    </xf>
    <xf numFmtId="165" fontId="7" fillId="8" borderId="11" xfId="29" applyNumberFormat="1" applyFont="1" applyFill="1" applyBorder="1">
      <alignment/>
      <protection/>
    </xf>
    <xf numFmtId="165" fontId="7" fillId="8" borderId="11" xfId="29" applyNumberFormat="1" applyFill="1" applyBorder="1">
      <alignment/>
      <protection/>
    </xf>
    <xf numFmtId="174" fontId="7" fillId="0" borderId="11" xfId="29" applyNumberFormat="1" applyBorder="1">
      <alignment/>
      <protection/>
    </xf>
    <xf numFmtId="0" fontId="41" fillId="0" borderId="0" xfId="29" applyFont="1">
      <alignment/>
      <protection/>
    </xf>
    <xf numFmtId="0" fontId="0" fillId="0" borderId="0" xfId="0" applyFill="1" applyBorder="1" applyAlignment="1" quotePrefix="1">
      <alignment/>
    </xf>
    <xf numFmtId="0" fontId="7" fillId="11" borderId="0" xfId="29" applyFont="1" applyFill="1">
      <alignment/>
      <protection/>
    </xf>
    <xf numFmtId="0" fontId="8" fillId="0" borderId="3" xfId="29" applyFont="1" applyBorder="1">
      <alignment/>
      <protection/>
    </xf>
    <xf numFmtId="0" fontId="7" fillId="0" borderId="0" xfId="29" applyBorder="1">
      <alignment/>
      <protection/>
    </xf>
    <xf numFmtId="0" fontId="7" fillId="0" borderId="4" xfId="29" applyBorder="1">
      <alignment/>
      <protection/>
    </xf>
    <xf numFmtId="0" fontId="7" fillId="0" borderId="85" xfId="29" applyBorder="1">
      <alignment/>
      <protection/>
    </xf>
    <xf numFmtId="2" fontId="7" fillId="0" borderId="97" xfId="29" applyNumberFormat="1" applyBorder="1">
      <alignment/>
      <protection/>
    </xf>
    <xf numFmtId="174" fontId="7" fillId="0" borderId="97" xfId="29" applyNumberFormat="1" applyBorder="1">
      <alignment/>
      <protection/>
    </xf>
    <xf numFmtId="0" fontId="7" fillId="0" borderId="97" xfId="29" applyBorder="1">
      <alignment/>
      <protection/>
    </xf>
    <xf numFmtId="187" fontId="7" fillId="0" borderId="97" xfId="29" applyNumberFormat="1" applyBorder="1">
      <alignment/>
      <protection/>
    </xf>
    <xf numFmtId="0" fontId="7" fillId="0" borderId="85" xfId="29" applyFont="1" applyBorder="1">
      <alignment/>
      <protection/>
    </xf>
    <xf numFmtId="0" fontId="7" fillId="0" borderId="3" xfId="29" applyFont="1" applyBorder="1">
      <alignment/>
      <protection/>
    </xf>
    <xf numFmtId="11" fontId="7" fillId="0" borderId="0" xfId="29" applyNumberFormat="1" applyBorder="1">
      <alignment/>
      <protection/>
    </xf>
    <xf numFmtId="11" fontId="7" fillId="0" borderId="4" xfId="29" applyNumberFormat="1" applyBorder="1">
      <alignment/>
      <protection/>
    </xf>
    <xf numFmtId="2" fontId="7" fillId="0" borderId="16" xfId="29" applyNumberFormat="1" applyBorder="1">
      <alignment/>
      <protection/>
    </xf>
    <xf numFmtId="2" fontId="7" fillId="0" borderId="30" xfId="29" applyNumberFormat="1" applyBorder="1">
      <alignment/>
      <protection/>
    </xf>
    <xf numFmtId="0" fontId="8" fillId="10" borderId="11" xfId="0" applyFont="1" applyFill="1" applyBorder="1" applyAlignment="1">
      <alignment/>
    </xf>
    <xf numFmtId="0" fontId="7" fillId="0" borderId="46" xfId="0" applyFont="1" applyBorder="1" applyAlignment="1" applyProtection="1">
      <alignment/>
      <protection/>
    </xf>
    <xf numFmtId="39" fontId="7" fillId="0" borderId="11" xfId="0" applyNumberFormat="1" applyFont="1" applyFill="1" applyBorder="1" applyAlignment="1" applyProtection="1">
      <alignment/>
      <protection/>
    </xf>
    <xf numFmtId="40" fontId="7" fillId="0" borderId="11" xfId="15" applyNumberFormat="1" applyFont="1" applyFill="1" applyBorder="1" applyAlignment="1" applyProtection="1">
      <alignment/>
      <protection/>
    </xf>
    <xf numFmtId="38" fontId="7" fillId="0" borderId="11" xfId="15" applyNumberFormat="1" applyFont="1" applyFill="1" applyBorder="1" applyAlignment="1" applyProtection="1">
      <alignment/>
      <protection/>
    </xf>
    <xf numFmtId="173" fontId="7" fillId="0" borderId="11" xfId="0" applyNumberFormat="1" applyFont="1" applyFill="1" applyBorder="1" applyAlignment="1">
      <alignment/>
    </xf>
    <xf numFmtId="0" fontId="8" fillId="0" borderId="14" xfId="0" applyFont="1" applyFill="1" applyBorder="1" applyAlignment="1">
      <alignment horizontal="center"/>
    </xf>
    <xf numFmtId="0" fontId="7" fillId="0" borderId="117" xfId="0" applyFont="1" applyFill="1" applyBorder="1" applyAlignment="1">
      <alignment horizontal="left"/>
    </xf>
    <xf numFmtId="42" fontId="7" fillId="0" borderId="0" xfId="0" applyNumberFormat="1" applyFont="1" applyFill="1" applyBorder="1" applyAlignment="1" applyProtection="1">
      <alignment/>
      <protection/>
    </xf>
    <xf numFmtId="42" fontId="7" fillId="0" borderId="0" xfId="0" applyNumberFormat="1" applyFont="1" applyFill="1" applyBorder="1" applyAlignment="1" applyProtection="1">
      <alignment/>
      <protection/>
    </xf>
    <xf numFmtId="42" fontId="8" fillId="0" borderId="0" xfId="0" applyNumberFormat="1" applyFont="1" applyFill="1" applyBorder="1" applyAlignment="1" applyProtection="1">
      <alignment/>
      <protection/>
    </xf>
    <xf numFmtId="0" fontId="7" fillId="0" borderId="11" xfId="28" applyBorder="1">
      <alignment/>
      <protection/>
    </xf>
    <xf numFmtId="0" fontId="7" fillId="0" borderId="11" xfId="28" applyFill="1" applyBorder="1">
      <alignment/>
      <protection/>
    </xf>
    <xf numFmtId="0" fontId="7" fillId="0" borderId="11" xfId="28" applyFont="1" applyFill="1" applyBorder="1">
      <alignment/>
      <protection/>
    </xf>
    <xf numFmtId="0" fontId="7" fillId="0" borderId="11" xfId="28" applyFill="1" applyBorder="1" applyAlignment="1">
      <alignment horizontal="right"/>
      <protection/>
    </xf>
    <xf numFmtId="0" fontId="7" fillId="0" borderId="1" xfId="0" applyFont="1" applyFill="1" applyBorder="1" applyAlignment="1">
      <alignment horizontal="left"/>
    </xf>
    <xf numFmtId="169" fontId="7" fillId="0" borderId="84" xfId="0" applyNumberFormat="1" applyFont="1" applyFill="1" applyBorder="1" applyAlignment="1" applyProtection="1">
      <alignment/>
      <protection/>
    </xf>
    <xf numFmtId="169" fontId="7" fillId="0" borderId="38" xfId="0" applyNumberFormat="1" applyFont="1" applyFill="1" applyBorder="1" applyAlignment="1" applyProtection="1">
      <alignment/>
      <protection/>
    </xf>
    <xf numFmtId="0" fontId="7" fillId="0" borderId="126" xfId="0" applyFont="1" applyBorder="1" applyAlignment="1">
      <alignment horizontal="center"/>
    </xf>
    <xf numFmtId="0" fontId="7" fillId="0" borderId="155" xfId="0" applyFont="1" applyFill="1" applyBorder="1" applyAlignment="1">
      <alignment horizontal="left"/>
    </xf>
    <xf numFmtId="0" fontId="7" fillId="0" borderId="156" xfId="0" applyFont="1" applyFill="1" applyBorder="1" applyAlignment="1">
      <alignment horizontal="left"/>
    </xf>
    <xf numFmtId="0" fontId="7" fillId="0" borderId="156" xfId="0" applyFont="1" applyFill="1" applyBorder="1" applyAlignment="1">
      <alignment/>
    </xf>
    <xf numFmtId="0" fontId="7" fillId="0" borderId="123" xfId="0" applyFont="1" applyFill="1" applyBorder="1" applyAlignment="1">
      <alignment/>
    </xf>
    <xf numFmtId="0" fontId="8" fillId="0" borderId="24" xfId="0" applyFont="1" applyFill="1" applyBorder="1" applyAlignment="1">
      <alignment horizontal="center"/>
    </xf>
    <xf numFmtId="0" fontId="7" fillId="0" borderId="26" xfId="0" applyFont="1" applyFill="1" applyBorder="1" applyAlignment="1">
      <alignment horizontal="left"/>
    </xf>
    <xf numFmtId="0" fontId="7" fillId="0" borderId="120" xfId="28" applyBorder="1">
      <alignment/>
      <protection/>
    </xf>
    <xf numFmtId="0" fontId="7" fillId="0" borderId="7" xfId="31" applyFill="1" applyBorder="1">
      <alignment/>
      <protection/>
    </xf>
    <xf numFmtId="2" fontId="7" fillId="0" borderId="11" xfId="28" applyNumberFormat="1" applyBorder="1">
      <alignment/>
      <protection/>
    </xf>
    <xf numFmtId="2" fontId="7" fillId="0" borderId="11" xfId="28" applyNumberFormat="1" applyBorder="1" applyAlignment="1">
      <alignment horizontal="right"/>
      <protection/>
    </xf>
    <xf numFmtId="1" fontId="7" fillId="0" borderId="11" xfId="28" applyNumberFormat="1" applyBorder="1">
      <alignment/>
      <protection/>
    </xf>
    <xf numFmtId="0" fontId="7" fillId="0" borderId="88" xfId="31" applyFont="1" applyFill="1" applyBorder="1" applyAlignment="1">
      <alignment horizontal="left"/>
      <protection/>
    </xf>
    <xf numFmtId="0" fontId="7" fillId="0" borderId="88" xfId="31" applyFont="1" applyFill="1" applyBorder="1">
      <alignment/>
      <protection/>
    </xf>
    <xf numFmtId="0" fontId="7" fillId="0" borderId="80" xfId="31" applyFont="1" applyFill="1" applyBorder="1" applyAlignment="1">
      <alignment horizontal="left"/>
      <protection/>
    </xf>
    <xf numFmtId="164" fontId="0" fillId="0" borderId="56" xfId="0" applyNumberFormat="1" applyFill="1" applyBorder="1" applyAlignment="1">
      <alignment/>
    </xf>
    <xf numFmtId="2" fontId="7" fillId="2" borderId="14" xfId="31" applyNumberFormat="1" applyFill="1" applyBorder="1">
      <alignment/>
      <protection/>
    </xf>
    <xf numFmtId="0" fontId="7" fillId="0" borderId="66" xfId="31" applyFont="1" applyFill="1" applyBorder="1">
      <alignment/>
      <protection/>
    </xf>
    <xf numFmtId="0" fontId="7" fillId="0" borderId="56" xfId="31" applyFont="1" applyFill="1" applyBorder="1" applyAlignment="1">
      <alignment vertical="center"/>
      <protection/>
    </xf>
    <xf numFmtId="0" fontId="7" fillId="0" borderId="88" xfId="31" applyFill="1" applyBorder="1">
      <alignment/>
      <protection/>
    </xf>
    <xf numFmtId="0" fontId="7" fillId="0" borderId="88" xfId="31" applyFont="1" applyFill="1" applyBorder="1">
      <alignment/>
      <protection/>
    </xf>
    <xf numFmtId="0" fontId="9" fillId="0" borderId="80" xfId="31" applyFont="1" applyFill="1" applyBorder="1">
      <alignment/>
      <protection/>
    </xf>
    <xf numFmtId="0" fontId="7" fillId="0" borderId="80" xfId="31" applyFont="1" applyFill="1" applyBorder="1">
      <alignment/>
      <protection/>
    </xf>
    <xf numFmtId="0" fontId="7" fillId="0" borderId="157" xfId="31" applyFont="1" applyFill="1" applyBorder="1">
      <alignment/>
      <protection/>
    </xf>
    <xf numFmtId="0" fontId="12" fillId="0" borderId="0" xfId="31" applyFont="1" applyFill="1" applyBorder="1">
      <alignment/>
      <protection/>
    </xf>
    <xf numFmtId="43" fontId="13" fillId="0" borderId="0" xfId="31" applyNumberFormat="1" applyFont="1" applyFill="1" applyBorder="1">
      <alignment/>
      <protection/>
    </xf>
    <xf numFmtId="0" fontId="7" fillId="0" borderId="158" xfId="31" applyFont="1" applyFill="1" applyBorder="1" applyAlignment="1">
      <alignment horizontal="left"/>
      <protection/>
    </xf>
    <xf numFmtId="0" fontId="7" fillId="0" borderId="159" xfId="31" applyFont="1" applyFill="1" applyBorder="1" applyAlignment="1">
      <alignment horizontal="left"/>
      <protection/>
    </xf>
    <xf numFmtId="0" fontId="7" fillId="0" borderId="158" xfId="31" applyFont="1" applyFill="1" applyBorder="1">
      <alignment/>
      <protection/>
    </xf>
    <xf numFmtId="0" fontId="7" fillId="0" borderId="159" xfId="31" applyFont="1" applyFill="1" applyBorder="1">
      <alignment/>
      <protection/>
    </xf>
    <xf numFmtId="0" fontId="7" fillId="0" borderId="158" xfId="31" applyFill="1" applyBorder="1" applyAlignment="1">
      <alignment horizontal="left"/>
      <protection/>
    </xf>
    <xf numFmtId="0" fontId="7" fillId="0" borderId="159" xfId="31" applyFill="1" applyBorder="1" applyAlignment="1">
      <alignment horizontal="left"/>
      <protection/>
    </xf>
    <xf numFmtId="0" fontId="7" fillId="0" borderId="158" xfId="31" applyFont="1" applyFill="1" applyBorder="1" applyAlignment="1">
      <alignment horizontal="left"/>
      <protection/>
    </xf>
    <xf numFmtId="0" fontId="7" fillId="0" borderId="159" xfId="31" applyFont="1" applyFill="1" applyBorder="1" applyAlignment="1">
      <alignment horizontal="left"/>
      <protection/>
    </xf>
    <xf numFmtId="0" fontId="7" fillId="0" borderId="160" xfId="31" applyFont="1" applyFill="1" applyBorder="1" applyAlignment="1">
      <alignment horizontal="left"/>
      <protection/>
    </xf>
    <xf numFmtId="0" fontId="7" fillId="0" borderId="160" xfId="31" applyFill="1" applyBorder="1" applyAlignment="1">
      <alignment horizontal="left"/>
      <protection/>
    </xf>
    <xf numFmtId="0" fontId="11" fillId="0" borderId="158" xfId="31" applyFont="1" applyFill="1" applyBorder="1" applyAlignment="1">
      <alignment horizontal="left" wrapText="1"/>
      <protection/>
    </xf>
    <xf numFmtId="0" fontId="11" fillId="0" borderId="159" xfId="31" applyFont="1" applyFill="1" applyBorder="1" applyAlignment="1">
      <alignment horizontal="left" wrapText="1"/>
      <protection/>
    </xf>
    <xf numFmtId="0" fontId="7" fillId="0" borderId="159" xfId="0" applyFont="1" applyBorder="1" applyAlignment="1" applyProtection="1">
      <alignment/>
      <protection/>
    </xf>
    <xf numFmtId="0" fontId="7" fillId="0" borderId="158" xfId="31" applyFill="1" applyBorder="1" applyAlignment="1">
      <alignment horizontal="left" wrapText="1"/>
      <protection/>
    </xf>
    <xf numFmtId="0" fontId="7" fillId="0" borderId="159" xfId="31" applyFill="1" applyBorder="1" applyAlignment="1">
      <alignment horizontal="left" wrapText="1"/>
      <protection/>
    </xf>
    <xf numFmtId="0" fontId="7" fillId="0" borderId="161" xfId="31" applyFill="1" applyBorder="1" applyAlignment="1">
      <alignment horizontal="left" wrapText="1"/>
      <protection/>
    </xf>
    <xf numFmtId="0" fontId="7" fillId="0" borderId="162" xfId="31" applyFill="1" applyBorder="1" applyAlignment="1">
      <alignment horizontal="left" wrapText="1"/>
      <protection/>
    </xf>
    <xf numFmtId="0" fontId="7" fillId="0" borderId="72" xfId="31" applyFill="1" applyBorder="1">
      <alignment/>
      <protection/>
    </xf>
    <xf numFmtId="0" fontId="43" fillId="0" borderId="62" xfId="31" applyFont="1" applyFill="1" applyBorder="1">
      <alignment/>
      <protection/>
    </xf>
    <xf numFmtId="0" fontId="7" fillId="0" borderId="163" xfId="31" applyFill="1" applyBorder="1">
      <alignment/>
      <protection/>
    </xf>
    <xf numFmtId="0" fontId="7" fillId="0" borderId="70" xfId="31" applyFill="1" applyBorder="1">
      <alignment/>
      <protection/>
    </xf>
    <xf numFmtId="0" fontId="7" fillId="0" borderId="164" xfId="31" applyFont="1" applyFill="1" applyBorder="1">
      <alignment/>
      <protection/>
    </xf>
    <xf numFmtId="0" fontId="7" fillId="0" borderId="57" xfId="0" applyFont="1" applyFill="1" applyBorder="1" applyAlignment="1">
      <alignment horizontal="center"/>
    </xf>
    <xf numFmtId="0" fontId="43" fillId="0" borderId="81" xfId="31" applyFont="1" applyFill="1" applyBorder="1">
      <alignment/>
      <protection/>
    </xf>
    <xf numFmtId="43" fontId="13" fillId="0" borderId="80" xfId="31" applyNumberFormat="1" applyFont="1" applyFill="1" applyBorder="1">
      <alignment/>
      <protection/>
    </xf>
    <xf numFmtId="0" fontId="13" fillId="0" borderId="80" xfId="31" applyFont="1" applyFill="1" applyBorder="1">
      <alignment/>
      <protection/>
    </xf>
    <xf numFmtId="0" fontId="13" fillId="0" borderId="165" xfId="31" applyFont="1" applyFill="1" applyBorder="1">
      <alignment/>
      <protection/>
    </xf>
    <xf numFmtId="0" fontId="13" fillId="0" borderId="166" xfId="31" applyFont="1" applyFill="1" applyBorder="1">
      <alignment/>
      <protection/>
    </xf>
    <xf numFmtId="0" fontId="13" fillId="0" borderId="167" xfId="31" applyFont="1" applyFill="1" applyBorder="1">
      <alignment/>
      <protection/>
    </xf>
    <xf numFmtId="0" fontId="12" fillId="0" borderId="117" xfId="31" applyFont="1" applyFill="1" applyBorder="1">
      <alignment/>
      <protection/>
    </xf>
    <xf numFmtId="43" fontId="13" fillId="0" borderId="117" xfId="31" applyNumberFormat="1" applyFont="1" applyFill="1" applyBorder="1">
      <alignment/>
      <protection/>
    </xf>
    <xf numFmtId="0" fontId="13" fillId="0" borderId="117" xfId="31" applyFont="1" applyFill="1" applyBorder="1">
      <alignment/>
      <protection/>
    </xf>
    <xf numFmtId="0" fontId="13" fillId="0" borderId="131" xfId="31" applyFont="1" applyFill="1" applyBorder="1">
      <alignment/>
      <protection/>
    </xf>
    <xf numFmtId="0" fontId="7" fillId="0" borderId="168" xfId="0" applyFont="1" applyFill="1" applyBorder="1" applyAlignment="1">
      <alignment horizontal="center"/>
    </xf>
    <xf numFmtId="0" fontId="13" fillId="0" borderId="122" xfId="31" applyFont="1" applyFill="1" applyBorder="1">
      <alignment/>
      <protection/>
    </xf>
    <xf numFmtId="0" fontId="7" fillId="0" borderId="162" xfId="31" applyFont="1" applyFill="1" applyBorder="1">
      <alignment/>
      <protection/>
    </xf>
    <xf numFmtId="0" fontId="7" fillId="0" borderId="165" xfId="31" applyFill="1" applyBorder="1">
      <alignment/>
      <protection/>
    </xf>
    <xf numFmtId="0" fontId="7" fillId="0" borderId="158" xfId="31" applyFill="1" applyBorder="1">
      <alignment/>
      <protection/>
    </xf>
    <xf numFmtId="0" fontId="7" fillId="0" borderId="158" xfId="31" applyFont="1" applyFill="1" applyBorder="1">
      <alignment/>
      <protection/>
    </xf>
    <xf numFmtId="0" fontId="9" fillId="0" borderId="158" xfId="31" applyFont="1" applyFill="1" applyBorder="1">
      <alignment/>
      <protection/>
    </xf>
    <xf numFmtId="0" fontId="7" fillId="0" borderId="162" xfId="31" applyFill="1" applyBorder="1">
      <alignment/>
      <protection/>
    </xf>
    <xf numFmtId="0" fontId="7" fillId="0" borderId="169" xfId="31" applyFont="1" applyFill="1" applyBorder="1">
      <alignment/>
      <protection/>
    </xf>
    <xf numFmtId="0" fontId="43" fillId="0" borderId="80" xfId="31" applyFont="1" applyFill="1" applyBorder="1">
      <alignment/>
      <protection/>
    </xf>
    <xf numFmtId="0" fontId="7" fillId="0" borderId="170" xfId="31" applyFont="1" applyFill="1" applyBorder="1">
      <alignment/>
      <protection/>
    </xf>
    <xf numFmtId="0" fontId="7" fillId="0" borderId="171" xfId="31" applyFont="1" applyFill="1" applyBorder="1">
      <alignment/>
      <protection/>
    </xf>
    <xf numFmtId="0" fontId="7" fillId="0" borderId="170" xfId="31" applyFill="1" applyBorder="1">
      <alignment/>
      <protection/>
    </xf>
    <xf numFmtId="0" fontId="7" fillId="0" borderId="171" xfId="31" applyFill="1" applyBorder="1">
      <alignment/>
      <protection/>
    </xf>
    <xf numFmtId="0" fontId="7" fillId="0" borderId="166" xfId="31" applyFont="1" applyFill="1" applyBorder="1" applyAlignment="1">
      <alignment horizontal="left"/>
      <protection/>
    </xf>
    <xf numFmtId="0" fontId="7" fillId="0" borderId="167" xfId="31" applyFont="1" applyFill="1" applyBorder="1" applyAlignment="1">
      <alignment horizontal="left"/>
      <protection/>
    </xf>
    <xf numFmtId="0" fontId="7" fillId="0" borderId="172" xfId="31" applyFont="1" applyFill="1" applyBorder="1" applyAlignment="1">
      <alignment horizontal="left"/>
      <protection/>
    </xf>
    <xf numFmtId="0" fontId="7" fillId="0" borderId="60" xfId="31" applyFont="1" applyFill="1" applyBorder="1" applyAlignment="1">
      <alignment horizontal="left"/>
      <protection/>
    </xf>
    <xf numFmtId="0" fontId="7" fillId="0" borderId="166" xfId="31" applyFill="1" applyBorder="1" applyAlignment="1">
      <alignment horizontal="left"/>
      <protection/>
    </xf>
    <xf numFmtId="0" fontId="7" fillId="0" borderId="167" xfId="31" applyFill="1" applyBorder="1" applyAlignment="1">
      <alignment horizontal="left"/>
      <protection/>
    </xf>
    <xf numFmtId="0" fontId="7" fillId="0" borderId="172" xfId="31" applyFill="1" applyBorder="1" applyAlignment="1">
      <alignment horizontal="left"/>
      <protection/>
    </xf>
    <xf numFmtId="0" fontId="7" fillId="0" borderId="60" xfId="31" applyFill="1" applyBorder="1" applyAlignment="1">
      <alignment horizontal="left"/>
      <protection/>
    </xf>
    <xf numFmtId="0" fontId="7" fillId="0" borderId="166" xfId="31" applyFill="1" applyBorder="1" applyAlignment="1">
      <alignment horizontal="left" wrapText="1"/>
      <protection/>
    </xf>
    <xf numFmtId="0" fontId="7" fillId="0" borderId="167" xfId="31" applyFill="1" applyBorder="1" applyAlignment="1">
      <alignment horizontal="left" wrapText="1"/>
      <protection/>
    </xf>
    <xf numFmtId="42" fontId="8" fillId="0" borderId="173" xfId="32" applyNumberFormat="1" applyFont="1" applyFill="1" applyBorder="1">
      <alignment/>
      <protection/>
    </xf>
    <xf numFmtId="0" fontId="7" fillId="0" borderId="3" xfId="32" applyFont="1" applyFill="1" applyBorder="1" applyAlignment="1">
      <alignment horizontal="left"/>
      <protection/>
    </xf>
    <xf numFmtId="193" fontId="8" fillId="0" borderId="174" xfId="32" applyNumberFormat="1" applyFont="1" applyFill="1" applyBorder="1">
      <alignment/>
      <protection/>
    </xf>
    <xf numFmtId="0" fontId="7" fillId="0" borderId="5" xfId="32" applyFont="1" applyFill="1" applyBorder="1" applyAlignment="1">
      <alignment horizontal="left"/>
      <protection/>
    </xf>
    <xf numFmtId="193" fontId="8" fillId="0" borderId="175" xfId="32" applyNumberFormat="1" applyFont="1" applyFill="1" applyBorder="1">
      <alignment/>
      <protection/>
    </xf>
    <xf numFmtId="0" fontId="44" fillId="11" borderId="0" xfId="32" applyFont="1" applyFill="1">
      <alignment/>
      <protection/>
    </xf>
    <xf numFmtId="0" fontId="7" fillId="11" borderId="0" xfId="32" applyFill="1">
      <alignment/>
      <protection/>
    </xf>
    <xf numFmtId="44" fontId="7" fillId="11" borderId="0" xfId="32" applyNumberFormat="1" applyFill="1">
      <alignment/>
      <protection/>
    </xf>
    <xf numFmtId="0" fontId="7" fillId="11" borderId="0" xfId="32" applyFont="1" applyFill="1">
      <alignment/>
      <protection/>
    </xf>
    <xf numFmtId="166" fontId="7" fillId="8" borderId="176" xfId="0" applyNumberFormat="1" applyFont="1" applyFill="1" applyBorder="1" applyAlignment="1" applyProtection="1">
      <alignment horizontal="right"/>
      <protection/>
    </xf>
    <xf numFmtId="166" fontId="7" fillId="8" borderId="11" xfId="0" applyNumberFormat="1" applyFont="1" applyFill="1" applyBorder="1" applyAlignment="1" applyProtection="1">
      <alignment horizontal="right"/>
      <protection/>
    </xf>
    <xf numFmtId="0" fontId="7" fillId="0" borderId="177" xfId="0" applyFont="1" applyBorder="1" applyAlignment="1" applyProtection="1">
      <alignment/>
      <protection/>
    </xf>
    <xf numFmtId="0" fontId="7" fillId="0" borderId="178" xfId="0" applyFont="1" applyFill="1" applyBorder="1" applyAlignment="1">
      <alignment horizontal="center"/>
    </xf>
    <xf numFmtId="166" fontId="7" fillId="8" borderId="16" xfId="0" applyNumberFormat="1" applyFont="1" applyFill="1" applyBorder="1" applyAlignment="1" applyProtection="1">
      <alignment horizontal="right"/>
      <protection/>
    </xf>
    <xf numFmtId="166" fontId="7" fillId="8" borderId="30" xfId="0" applyNumberFormat="1" applyFont="1" applyFill="1" applyBorder="1" applyAlignment="1" applyProtection="1">
      <alignment horizontal="right"/>
      <protection/>
    </xf>
    <xf numFmtId="166" fontId="7" fillId="8" borderId="97" xfId="0" applyNumberFormat="1" applyFont="1" applyFill="1" applyBorder="1" applyAlignment="1" applyProtection="1">
      <alignment horizontal="right"/>
      <protection/>
    </xf>
    <xf numFmtId="0" fontId="7" fillId="0" borderId="179" xfId="32" applyFill="1" applyBorder="1">
      <alignment/>
      <protection/>
    </xf>
    <xf numFmtId="0" fontId="7" fillId="0" borderId="63" xfId="32" applyFill="1" applyBorder="1">
      <alignment/>
      <protection/>
    </xf>
    <xf numFmtId="0" fontId="7" fillId="0" borderId="167" xfId="32" applyFill="1" applyBorder="1">
      <alignment/>
      <protection/>
    </xf>
    <xf numFmtId="0" fontId="7" fillId="0" borderId="55" xfId="32" applyFill="1" applyBorder="1">
      <alignment/>
      <protection/>
    </xf>
    <xf numFmtId="178" fontId="7" fillId="0" borderId="56" xfId="23" applyNumberFormat="1" applyFill="1" applyBorder="1" applyAlignment="1">
      <alignment/>
    </xf>
    <xf numFmtId="0" fontId="7" fillId="0" borderId="56" xfId="32" applyFont="1" applyFill="1" applyBorder="1">
      <alignment/>
      <protection/>
    </xf>
    <xf numFmtId="0" fontId="7" fillId="0" borderId="57" xfId="32" applyFill="1" applyBorder="1">
      <alignment/>
      <protection/>
    </xf>
    <xf numFmtId="0" fontId="7" fillId="0" borderId="56" xfId="32" applyFill="1" applyBorder="1">
      <alignment/>
      <protection/>
    </xf>
    <xf numFmtId="178" fontId="7" fillId="0" borderId="56" xfId="23" applyNumberFormat="1" applyFont="1" applyFill="1" applyBorder="1" applyAlignment="1">
      <alignment/>
    </xf>
    <xf numFmtId="0" fontId="7" fillId="0" borderId="55" xfId="32" applyFill="1" applyBorder="1" applyAlignment="1">
      <alignment wrapText="1"/>
      <protection/>
    </xf>
    <xf numFmtId="0" fontId="7" fillId="0" borderId="57" xfId="32" applyFont="1" applyFill="1" applyBorder="1">
      <alignment/>
      <protection/>
    </xf>
    <xf numFmtId="0" fontId="7" fillId="0" borderId="55" xfId="32" applyFont="1" applyFill="1" applyBorder="1">
      <alignment/>
      <protection/>
    </xf>
    <xf numFmtId="38" fontId="7" fillId="0" borderId="56" xfId="15" applyNumberFormat="1" applyFill="1" applyBorder="1" applyAlignment="1">
      <alignment/>
    </xf>
    <xf numFmtId="38" fontId="7" fillId="0" borderId="57" xfId="15" applyNumberFormat="1" applyFill="1" applyBorder="1" applyAlignment="1">
      <alignment/>
    </xf>
    <xf numFmtId="2" fontId="7" fillId="0" borderId="56" xfId="32" applyNumberFormat="1" applyFill="1" applyBorder="1">
      <alignment/>
      <protection/>
    </xf>
    <xf numFmtId="38" fontId="7" fillId="0" borderId="56" xfId="32" applyNumberFormat="1" applyFill="1" applyBorder="1">
      <alignment/>
      <protection/>
    </xf>
    <xf numFmtId="0" fontId="7" fillId="0" borderId="59" xfId="32" applyFill="1" applyBorder="1">
      <alignment/>
      <protection/>
    </xf>
    <xf numFmtId="0" fontId="7" fillId="0" borderId="60" xfId="32" applyFill="1" applyBorder="1">
      <alignment/>
      <protection/>
    </xf>
    <xf numFmtId="0" fontId="8" fillId="0" borderId="180" xfId="32" applyFont="1" applyFill="1" applyBorder="1">
      <alignment/>
      <protection/>
    </xf>
    <xf numFmtId="178" fontId="8" fillId="0" borderId="164" xfId="23" applyNumberFormat="1" applyFont="1" applyFill="1" applyBorder="1" applyAlignment="1">
      <alignment/>
    </xf>
    <xf numFmtId="178" fontId="7" fillId="0" borderId="66" xfId="23" applyNumberFormat="1" applyFill="1" applyBorder="1" applyAlignment="1">
      <alignment/>
    </xf>
    <xf numFmtId="0" fontId="7" fillId="0" borderId="181" xfId="32" applyFill="1" applyBorder="1" applyAlignment="1">
      <alignment horizontal="right"/>
      <protection/>
    </xf>
    <xf numFmtId="0" fontId="7" fillId="0" borderId="62" xfId="32" applyFont="1" applyFill="1" applyBorder="1">
      <alignment/>
      <protection/>
    </xf>
    <xf numFmtId="0" fontId="7" fillId="0" borderId="62" xfId="32" applyFill="1" applyBorder="1">
      <alignment/>
      <protection/>
    </xf>
    <xf numFmtId="0" fontId="7" fillId="0" borderId="137" xfId="32" applyFill="1" applyBorder="1">
      <alignment/>
      <protection/>
    </xf>
    <xf numFmtId="0" fontId="7" fillId="0" borderId="181" xfId="32" applyFill="1" applyBorder="1">
      <alignment/>
      <protection/>
    </xf>
    <xf numFmtId="164" fontId="7" fillId="0" borderId="137" xfId="32" applyNumberFormat="1" applyFill="1" applyBorder="1">
      <alignment/>
      <protection/>
    </xf>
    <xf numFmtId="0" fontId="7" fillId="0" borderId="140" xfId="32" applyFill="1" applyBorder="1">
      <alignment/>
      <protection/>
    </xf>
    <xf numFmtId="0" fontId="7" fillId="0" borderId="61" xfId="32" applyFill="1" applyBorder="1">
      <alignment/>
      <protection/>
    </xf>
    <xf numFmtId="178" fontId="7" fillId="0" borderId="62" xfId="23" applyNumberFormat="1" applyFont="1" applyFill="1" applyBorder="1" applyAlignment="1">
      <alignment/>
    </xf>
    <xf numFmtId="0" fontId="12" fillId="0" borderId="82" xfId="32" applyFont="1" applyFill="1" applyBorder="1">
      <alignment/>
      <protection/>
    </xf>
    <xf numFmtId="0" fontId="7" fillId="0" borderId="159" xfId="28" applyFill="1" applyBorder="1">
      <alignment/>
      <protection/>
    </xf>
    <xf numFmtId="0" fontId="7" fillId="0" borderId="182" xfId="28" applyBorder="1">
      <alignment/>
      <protection/>
    </xf>
    <xf numFmtId="0" fontId="7" fillId="0" borderId="158" xfId="28" applyBorder="1" applyAlignment="1">
      <alignment horizontal="center"/>
      <protection/>
    </xf>
    <xf numFmtId="0" fontId="7" fillId="0" borderId="158" xfId="28" applyFill="1" applyBorder="1">
      <alignment/>
      <protection/>
    </xf>
    <xf numFmtId="0" fontId="7" fillId="0" borderId="158" xfId="28" applyFont="1" applyFill="1" applyBorder="1">
      <alignment/>
      <protection/>
    </xf>
    <xf numFmtId="0" fontId="24" fillId="0" borderId="158" xfId="31" applyFont="1" applyFill="1" applyBorder="1" applyAlignment="1">
      <alignment horizontal="left"/>
      <protection/>
    </xf>
    <xf numFmtId="0" fontId="7" fillId="0" borderId="183" xfId="28" applyBorder="1">
      <alignment/>
      <protection/>
    </xf>
    <xf numFmtId="0" fontId="7" fillId="0" borderId="62" xfId="28" applyBorder="1" applyAlignment="1">
      <alignment horizontal="center"/>
      <protection/>
    </xf>
    <xf numFmtId="0" fontId="7" fillId="0" borderId="62" xfId="28" applyFill="1" applyBorder="1">
      <alignment/>
      <protection/>
    </xf>
    <xf numFmtId="0" fontId="7" fillId="0" borderId="62" xfId="28" applyFont="1" applyFill="1" applyBorder="1">
      <alignment/>
      <protection/>
    </xf>
    <xf numFmtId="0" fontId="24" fillId="0" borderId="62" xfId="31" applyFont="1" applyFill="1" applyBorder="1" applyAlignment="1">
      <alignment horizontal="left"/>
      <protection/>
    </xf>
    <xf numFmtId="174" fontId="7" fillId="0" borderId="62" xfId="31" applyNumberFormat="1" applyFill="1" applyBorder="1">
      <alignment/>
      <protection/>
    </xf>
    <xf numFmtId="0" fontId="7" fillId="0" borderId="184" xfId="28" applyBorder="1">
      <alignment/>
      <protection/>
    </xf>
    <xf numFmtId="0" fontId="7" fillId="0" borderId="159" xfId="28" applyBorder="1" applyAlignment="1">
      <alignment horizontal="center"/>
      <protection/>
    </xf>
    <xf numFmtId="0" fontId="7" fillId="0" borderId="158" xfId="28" applyFont="1" applyBorder="1" applyAlignment="1">
      <alignment horizontal="center"/>
      <protection/>
    </xf>
    <xf numFmtId="182" fontId="7" fillId="0" borderId="159" xfId="28" applyNumberFormat="1" applyFill="1" applyBorder="1">
      <alignment/>
      <protection/>
    </xf>
    <xf numFmtId="1" fontId="24" fillId="0" borderId="159" xfId="31" applyNumberFormat="1" applyFont="1" applyFill="1" applyBorder="1">
      <alignment/>
      <protection/>
    </xf>
    <xf numFmtId="1" fontId="7" fillId="0" borderId="159" xfId="31" applyNumberFormat="1" applyFill="1" applyBorder="1">
      <alignment/>
      <protection/>
    </xf>
    <xf numFmtId="3" fontId="7" fillId="0" borderId="184" xfId="28" applyNumberFormat="1" applyFill="1" applyBorder="1" applyAlignment="1">
      <alignment horizontal="right"/>
      <protection/>
    </xf>
    <xf numFmtId="0" fontId="7" fillId="0" borderId="182" xfId="28" applyFont="1" applyFill="1" applyBorder="1" applyAlignment="1">
      <alignment horizontal="left"/>
      <protection/>
    </xf>
    <xf numFmtId="0" fontId="7" fillId="0" borderId="158" xfId="28" applyFont="1" applyBorder="1" applyAlignment="1">
      <alignment horizontal="left"/>
      <protection/>
    </xf>
    <xf numFmtId="0" fontId="7" fillId="0" borderId="158" xfId="28" applyBorder="1" applyAlignment="1">
      <alignment horizontal="left"/>
      <protection/>
    </xf>
    <xf numFmtId="0" fontId="7" fillId="0" borderId="159" xfId="28" applyFill="1" applyBorder="1" applyAlignment="1">
      <alignment horizontal="right"/>
      <protection/>
    </xf>
    <xf numFmtId="1" fontId="7" fillId="0" borderId="159" xfId="28" applyNumberFormat="1" applyFill="1" applyBorder="1" applyAlignment="1">
      <alignment horizontal="right"/>
      <protection/>
    </xf>
    <xf numFmtId="0" fontId="7" fillId="0" borderId="91" xfId="31" applyFont="1" applyFill="1" applyBorder="1">
      <alignment/>
      <protection/>
    </xf>
    <xf numFmtId="0" fontId="7" fillId="0" borderId="91" xfId="31" applyFill="1" applyBorder="1">
      <alignment/>
      <protection/>
    </xf>
    <xf numFmtId="0" fontId="7" fillId="0" borderId="76" xfId="31" applyFont="1" applyFill="1" applyBorder="1">
      <alignment/>
      <protection/>
    </xf>
    <xf numFmtId="3" fontId="7" fillId="0" borderId="11" xfId="29" applyNumberFormat="1" applyBorder="1">
      <alignment/>
      <protection/>
    </xf>
    <xf numFmtId="178" fontId="8" fillId="0" borderId="97" xfId="32" applyNumberFormat="1" applyFont="1" applyFill="1" applyBorder="1">
      <alignment/>
      <protection/>
    </xf>
    <xf numFmtId="179" fontId="8" fillId="0" borderId="97" xfId="32" applyNumberFormat="1" applyFont="1" applyFill="1" applyBorder="1">
      <alignment/>
      <protection/>
    </xf>
    <xf numFmtId="44" fontId="8" fillId="0" borderId="97" xfId="32" applyNumberFormat="1" applyFont="1" applyFill="1" applyBorder="1">
      <alignment/>
      <protection/>
    </xf>
    <xf numFmtId="178" fontId="8" fillId="0" borderId="30" xfId="32" applyNumberFormat="1" applyFont="1" applyFill="1" applyBorder="1">
      <alignment/>
      <protection/>
    </xf>
    <xf numFmtId="0" fontId="7" fillId="0" borderId="8" xfId="28" applyBorder="1">
      <alignment/>
      <protection/>
    </xf>
    <xf numFmtId="0" fontId="8" fillId="0" borderId="185" xfId="28" applyFont="1" applyFill="1" applyBorder="1">
      <alignment/>
      <protection/>
    </xf>
    <xf numFmtId="0" fontId="7" fillId="0" borderId="186" xfId="28" applyFont="1" applyFill="1" applyBorder="1">
      <alignment/>
      <protection/>
    </xf>
    <xf numFmtId="0" fontId="7" fillId="0" borderId="61" xfId="28" applyFont="1" applyFill="1" applyBorder="1">
      <alignment/>
      <protection/>
    </xf>
    <xf numFmtId="0" fontId="7" fillId="0" borderId="4" xfId="28" applyBorder="1" applyAlignment="1">
      <alignment horizontal="center"/>
      <protection/>
    </xf>
    <xf numFmtId="0" fontId="7" fillId="0" borderId="61" xfId="28" applyFill="1" applyBorder="1">
      <alignment/>
      <protection/>
    </xf>
    <xf numFmtId="0" fontId="7" fillId="0" borderId="180" xfId="31" applyFont="1" applyFill="1" applyBorder="1">
      <alignment/>
      <protection/>
    </xf>
    <xf numFmtId="0" fontId="7" fillId="0" borderId="187" xfId="31" applyFont="1" applyFill="1" applyBorder="1">
      <alignment/>
      <protection/>
    </xf>
    <xf numFmtId="1" fontId="7" fillId="0" borderId="172" xfId="31" applyNumberFormat="1" applyFill="1" applyBorder="1">
      <alignment/>
      <protection/>
    </xf>
    <xf numFmtId="0" fontId="7" fillId="0" borderId="162" xfId="31" applyFont="1" applyFill="1" applyBorder="1">
      <alignment/>
      <protection/>
    </xf>
    <xf numFmtId="174" fontId="7" fillId="0" borderId="164" xfId="31" applyNumberFormat="1" applyFill="1" applyBorder="1">
      <alignment/>
      <protection/>
    </xf>
    <xf numFmtId="0" fontId="7" fillId="0" borderId="2" xfId="28" applyFill="1" applyBorder="1">
      <alignment/>
      <protection/>
    </xf>
    <xf numFmtId="0" fontId="7" fillId="0" borderId="6" xfId="28" applyFill="1" applyBorder="1">
      <alignment/>
      <protection/>
    </xf>
    <xf numFmtId="0" fontId="7" fillId="0" borderId="188" xfId="28" applyFont="1" applyFill="1" applyBorder="1" applyAlignment="1">
      <alignment horizontal="left"/>
      <protection/>
    </xf>
    <xf numFmtId="0" fontId="7" fillId="0" borderId="166" xfId="28" applyBorder="1">
      <alignment/>
      <protection/>
    </xf>
    <xf numFmtId="0" fontId="7" fillId="0" borderId="188" xfId="28" applyBorder="1">
      <alignment/>
      <protection/>
    </xf>
    <xf numFmtId="0" fontId="7" fillId="0" borderId="65" xfId="28" applyBorder="1">
      <alignment/>
      <protection/>
    </xf>
    <xf numFmtId="1" fontId="7" fillId="0" borderId="159" xfId="28" applyNumberFormat="1" applyBorder="1" applyAlignment="1">
      <alignment horizontal="right"/>
      <protection/>
    </xf>
    <xf numFmtId="0" fontId="7" fillId="8" borderId="11" xfId="0" applyFont="1" applyFill="1" applyBorder="1" applyAlignment="1">
      <alignment horizontal="right"/>
    </xf>
    <xf numFmtId="164" fontId="7" fillId="2" borderId="11" xfId="22" applyNumberFormat="1" applyFill="1" applyBorder="1" applyAlignment="1">
      <alignment/>
    </xf>
    <xf numFmtId="165" fontId="7" fillId="0" borderId="62" xfId="28" applyNumberFormat="1" applyFont="1" applyFill="1" applyBorder="1">
      <alignment/>
      <protection/>
    </xf>
    <xf numFmtId="0" fontId="7" fillId="0" borderId="189" xfId="28" applyBorder="1">
      <alignment/>
      <protection/>
    </xf>
    <xf numFmtId="191" fontId="7" fillId="0" borderId="166" xfId="28" applyNumberFormat="1" applyFill="1" applyBorder="1" applyAlignment="1">
      <alignment horizontal="right"/>
      <protection/>
    </xf>
    <xf numFmtId="164" fontId="7" fillId="0" borderId="159" xfId="28" applyNumberFormat="1" applyFill="1" applyBorder="1">
      <alignment/>
      <protection/>
    </xf>
    <xf numFmtId="3" fontId="7" fillId="0" borderId="159" xfId="28" applyNumberFormat="1" applyBorder="1" applyAlignment="1">
      <alignment horizontal="right"/>
      <protection/>
    </xf>
    <xf numFmtId="3" fontId="7" fillId="0" borderId="159" xfId="28" applyNumberFormat="1" applyBorder="1" applyAlignment="1">
      <alignment horizontal="center"/>
      <protection/>
    </xf>
    <xf numFmtId="0" fontId="7" fillId="0" borderId="190" xfId="31" applyFont="1" applyFill="1" applyBorder="1" applyAlignment="1">
      <alignment horizontal="left"/>
      <protection/>
    </xf>
    <xf numFmtId="0" fontId="7" fillId="0" borderId="57" xfId="28" applyFill="1" applyBorder="1">
      <alignment/>
      <protection/>
    </xf>
    <xf numFmtId="0" fontId="7" fillId="0" borderId="60" xfId="31" applyFont="1" applyFill="1" applyBorder="1" applyAlignment="1">
      <alignment horizontal="left"/>
      <protection/>
    </xf>
    <xf numFmtId="0" fontId="7" fillId="0" borderId="191" xfId="0" applyFont="1" applyBorder="1" applyAlignment="1">
      <alignment horizontal="center"/>
    </xf>
    <xf numFmtId="0" fontId="7" fillId="0" borderId="192" xfId="31" applyFill="1" applyBorder="1">
      <alignment/>
      <protection/>
    </xf>
    <xf numFmtId="0" fontId="7" fillId="0" borderId="181" xfId="31" applyFill="1" applyBorder="1">
      <alignment/>
      <protection/>
    </xf>
    <xf numFmtId="0" fontId="7" fillId="0" borderId="181" xfId="31" applyFont="1" applyFill="1" applyBorder="1">
      <alignment/>
      <protection/>
    </xf>
    <xf numFmtId="0" fontId="7" fillId="0" borderId="181" xfId="28" applyFill="1" applyBorder="1">
      <alignment/>
      <protection/>
    </xf>
    <xf numFmtId="0" fontId="7" fillId="0" borderId="193" xfId="31" applyFont="1" applyFill="1" applyBorder="1">
      <alignment/>
      <protection/>
    </xf>
    <xf numFmtId="1" fontId="7" fillId="0" borderId="184" xfId="31" applyNumberFormat="1" applyFont="1" applyFill="1" applyBorder="1">
      <alignment/>
      <protection/>
    </xf>
    <xf numFmtId="1" fontId="7" fillId="0" borderId="159" xfId="31" applyNumberFormat="1" applyFont="1" applyFill="1" applyBorder="1">
      <alignment/>
      <protection/>
    </xf>
    <xf numFmtId="0" fontId="7" fillId="0" borderId="159" xfId="31" applyFont="1" applyFill="1" applyBorder="1">
      <alignment/>
      <protection/>
    </xf>
    <xf numFmtId="0" fontId="7" fillId="0" borderId="159" xfId="31" applyFill="1" applyBorder="1">
      <alignment/>
      <protection/>
    </xf>
    <xf numFmtId="1" fontId="7" fillId="9" borderId="172" xfId="31" applyNumberFormat="1" applyFont="1" applyFill="1" applyBorder="1">
      <alignment/>
      <protection/>
    </xf>
    <xf numFmtId="0" fontId="7" fillId="0" borderId="186" xfId="31" applyFont="1" applyFill="1" applyBorder="1">
      <alignment/>
      <protection/>
    </xf>
    <xf numFmtId="0" fontId="23" fillId="0" borderId="28" xfId="31" applyFont="1" applyFill="1" applyBorder="1">
      <alignment/>
      <protection/>
    </xf>
    <xf numFmtId="164" fontId="7" fillId="0" borderId="184" xfId="28" applyNumberFormat="1" applyFill="1" applyBorder="1">
      <alignment/>
      <protection/>
    </xf>
    <xf numFmtId="164" fontId="7" fillId="0" borderId="159" xfId="31" applyNumberFormat="1" applyFill="1" applyBorder="1">
      <alignment/>
      <protection/>
    </xf>
    <xf numFmtId="1" fontId="7" fillId="0" borderId="159" xfId="32" applyNumberFormat="1" applyFont="1" applyFill="1" applyBorder="1">
      <alignment/>
      <protection/>
    </xf>
    <xf numFmtId="38" fontId="7" fillId="0" borderId="159" xfId="15" applyNumberFormat="1" applyFont="1" applyFill="1" applyBorder="1" applyAlignment="1">
      <alignment/>
    </xf>
    <xf numFmtId="1" fontId="7" fillId="0" borderId="63" xfId="31" applyNumberFormat="1" applyFill="1" applyBorder="1" applyAlignment="1">
      <alignment horizontal="right"/>
      <protection/>
    </xf>
    <xf numFmtId="0" fontId="7" fillId="0" borderId="188" xfId="31" applyFont="1" applyFill="1" applyBorder="1" applyAlignment="1">
      <alignment horizontal="left"/>
      <protection/>
    </xf>
    <xf numFmtId="0" fontId="7" fillId="0" borderId="147" xfId="31" applyFont="1" applyFill="1" applyBorder="1" applyAlignment="1">
      <alignment horizontal="left"/>
      <protection/>
    </xf>
    <xf numFmtId="0" fontId="7" fillId="0" borderId="139" xfId="31" applyFont="1" applyFill="1" applyBorder="1" applyAlignment="1">
      <alignment horizontal="left"/>
      <protection/>
    </xf>
    <xf numFmtId="2" fontId="7" fillId="0" borderId="49" xfId="31" applyNumberFormat="1" applyFill="1" applyBorder="1">
      <alignment/>
      <protection/>
    </xf>
    <xf numFmtId="1" fontId="7" fillId="0" borderId="11" xfId="29" applyNumberFormat="1" applyFill="1" applyBorder="1">
      <alignment/>
      <protection/>
    </xf>
    <xf numFmtId="165" fontId="7" fillId="0" borderId="11" xfId="29" applyNumberFormat="1" applyFill="1" applyBorder="1">
      <alignment/>
      <protection/>
    </xf>
    <xf numFmtId="11" fontId="7" fillId="0" borderId="11" xfId="29" applyNumberFormat="1" applyFill="1" applyBorder="1">
      <alignment/>
      <protection/>
    </xf>
    <xf numFmtId="0" fontId="0" fillId="2" borderId="11" xfId="33" applyFill="1" applyBorder="1">
      <alignment/>
      <protection/>
    </xf>
    <xf numFmtId="0" fontId="0" fillId="0" borderId="11" xfId="33" applyFont="1" applyBorder="1">
      <alignment/>
      <protection/>
    </xf>
    <xf numFmtId="0" fontId="0" fillId="0" borderId="0" xfId="33" applyNumberFormat="1">
      <alignment/>
      <protection/>
    </xf>
    <xf numFmtId="0" fontId="0" fillId="0" borderId="0" xfId="33" applyFill="1" applyBorder="1">
      <alignment/>
      <protection/>
    </xf>
    <xf numFmtId="165" fontId="0" fillId="0" borderId="0" xfId="33" applyNumberFormat="1" applyFill="1" applyBorder="1">
      <alignment/>
      <protection/>
    </xf>
    <xf numFmtId="165" fontId="0" fillId="0" borderId="4" xfId="33" applyNumberFormat="1" applyFill="1" applyBorder="1">
      <alignment/>
      <protection/>
    </xf>
    <xf numFmtId="11" fontId="7" fillId="11" borderId="0" xfId="29" applyNumberFormat="1" applyFont="1" applyFill="1" applyAlignment="1">
      <alignment horizontal="right"/>
      <protection/>
    </xf>
    <xf numFmtId="0" fontId="7" fillId="11" borderId="0" xfId="29" applyFont="1" applyFill="1" applyAlignment="1">
      <alignment horizontal="right"/>
      <protection/>
    </xf>
    <xf numFmtId="0" fontId="7" fillId="0" borderId="0" xfId="29" applyFont="1" applyFill="1" applyAlignment="1">
      <alignment horizontal="right"/>
      <protection/>
    </xf>
    <xf numFmtId="0" fontId="0" fillId="0" borderId="0" xfId="0" applyAlignment="1">
      <alignment horizontal="center"/>
    </xf>
    <xf numFmtId="0" fontId="50" fillId="0" borderId="0" xfId="0" applyFont="1" applyAlignment="1">
      <alignment horizontal="center"/>
    </xf>
    <xf numFmtId="0" fontId="42" fillId="0" borderId="11" xfId="0" applyFont="1" applyBorder="1" applyAlignment="1">
      <alignment/>
    </xf>
    <xf numFmtId="0" fontId="0" fillId="11" borderId="11" xfId="0" applyFill="1" applyBorder="1" applyAlignment="1">
      <alignment/>
    </xf>
    <xf numFmtId="2" fontId="7" fillId="8" borderId="111" xfId="0" applyNumberFormat="1" applyFont="1" applyFill="1" applyBorder="1" applyAlignment="1" applyProtection="1">
      <alignment/>
      <protection/>
    </xf>
    <xf numFmtId="2" fontId="7" fillId="8" borderId="11" xfId="0" applyNumberFormat="1" applyFont="1" applyFill="1" applyBorder="1" applyAlignment="1" applyProtection="1">
      <alignment/>
      <protection/>
    </xf>
    <xf numFmtId="2" fontId="7" fillId="8" borderId="16" xfId="0" applyNumberFormat="1" applyFont="1" applyFill="1" applyBorder="1" applyAlignment="1" applyProtection="1">
      <alignment/>
      <protection/>
    </xf>
    <xf numFmtId="0" fontId="61" fillId="0" borderId="0" xfId="0" applyFont="1" applyAlignment="1">
      <alignment/>
    </xf>
    <xf numFmtId="0" fontId="23" fillId="0" borderId="0" xfId="29" applyFont="1" applyFill="1" applyAlignment="1">
      <alignment horizontal="left"/>
      <protection/>
    </xf>
    <xf numFmtId="0" fontId="0" fillId="0" borderId="129" xfId="0" applyBorder="1" applyAlignment="1">
      <alignment horizontal="center"/>
    </xf>
    <xf numFmtId="0" fontId="0" fillId="0" borderId="154" xfId="0" applyBorder="1" applyAlignment="1">
      <alignment horizontal="center"/>
    </xf>
    <xf numFmtId="0" fontId="0" fillId="0" borderId="154" xfId="0" applyBorder="1" applyAlignment="1">
      <alignment/>
    </xf>
    <xf numFmtId="0" fontId="0" fillId="0" borderId="25" xfId="0" applyBorder="1" applyAlignment="1">
      <alignment horizontal="left"/>
    </xf>
    <xf numFmtId="0" fontId="0" fillId="0" borderId="25" xfId="0" applyBorder="1" applyAlignment="1">
      <alignment/>
    </xf>
    <xf numFmtId="0" fontId="0" fillId="0" borderId="25" xfId="0" applyBorder="1" applyAlignment="1">
      <alignment horizontal="center"/>
    </xf>
    <xf numFmtId="0" fontId="0" fillId="0" borderId="11" xfId="0" applyBorder="1" applyAlignment="1">
      <alignment horizontal="left"/>
    </xf>
    <xf numFmtId="1" fontId="0" fillId="0" borderId="11" xfId="0" applyNumberFormat="1" applyBorder="1" applyAlignment="1">
      <alignment horizontal="center"/>
    </xf>
    <xf numFmtId="0" fontId="0" fillId="0" borderId="24" xfId="0" applyBorder="1" applyAlignment="1">
      <alignment horizontal="center"/>
    </xf>
    <xf numFmtId="0" fontId="0" fillId="0" borderId="85" xfId="0" applyBorder="1" applyAlignment="1">
      <alignment horizontal="center"/>
    </xf>
    <xf numFmtId="0" fontId="0" fillId="0" borderId="130" xfId="0" applyFill="1" applyBorder="1" applyAlignment="1">
      <alignment horizontal="center"/>
    </xf>
    <xf numFmtId="0" fontId="0" fillId="0" borderId="97" xfId="0" applyFill="1" applyBorder="1" applyAlignment="1">
      <alignment horizontal="left"/>
    </xf>
    <xf numFmtId="0" fontId="0" fillId="9" borderId="11" xfId="0" applyFill="1" applyBorder="1" applyAlignment="1">
      <alignment horizontal="center"/>
    </xf>
    <xf numFmtId="0" fontId="8" fillId="10" borderId="25" xfId="0" applyFont="1" applyFill="1" applyBorder="1" applyAlignment="1">
      <alignment/>
    </xf>
    <xf numFmtId="0" fontId="8" fillId="0" borderId="111" xfId="0" applyFont="1" applyBorder="1" applyAlignment="1">
      <alignment horizontal="center"/>
    </xf>
    <xf numFmtId="0" fontId="8" fillId="0" borderId="194" xfId="0" applyFont="1" applyBorder="1" applyAlignment="1">
      <alignment horizontal="center"/>
    </xf>
    <xf numFmtId="0" fontId="42" fillId="10" borderId="11" xfId="0" applyFont="1" applyFill="1" applyBorder="1" applyAlignment="1">
      <alignment/>
    </xf>
    <xf numFmtId="0" fontId="61" fillId="10" borderId="0" xfId="0" applyFont="1" applyFill="1" applyAlignment="1">
      <alignment/>
    </xf>
    <xf numFmtId="3" fontId="44" fillId="11" borderId="0" xfId="0" applyNumberFormat="1" applyFont="1" applyFill="1" applyAlignment="1" applyProtection="1">
      <alignment/>
      <protection locked="0"/>
    </xf>
    <xf numFmtId="3" fontId="7" fillId="11" borderId="0" xfId="0" applyNumberFormat="1" applyFont="1" applyFill="1" applyAlignment="1" applyProtection="1">
      <alignment/>
      <protection locked="0"/>
    </xf>
    <xf numFmtId="2" fontId="7" fillId="2" borderId="14" xfId="0" applyNumberFormat="1" applyFont="1" applyFill="1" applyBorder="1" applyAlignment="1" applyProtection="1">
      <alignment horizontal="right"/>
      <protection locked="0"/>
    </xf>
    <xf numFmtId="2" fontId="7" fillId="2" borderId="11" xfId="0" applyNumberFormat="1" applyFont="1" applyFill="1" applyBorder="1" applyAlignment="1" applyProtection="1">
      <alignment horizontal="right"/>
      <protection locked="0"/>
    </xf>
    <xf numFmtId="2" fontId="7" fillId="2" borderId="16" xfId="0" applyNumberFormat="1" applyFont="1" applyFill="1" applyBorder="1" applyAlignment="1" applyProtection="1">
      <alignment horizontal="right"/>
      <protection locked="0"/>
    </xf>
    <xf numFmtId="2" fontId="7" fillId="2" borderId="49" xfId="0" applyNumberFormat="1" applyFont="1" applyFill="1" applyBorder="1" applyAlignment="1" applyProtection="1">
      <alignment horizontal="right"/>
      <protection locked="0"/>
    </xf>
    <xf numFmtId="2" fontId="7" fillId="0" borderId="0" xfId="0" applyNumberFormat="1" applyFont="1" applyAlignment="1" applyProtection="1">
      <alignment horizontal="right"/>
      <protection locked="0"/>
    </xf>
    <xf numFmtId="2" fontId="7" fillId="2" borderId="25" xfId="0" applyNumberFormat="1" applyFont="1" applyFill="1" applyBorder="1" applyAlignment="1" applyProtection="1">
      <alignment horizontal="right"/>
      <protection locked="0"/>
    </xf>
    <xf numFmtId="0" fontId="8" fillId="11" borderId="8" xfId="0" applyFont="1" applyFill="1" applyBorder="1" applyAlignment="1">
      <alignment/>
    </xf>
    <xf numFmtId="0" fontId="7" fillId="11" borderId="9" xfId="0" applyFont="1" applyFill="1" applyBorder="1" applyAlignment="1">
      <alignment/>
    </xf>
    <xf numFmtId="0" fontId="7" fillId="11" borderId="7" xfId="0" applyFont="1" applyFill="1" applyBorder="1" applyAlignment="1">
      <alignment/>
    </xf>
    <xf numFmtId="0" fontId="8" fillId="11" borderId="3" xfId="0" applyFont="1" applyFill="1" applyBorder="1" applyAlignment="1">
      <alignment/>
    </xf>
    <xf numFmtId="0" fontId="7" fillId="11" borderId="0" xfId="0" applyFont="1" applyFill="1" applyBorder="1" applyAlignment="1">
      <alignment/>
    </xf>
    <xf numFmtId="0" fontId="7" fillId="11" borderId="4" xfId="0" applyFont="1" applyFill="1" applyBorder="1" applyAlignment="1">
      <alignment/>
    </xf>
    <xf numFmtId="0" fontId="7" fillId="11" borderId="0" xfId="0" applyFont="1" applyFill="1" applyAlignment="1">
      <alignment/>
    </xf>
    <xf numFmtId="166" fontId="7" fillId="11" borderId="0" xfId="0" applyNumberFormat="1" applyFont="1" applyFill="1" applyBorder="1" applyAlignment="1" applyProtection="1">
      <alignment/>
      <protection/>
    </xf>
    <xf numFmtId="5" fontId="7" fillId="11" borderId="0" xfId="0" applyNumberFormat="1" applyFont="1" applyFill="1" applyBorder="1" applyAlignment="1" applyProtection="1">
      <alignment/>
      <protection/>
    </xf>
    <xf numFmtId="0" fontId="52" fillId="11" borderId="3" xfId="0" applyFont="1" applyFill="1" applyBorder="1" applyAlignment="1">
      <alignment/>
    </xf>
    <xf numFmtId="0" fontId="0" fillId="11" borderId="0" xfId="0" applyFill="1" applyAlignment="1">
      <alignment/>
    </xf>
    <xf numFmtId="0" fontId="52" fillId="11" borderId="0" xfId="0" applyFont="1" applyFill="1" applyBorder="1" applyAlignment="1">
      <alignment horizontal="left"/>
    </xf>
    <xf numFmtId="0" fontId="7" fillId="11" borderId="0" xfId="0" applyFont="1" applyFill="1" applyBorder="1" applyAlignment="1">
      <alignment horizontal="left"/>
    </xf>
    <xf numFmtId="0" fontId="7" fillId="11" borderId="0" xfId="0" applyFont="1" applyFill="1" applyBorder="1" applyAlignment="1" applyProtection="1">
      <alignment/>
      <protection/>
    </xf>
    <xf numFmtId="0" fontId="7" fillId="11" borderId="0" xfId="0" applyFont="1" applyFill="1" applyBorder="1" applyAlignment="1" applyProtection="1">
      <alignment/>
      <protection/>
    </xf>
    <xf numFmtId="0" fontId="7" fillId="11" borderId="3" xfId="0" applyFont="1" applyFill="1" applyBorder="1" applyAlignment="1">
      <alignment/>
    </xf>
    <xf numFmtId="166" fontId="7" fillId="11" borderId="0" xfId="0" applyNumberFormat="1" applyFont="1" applyFill="1" applyBorder="1" applyAlignment="1" applyProtection="1">
      <alignment horizontal="left"/>
      <protection/>
    </xf>
    <xf numFmtId="1" fontId="7" fillId="11" borderId="0" xfId="0" applyNumberFormat="1" applyFont="1" applyFill="1" applyBorder="1" applyAlignment="1" applyProtection="1">
      <alignment/>
      <protection/>
    </xf>
    <xf numFmtId="182" fontId="7" fillId="11" borderId="0" xfId="0" applyNumberFormat="1" applyFont="1" applyFill="1" applyBorder="1" applyAlignment="1">
      <alignment/>
    </xf>
    <xf numFmtId="0" fontId="52" fillId="11" borderId="0" xfId="0" applyFont="1" applyFill="1" applyBorder="1" applyAlignment="1">
      <alignment/>
    </xf>
    <xf numFmtId="0" fontId="7" fillId="11" borderId="0" xfId="0" applyFont="1" applyFill="1" applyBorder="1" applyAlignment="1">
      <alignment/>
    </xf>
    <xf numFmtId="0" fontId="52" fillId="11" borderId="5" xfId="0" applyFont="1" applyFill="1" applyBorder="1" applyAlignment="1">
      <alignment/>
    </xf>
    <xf numFmtId="0" fontId="7" fillId="11" borderId="2" xfId="0" applyFont="1" applyFill="1" applyBorder="1" applyAlignment="1">
      <alignment/>
    </xf>
    <xf numFmtId="0" fontId="7" fillId="11" borderId="6" xfId="0" applyFont="1" applyFill="1" applyBorder="1" applyAlignment="1">
      <alignment/>
    </xf>
    <xf numFmtId="0" fontId="8" fillId="11" borderId="0" xfId="0" applyFont="1" applyFill="1" applyBorder="1" applyAlignment="1">
      <alignment/>
    </xf>
    <xf numFmtId="182" fontId="7" fillId="11" borderId="0" xfId="0" applyNumberFormat="1" applyFont="1" applyFill="1" applyAlignment="1">
      <alignment/>
    </xf>
    <xf numFmtId="166" fontId="7" fillId="11" borderId="4" xfId="0" applyNumberFormat="1" applyFont="1" applyFill="1" applyBorder="1" applyAlignment="1" applyProtection="1">
      <alignment/>
      <protection/>
    </xf>
    <xf numFmtId="166" fontId="7" fillId="11" borderId="0" xfId="0" applyNumberFormat="1" applyFont="1" applyFill="1" applyBorder="1" applyAlignment="1" applyProtection="1">
      <alignment horizontal="left"/>
      <protection/>
    </xf>
    <xf numFmtId="0" fontId="7" fillId="11" borderId="3" xfId="0" applyFont="1" applyFill="1" applyBorder="1" applyAlignment="1">
      <alignment/>
    </xf>
    <xf numFmtId="166" fontId="7" fillId="11" borderId="19" xfId="0" applyNumberFormat="1" applyFont="1" applyFill="1" applyBorder="1" applyAlignment="1" applyProtection="1">
      <alignment horizontal="left"/>
      <protection/>
    </xf>
    <xf numFmtId="166" fontId="7" fillId="11" borderId="4" xfId="0" applyNumberFormat="1" applyFont="1" applyFill="1" applyBorder="1" applyAlignment="1" applyProtection="1">
      <alignment/>
      <protection/>
    </xf>
    <xf numFmtId="0" fontId="50" fillId="0" borderId="0" xfId="0" applyFont="1" applyAlignment="1">
      <alignment horizontal="right"/>
    </xf>
    <xf numFmtId="0" fontId="0" fillId="0" borderId="0" xfId="0" applyAlignment="1">
      <alignment horizontal="right"/>
    </xf>
    <xf numFmtId="1" fontId="0" fillId="0" borderId="11" xfId="0" applyNumberFormat="1" applyBorder="1" applyAlignment="1">
      <alignment horizontal="right"/>
    </xf>
    <xf numFmtId="0" fontId="0" fillId="0" borderId="26" xfId="0" applyFill="1" applyBorder="1" applyAlignment="1">
      <alignment horizontal="center"/>
    </xf>
    <xf numFmtId="0" fontId="0" fillId="0" borderId="16" xfId="0" applyBorder="1" applyAlignment="1">
      <alignment/>
    </xf>
    <xf numFmtId="0" fontId="0" fillId="0" borderId="0" xfId="0" applyFill="1" applyBorder="1" applyAlignment="1">
      <alignment horizontal="right"/>
    </xf>
    <xf numFmtId="0" fontId="7" fillId="0" borderId="1" xfId="0" applyFont="1" applyFill="1" applyBorder="1" applyAlignment="1">
      <alignment/>
    </xf>
    <xf numFmtId="2" fontId="22" fillId="2" borderId="14" xfId="0" applyNumberFormat="1" applyFont="1" applyFill="1" applyBorder="1" applyAlignment="1" applyProtection="1">
      <alignment/>
      <protection locked="0"/>
    </xf>
    <xf numFmtId="0" fontId="7" fillId="0" borderId="23" xfId="0" applyFont="1" applyFill="1" applyBorder="1" applyAlignment="1">
      <alignment horizontal="left"/>
    </xf>
    <xf numFmtId="0" fontId="7" fillId="0" borderId="14" xfId="0" applyFont="1" applyFill="1" applyBorder="1" applyAlignment="1" quotePrefix="1">
      <alignment horizontal="right"/>
    </xf>
    <xf numFmtId="184" fontId="7" fillId="0" borderId="14" xfId="0" applyNumberFormat="1" applyFont="1" applyFill="1" applyBorder="1" applyAlignment="1">
      <alignment/>
    </xf>
    <xf numFmtId="175" fontId="7" fillId="0" borderId="14" xfId="0" applyNumberFormat="1" applyFont="1" applyFill="1" applyBorder="1" applyAlignment="1">
      <alignment/>
    </xf>
    <xf numFmtId="176" fontId="7" fillId="0" borderId="14" xfId="0" applyNumberFormat="1" applyFont="1" applyFill="1" applyBorder="1" applyAlignment="1">
      <alignment/>
    </xf>
    <xf numFmtId="184" fontId="7" fillId="0" borderId="38" xfId="0" applyNumberFormat="1" applyFont="1" applyFill="1" applyBorder="1" applyAlignment="1">
      <alignment/>
    </xf>
    <xf numFmtId="0" fontId="7" fillId="0" borderId="194" xfId="0" applyFont="1" applyFill="1" applyBorder="1" applyAlignment="1">
      <alignment/>
    </xf>
    <xf numFmtId="0" fontId="7" fillId="0" borderId="111" xfId="0" applyFont="1" applyFill="1" applyBorder="1" applyAlignment="1">
      <alignment horizontal="left"/>
    </xf>
    <xf numFmtId="0" fontId="7" fillId="0" borderId="111" xfId="0" applyFont="1" applyFill="1" applyBorder="1" applyAlignment="1">
      <alignment horizontal="right"/>
    </xf>
    <xf numFmtId="0" fontId="8" fillId="0" borderId="111" xfId="0" applyFont="1" applyFill="1" applyBorder="1" applyAlignment="1">
      <alignment horizontal="center"/>
    </xf>
    <xf numFmtId="184" fontId="7" fillId="0" borderId="111" xfId="0" applyNumberFormat="1" applyFont="1" applyFill="1" applyBorder="1" applyAlignment="1">
      <alignment/>
    </xf>
    <xf numFmtId="175" fontId="7" fillId="0" borderId="111" xfId="0" applyNumberFormat="1" applyFont="1" applyFill="1" applyBorder="1" applyAlignment="1">
      <alignment/>
    </xf>
    <xf numFmtId="176" fontId="7" fillId="0" borderId="111" xfId="0" applyNumberFormat="1" applyFont="1" applyFill="1" applyBorder="1" applyAlignment="1">
      <alignment/>
    </xf>
    <xf numFmtId="184" fontId="7" fillId="0" borderId="30" xfId="0" applyNumberFormat="1" applyFont="1" applyFill="1" applyBorder="1" applyAlignment="1">
      <alignment/>
    </xf>
    <xf numFmtId="2" fontId="22" fillId="2" borderId="25" xfId="0" applyNumberFormat="1" applyFont="1" applyFill="1" applyBorder="1" applyAlignment="1" applyProtection="1">
      <alignment/>
      <protection locked="0"/>
    </xf>
    <xf numFmtId="0" fontId="7" fillId="0" borderId="195" xfId="0" applyFont="1" applyFill="1" applyBorder="1" applyAlignment="1">
      <alignment horizontal="left"/>
    </xf>
    <xf numFmtId="0" fontId="7" fillId="0" borderId="25" xfId="0" applyFont="1" applyFill="1" applyBorder="1" applyAlignment="1" quotePrefix="1">
      <alignment horizontal="right"/>
    </xf>
    <xf numFmtId="0" fontId="8" fillId="0" borderId="25" xfId="0" applyFont="1" applyFill="1" applyBorder="1" applyAlignment="1">
      <alignment horizontal="center"/>
    </xf>
    <xf numFmtId="184" fontId="7" fillId="0" borderId="25" xfId="0" applyNumberFormat="1" applyFont="1" applyFill="1" applyBorder="1" applyAlignment="1">
      <alignment/>
    </xf>
    <xf numFmtId="175" fontId="7" fillId="0" borderId="25" xfId="0" applyNumberFormat="1" applyFont="1" applyFill="1" applyBorder="1" applyAlignment="1">
      <alignment/>
    </xf>
    <xf numFmtId="176" fontId="7" fillId="0" borderId="25" xfId="0" applyNumberFormat="1" applyFont="1" applyFill="1" applyBorder="1" applyAlignment="1">
      <alignment/>
    </xf>
    <xf numFmtId="184" fontId="7" fillId="0" borderId="26" xfId="0" applyNumberFormat="1" applyFont="1" applyFill="1" applyBorder="1" applyAlignment="1">
      <alignment/>
    </xf>
    <xf numFmtId="0" fontId="43" fillId="0" borderId="0" xfId="0" applyFont="1" applyBorder="1" applyAlignment="1">
      <alignment/>
    </xf>
    <xf numFmtId="0" fontId="64" fillId="0" borderId="0" xfId="0" applyFont="1" applyAlignment="1">
      <alignment/>
    </xf>
    <xf numFmtId="0" fontId="65" fillId="0" borderId="0" xfId="26" applyFont="1" applyAlignment="1">
      <alignment wrapText="1"/>
    </xf>
    <xf numFmtId="0" fontId="65" fillId="0" borderId="0" xfId="26" applyFont="1" applyAlignment="1">
      <alignment/>
    </xf>
    <xf numFmtId="42" fontId="8" fillId="0" borderId="0" xfId="0" applyNumberFormat="1" applyFont="1" applyFill="1" applyBorder="1" applyAlignment="1">
      <alignment/>
    </xf>
    <xf numFmtId="0" fontId="8" fillId="0" borderId="0" xfId="0" applyFont="1" applyAlignment="1">
      <alignment horizontal="left"/>
    </xf>
    <xf numFmtId="0" fontId="7" fillId="11" borderId="0" xfId="27" applyFill="1">
      <alignment/>
      <protection/>
    </xf>
    <xf numFmtId="0" fontId="7" fillId="11" borderId="0" xfId="27" applyFont="1" applyFill="1">
      <alignment/>
      <protection/>
    </xf>
    <xf numFmtId="0" fontId="8" fillId="0" borderId="1" xfId="0" applyFont="1" applyBorder="1" applyAlignment="1">
      <alignment horizontal="center"/>
    </xf>
    <xf numFmtId="44" fontId="7" fillId="0" borderId="143" xfId="19" applyNumberFormat="1" applyFont="1" applyBorder="1" applyAlignment="1">
      <alignment/>
    </xf>
    <xf numFmtId="0" fontId="8" fillId="0" borderId="48" xfId="0" applyFont="1" applyBorder="1" applyAlignment="1">
      <alignment horizontal="center"/>
    </xf>
    <xf numFmtId="0" fontId="8" fillId="0" borderId="49" xfId="0" applyFont="1" applyBorder="1" applyAlignment="1">
      <alignment horizontal="center"/>
    </xf>
    <xf numFmtId="0" fontId="8" fillId="0" borderId="2" xfId="0" applyFont="1" applyBorder="1" applyAlignment="1">
      <alignment horizontal="center"/>
    </xf>
    <xf numFmtId="0" fontId="8" fillId="0" borderId="48" xfId="0" applyFont="1" applyBorder="1" applyAlignment="1">
      <alignment/>
    </xf>
    <xf numFmtId="42" fontId="8" fillId="0" borderId="149" xfId="0" applyNumberFormat="1" applyFont="1" applyBorder="1" applyAlignment="1">
      <alignment horizontal="center"/>
    </xf>
    <xf numFmtId="44" fontId="8" fillId="0" borderId="140" xfId="0" applyNumberFormat="1" applyFont="1" applyBorder="1" applyAlignment="1">
      <alignment horizontal="center"/>
    </xf>
    <xf numFmtId="44" fontId="8" fillId="0" borderId="141" xfId="0" applyNumberFormat="1" applyFont="1" applyBorder="1" applyAlignment="1">
      <alignment horizontal="center"/>
    </xf>
    <xf numFmtId="44" fontId="8" fillId="0" borderId="142" xfId="0" applyNumberFormat="1" applyFont="1" applyBorder="1" applyAlignment="1">
      <alignment horizontal="center"/>
    </xf>
    <xf numFmtId="0" fontId="8" fillId="0" borderId="23" xfId="0" applyFont="1" applyBorder="1" applyAlignment="1">
      <alignment horizontal="left"/>
    </xf>
    <xf numFmtId="0" fontId="8" fillId="0" borderId="14" xfId="0" applyFont="1" applyBorder="1" applyAlignment="1">
      <alignment horizontal="center"/>
    </xf>
    <xf numFmtId="0" fontId="8" fillId="0" borderId="1" xfId="0" applyFont="1" applyBorder="1" applyAlignment="1">
      <alignment/>
    </xf>
    <xf numFmtId="42" fontId="7" fillId="0" borderId="150" xfId="0" applyNumberFormat="1" applyFont="1" applyFill="1" applyBorder="1" applyAlignment="1">
      <alignment horizontal="right"/>
    </xf>
    <xf numFmtId="42" fontId="7" fillId="0" borderId="150" xfId="19" applyNumberFormat="1" applyFont="1" applyFill="1" applyBorder="1" applyAlignment="1">
      <alignment/>
    </xf>
    <xf numFmtId="0" fontId="8" fillId="10" borderId="14" xfId="0" applyFont="1" applyFill="1" applyBorder="1" applyAlignment="1">
      <alignment/>
    </xf>
    <xf numFmtId="0" fontId="7" fillId="0" borderId="49" xfId="0" applyFont="1" applyBorder="1" applyAlignment="1">
      <alignment horizontal="left"/>
    </xf>
    <xf numFmtId="0" fontId="52" fillId="0" borderId="15" xfId="0" applyFont="1" applyBorder="1" applyAlignment="1">
      <alignment horizontal="left"/>
    </xf>
    <xf numFmtId="0" fontId="7" fillId="9" borderId="0" xfId="0" applyFont="1" applyFill="1" applyAlignment="1">
      <alignment/>
    </xf>
    <xf numFmtId="174" fontId="22" fillId="2" borderId="111" xfId="0" applyNumberFormat="1" applyFont="1" applyFill="1" applyBorder="1" applyAlignment="1" applyProtection="1">
      <alignment/>
      <protection locked="0"/>
    </xf>
    <xf numFmtId="174" fontId="22" fillId="2" borderId="11" xfId="0" applyNumberFormat="1" applyFont="1" applyFill="1" applyBorder="1" applyAlignment="1" applyProtection="1">
      <alignment/>
      <protection locked="0"/>
    </xf>
    <xf numFmtId="174" fontId="22" fillId="2" borderId="16" xfId="0" applyNumberFormat="1" applyFont="1" applyFill="1" applyBorder="1" applyAlignment="1" applyProtection="1">
      <alignment/>
      <protection locked="0"/>
    </xf>
    <xf numFmtId="0" fontId="0" fillId="0" borderId="11" xfId="0" applyFont="1" applyBorder="1" applyAlignment="1">
      <alignment vertical="top" wrapText="1"/>
    </xf>
    <xf numFmtId="2" fontId="7" fillId="0" borderId="47" xfId="0" applyNumberFormat="1" applyFont="1" applyFill="1" applyBorder="1" applyAlignment="1">
      <alignment/>
    </xf>
    <xf numFmtId="11" fontId="7" fillId="0" borderId="112" xfId="0" applyNumberFormat="1" applyFont="1" applyFill="1" applyBorder="1" applyAlignment="1">
      <alignment/>
    </xf>
    <xf numFmtId="11" fontId="7" fillId="0" borderId="38" xfId="0" applyNumberFormat="1" applyFont="1" applyFill="1" applyBorder="1" applyAlignment="1">
      <alignment/>
    </xf>
    <xf numFmtId="11" fontId="7" fillId="0" borderId="30" xfId="0" applyNumberFormat="1" applyFont="1" applyFill="1" applyBorder="1" applyAlignment="1">
      <alignment/>
    </xf>
    <xf numFmtId="0" fontId="7" fillId="8" borderId="111" xfId="0" applyFont="1" applyFill="1" applyBorder="1" applyAlignment="1" quotePrefix="1">
      <alignment/>
    </xf>
    <xf numFmtId="0" fontId="7" fillId="8" borderId="25" xfId="0" applyFont="1" applyFill="1" applyBorder="1" applyAlignment="1">
      <alignment/>
    </xf>
    <xf numFmtId="0" fontId="7" fillId="8" borderId="14" xfId="0" applyFont="1" applyFill="1" applyBorder="1" applyAlignment="1">
      <alignment/>
    </xf>
    <xf numFmtId="0" fontId="7" fillId="10" borderId="0" xfId="0" applyFont="1" applyFill="1" applyAlignment="1">
      <alignment/>
    </xf>
    <xf numFmtId="3" fontId="7" fillId="0" borderId="33" xfId="0" applyNumberFormat="1" applyFont="1" applyFill="1" applyBorder="1" applyAlignment="1" applyProtection="1">
      <alignment horizontal="left"/>
      <protection locked="0"/>
    </xf>
    <xf numFmtId="1" fontId="7" fillId="2" borderId="82" xfId="0" applyNumberFormat="1" applyFont="1" applyFill="1" applyBorder="1" applyAlignment="1" applyProtection="1">
      <alignment horizontal="center"/>
      <protection locked="0"/>
    </xf>
    <xf numFmtId="3" fontId="7" fillId="0" borderId="0" xfId="0" applyNumberFormat="1" applyFont="1" applyAlignment="1" applyProtection="1">
      <alignment horizontal="center"/>
      <protection locked="0"/>
    </xf>
    <xf numFmtId="2" fontId="7" fillId="0" borderId="11" xfId="0" applyNumberFormat="1" applyFont="1" applyFill="1" applyBorder="1" applyAlignment="1" applyProtection="1">
      <alignment horizontal="right"/>
      <protection locked="0"/>
    </xf>
    <xf numFmtId="3" fontId="8" fillId="0" borderId="196" xfId="0" applyNumberFormat="1" applyFont="1" applyBorder="1" applyAlignment="1" applyProtection="1">
      <alignment horizontal="left"/>
      <protection locked="0"/>
    </xf>
    <xf numFmtId="2" fontId="8" fillId="0" borderId="197" xfId="0" applyNumberFormat="1" applyFont="1" applyFill="1" applyBorder="1" applyAlignment="1">
      <alignment horizontal="center"/>
    </xf>
    <xf numFmtId="3" fontId="8" fillId="0" borderId="40" xfId="0" applyNumberFormat="1" applyFont="1" applyBorder="1" applyAlignment="1" applyProtection="1">
      <alignment horizontal="left"/>
      <protection locked="0"/>
    </xf>
    <xf numFmtId="2" fontId="7" fillId="0" borderId="153" xfId="0" applyNumberFormat="1" applyFont="1" applyFill="1" applyBorder="1" applyAlignment="1">
      <alignment/>
    </xf>
    <xf numFmtId="3" fontId="7" fillId="0" borderId="198" xfId="0" applyNumberFormat="1" applyFont="1" applyFill="1" applyBorder="1" applyAlignment="1" applyProtection="1">
      <alignment horizontal="left"/>
      <protection locked="0"/>
    </xf>
    <xf numFmtId="3" fontId="7" fillId="0" borderId="198" xfId="0" applyNumberFormat="1" applyFont="1" applyBorder="1" applyAlignment="1" applyProtection="1">
      <alignment horizontal="left"/>
      <protection locked="0"/>
    </xf>
    <xf numFmtId="4" fontId="7" fillId="0" borderId="11" xfId="0" applyNumberFormat="1" applyFont="1" applyBorder="1" applyAlignment="1" applyProtection="1">
      <alignment/>
      <protection locked="0"/>
    </xf>
    <xf numFmtId="4" fontId="7" fillId="0" borderId="16" xfId="0" applyNumberFormat="1" applyFont="1" applyBorder="1" applyAlignment="1" applyProtection="1">
      <alignment/>
      <protection locked="0"/>
    </xf>
    <xf numFmtId="4" fontId="7" fillId="0" borderId="45" xfId="0" applyNumberFormat="1" applyFont="1" applyBorder="1" applyAlignment="1" applyProtection="1">
      <alignment/>
      <protection locked="0"/>
    </xf>
    <xf numFmtId="4" fontId="7" fillId="0" borderId="53" xfId="0" applyNumberFormat="1" applyFont="1" applyBorder="1" applyAlignment="1" applyProtection="1">
      <alignment/>
      <protection locked="0"/>
    </xf>
    <xf numFmtId="3" fontId="7" fillId="0" borderId="5" xfId="0" applyNumberFormat="1" applyFont="1" applyBorder="1" applyAlignment="1" applyProtection="1">
      <alignment horizontal="left"/>
      <protection locked="0"/>
    </xf>
    <xf numFmtId="4" fontId="7" fillId="0" borderId="49" xfId="0" applyNumberFormat="1" applyFont="1" applyBorder="1" applyAlignment="1" applyProtection="1">
      <alignment/>
      <protection locked="0"/>
    </xf>
    <xf numFmtId="3" fontId="7" fillId="0" borderId="199" xfId="0" applyNumberFormat="1" applyFont="1" applyBorder="1" applyAlignment="1" applyProtection="1">
      <alignment horizontal="left"/>
      <protection locked="0"/>
    </xf>
    <xf numFmtId="3" fontId="8" fillId="0" borderId="37" xfId="0" applyNumberFormat="1" applyFont="1" applyBorder="1" applyAlignment="1" applyProtection="1">
      <alignment horizontal="left"/>
      <protection locked="0"/>
    </xf>
    <xf numFmtId="0" fontId="13" fillId="10" borderId="0" xfId="0" applyFont="1" applyFill="1" applyBorder="1" applyAlignment="1">
      <alignment horizontal="right"/>
    </xf>
    <xf numFmtId="0" fontId="13" fillId="10" borderId="0" xfId="0" applyFont="1" applyFill="1" applyBorder="1" applyAlignment="1">
      <alignment horizontal="left"/>
    </xf>
    <xf numFmtId="166" fontId="23" fillId="0" borderId="0" xfId="0" applyNumberFormat="1" applyFont="1" applyBorder="1" applyAlignment="1" applyProtection="1">
      <alignment/>
      <protection/>
    </xf>
    <xf numFmtId="0" fontId="7" fillId="0" borderId="11" xfId="0" applyFont="1" applyFill="1" applyBorder="1" applyAlignment="1">
      <alignment horizontal="center"/>
    </xf>
    <xf numFmtId="1" fontId="0" fillId="0" borderId="25" xfId="0" applyNumberFormat="1" applyBorder="1" applyAlignment="1">
      <alignment horizontal="right"/>
    </xf>
    <xf numFmtId="0" fontId="43" fillId="0" borderId="0" xfId="0" applyFont="1" applyFill="1" applyBorder="1" applyAlignment="1">
      <alignment horizontal="left"/>
    </xf>
    <xf numFmtId="0" fontId="7" fillId="12" borderId="0" xfId="0" applyFont="1" applyFill="1" applyBorder="1" applyAlignment="1">
      <alignment/>
    </xf>
    <xf numFmtId="0" fontId="13" fillId="12" borderId="0" xfId="0" applyFont="1" applyFill="1" applyBorder="1" applyAlignment="1">
      <alignment/>
    </xf>
    <xf numFmtId="0" fontId="66" fillId="12" borderId="0" xfId="0" applyFont="1" applyFill="1" applyBorder="1" applyAlignment="1">
      <alignment horizontal="left"/>
    </xf>
    <xf numFmtId="0" fontId="43" fillId="0" borderId="0" xfId="0" applyFont="1" applyFill="1" applyBorder="1" applyAlignment="1">
      <alignment/>
    </xf>
    <xf numFmtId="0" fontId="7" fillId="0" borderId="0" xfId="0" applyFont="1" applyFill="1" applyBorder="1" applyAlignment="1" quotePrefix="1">
      <alignment/>
    </xf>
    <xf numFmtId="185" fontId="7" fillId="8" borderId="111" xfId="0" applyNumberFormat="1" applyFont="1" applyFill="1" applyBorder="1" applyAlignment="1" applyProtection="1">
      <alignment/>
      <protection/>
    </xf>
    <xf numFmtId="185" fontId="7" fillId="8" borderId="11" xfId="0" applyNumberFormat="1" applyFont="1" applyFill="1" applyBorder="1" applyAlignment="1" applyProtection="1">
      <alignment/>
      <protection/>
    </xf>
    <xf numFmtId="3" fontId="7" fillId="0" borderId="111" xfId="31" applyNumberFormat="1" applyFont="1" applyFill="1" applyBorder="1">
      <alignment/>
      <protection/>
    </xf>
    <xf numFmtId="3" fontId="7" fillId="8" borderId="14" xfId="0" applyNumberFormat="1" applyFont="1" applyFill="1" applyBorder="1" applyAlignment="1">
      <alignment horizontal="right"/>
    </xf>
    <xf numFmtId="3" fontId="7" fillId="8" borderId="14" xfId="0" applyNumberFormat="1" applyFont="1" applyFill="1" applyBorder="1" applyAlignment="1" applyProtection="1">
      <alignment horizontal="right"/>
      <protection/>
    </xf>
    <xf numFmtId="6" fontId="7" fillId="8" borderId="97" xfId="19" applyNumberFormat="1" applyFont="1" applyFill="1" applyBorder="1" applyAlignment="1">
      <alignment/>
    </xf>
    <xf numFmtId="0" fontId="8" fillId="0" borderId="84" xfId="0" applyFont="1" applyFill="1" applyBorder="1" applyAlignment="1">
      <alignment horizontal="left"/>
    </xf>
    <xf numFmtId="0" fontId="7" fillId="10" borderId="0" xfId="0" applyFont="1" applyFill="1" applyBorder="1" applyAlignment="1">
      <alignment/>
    </xf>
    <xf numFmtId="169" fontId="7" fillId="10" borderId="0" xfId="0" applyNumberFormat="1" applyFont="1" applyFill="1" applyBorder="1" applyAlignment="1" applyProtection="1">
      <alignment/>
      <protection/>
    </xf>
    <xf numFmtId="182" fontId="7" fillId="0" borderId="27" xfId="19" applyNumberFormat="1" applyFont="1" applyFill="1" applyBorder="1" applyAlignment="1">
      <alignment/>
    </xf>
    <xf numFmtId="182" fontId="7" fillId="0" borderId="27" xfId="0" applyNumberFormat="1" applyFont="1" applyFill="1" applyBorder="1" applyAlignment="1">
      <alignment/>
    </xf>
    <xf numFmtId="182" fontId="7" fillId="0" borderId="14" xfId="0" applyNumberFormat="1" applyFont="1" applyFill="1" applyBorder="1" applyAlignment="1">
      <alignment/>
    </xf>
    <xf numFmtId="0" fontId="7" fillId="0" borderId="45" xfId="0" applyFont="1" applyFill="1" applyBorder="1" applyAlignment="1">
      <alignment/>
    </xf>
    <xf numFmtId="0" fontId="7" fillId="0" borderId="11" xfId="0" applyFont="1" applyFill="1" applyBorder="1" applyAlignment="1">
      <alignment/>
    </xf>
    <xf numFmtId="0" fontId="7" fillId="0" borderId="47" xfId="0" applyFont="1" applyFill="1" applyBorder="1" applyAlignment="1">
      <alignment/>
    </xf>
    <xf numFmtId="0" fontId="7" fillId="0" borderId="27" xfId="0" applyFont="1" applyFill="1" applyBorder="1" applyAlignment="1">
      <alignment/>
    </xf>
    <xf numFmtId="3" fontId="7" fillId="0" borderId="11" xfId="15" applyNumberFormat="1" applyFont="1" applyBorder="1" applyAlignment="1">
      <alignment/>
    </xf>
    <xf numFmtId="191" fontId="7" fillId="0" borderId="11" xfId="0" applyNumberFormat="1" applyFont="1" applyBorder="1" applyAlignment="1">
      <alignment/>
    </xf>
    <xf numFmtId="0" fontId="12" fillId="0" borderId="115" xfId="0" applyFont="1" applyBorder="1" applyAlignment="1">
      <alignment horizontal="left"/>
    </xf>
    <xf numFmtId="0" fontId="12" fillId="0" borderId="195" xfId="0" applyFont="1" applyBorder="1" applyAlignment="1">
      <alignment horizontal="left"/>
    </xf>
    <xf numFmtId="0" fontId="29" fillId="0" borderId="5" xfId="0" applyFont="1" applyBorder="1" applyAlignment="1">
      <alignment horizontal="left"/>
    </xf>
    <xf numFmtId="0" fontId="29" fillId="0" borderId="48" xfId="0" applyFont="1" applyBorder="1" applyAlignment="1">
      <alignment horizontal="left"/>
    </xf>
    <xf numFmtId="0" fontId="8" fillId="10" borderId="45" xfId="0" applyFont="1" applyFill="1" applyBorder="1" applyAlignment="1">
      <alignment/>
    </xf>
    <xf numFmtId="0" fontId="7" fillId="10" borderId="15" xfId="0" applyFont="1" applyFill="1" applyBorder="1" applyAlignment="1">
      <alignment/>
    </xf>
    <xf numFmtId="0" fontId="7" fillId="10" borderId="48" xfId="0" applyFont="1" applyFill="1" applyBorder="1" applyAlignment="1">
      <alignment/>
    </xf>
    <xf numFmtId="0" fontId="7" fillId="10" borderId="14" xfId="0" applyFont="1" applyFill="1" applyBorder="1" applyAlignment="1">
      <alignment/>
    </xf>
    <xf numFmtId="44" fontId="7" fillId="0" borderId="200" xfId="19" applyNumberFormat="1" applyFont="1" applyBorder="1" applyAlignment="1">
      <alignment/>
    </xf>
    <xf numFmtId="44" fontId="7" fillId="0" borderId="201" xfId="0" applyNumberFormat="1" applyFont="1" applyBorder="1" applyAlignment="1">
      <alignment/>
    </xf>
    <xf numFmtId="44" fontId="7" fillId="0" borderId="202" xfId="0" applyNumberFormat="1" applyFont="1" applyBorder="1" applyAlignment="1">
      <alignment/>
    </xf>
    <xf numFmtId="44" fontId="7" fillId="0" borderId="201" xfId="19" applyNumberFormat="1" applyFont="1" applyBorder="1" applyAlignment="1">
      <alignment/>
    </xf>
    <xf numFmtId="44" fontId="7" fillId="0" borderId="202" xfId="19" applyNumberFormat="1" applyFont="1" applyBorder="1" applyAlignment="1">
      <alignment/>
    </xf>
    <xf numFmtId="0" fontId="42" fillId="0" borderId="11" xfId="0" applyFont="1" applyFill="1" applyBorder="1" applyAlignment="1">
      <alignment/>
    </xf>
    <xf numFmtId="0" fontId="23" fillId="0" borderId="15" xfId="0" applyFont="1" applyBorder="1" applyAlignment="1">
      <alignment/>
    </xf>
    <xf numFmtId="0" fontId="8" fillId="0" borderId="11" xfId="0" applyFont="1" applyFill="1" applyBorder="1" applyAlignment="1">
      <alignment/>
    </xf>
    <xf numFmtId="0" fontId="8" fillId="10" borderId="15" xfId="0" applyFont="1" applyFill="1" applyBorder="1" applyAlignment="1">
      <alignment/>
    </xf>
    <xf numFmtId="39" fontId="7" fillId="0" borderId="14" xfId="0" applyNumberFormat="1" applyFont="1" applyFill="1" applyBorder="1" applyAlignment="1">
      <alignment horizontal="center"/>
    </xf>
    <xf numFmtId="0" fontId="7" fillId="0" borderId="1" xfId="0" applyFont="1" applyFill="1" applyBorder="1" applyAlignment="1">
      <alignment horizontal="center"/>
    </xf>
    <xf numFmtId="0" fontId="7" fillId="0" borderId="23" xfId="0" applyFont="1" applyFill="1" applyBorder="1" applyAlignment="1">
      <alignment/>
    </xf>
    <xf numFmtId="44" fontId="7" fillId="0" borderId="143" xfId="0" applyNumberFormat="1" applyFont="1" applyFill="1" applyBorder="1" applyAlignment="1">
      <alignment/>
    </xf>
    <xf numFmtId="44" fontId="7" fillId="0" borderId="144" xfId="0" applyNumberFormat="1" applyFont="1" applyFill="1" applyBorder="1" applyAlignment="1">
      <alignment/>
    </xf>
    <xf numFmtId="42" fontId="7" fillId="0" borderId="150" xfId="0" applyNumberFormat="1" applyFont="1" applyFill="1" applyBorder="1" applyAlignment="1">
      <alignment/>
    </xf>
    <xf numFmtId="44" fontId="7" fillId="0" borderId="145" xfId="0" applyNumberFormat="1" applyFont="1" applyFill="1" applyBorder="1" applyAlignment="1">
      <alignment/>
    </xf>
    <xf numFmtId="39" fontId="7" fillId="0" borderId="27" xfId="0" applyNumberFormat="1" applyFont="1" applyFill="1" applyBorder="1" applyAlignment="1">
      <alignment horizontal="center"/>
    </xf>
    <xf numFmtId="0" fontId="7" fillId="0" borderId="27" xfId="0" applyFont="1" applyFill="1" applyBorder="1" applyAlignment="1">
      <alignment horizontal="left"/>
    </xf>
    <xf numFmtId="0" fontId="7" fillId="0" borderId="15" xfId="0" applyFont="1" applyFill="1" applyBorder="1" applyAlignment="1">
      <alignment/>
    </xf>
    <xf numFmtId="42" fontId="7" fillId="0" borderId="147" xfId="0" applyNumberFormat="1" applyFont="1" applyFill="1" applyBorder="1" applyAlignment="1">
      <alignment horizontal="right"/>
    </xf>
    <xf numFmtId="44" fontId="7" fillId="0" borderId="137" xfId="0" applyNumberFormat="1" applyFont="1" applyFill="1" applyBorder="1" applyAlignment="1">
      <alignment/>
    </xf>
    <xf numFmtId="44" fontId="7" fillId="0" borderId="138" xfId="0" applyNumberFormat="1" applyFont="1" applyFill="1" applyBorder="1" applyAlignment="1">
      <alignment/>
    </xf>
    <xf numFmtId="42" fontId="7" fillId="0" borderId="147" xfId="0" applyNumberFormat="1" applyFont="1" applyFill="1" applyBorder="1" applyAlignment="1">
      <alignment/>
    </xf>
    <xf numFmtId="44" fontId="7" fillId="0" borderId="139" xfId="0" applyNumberFormat="1" applyFont="1" applyFill="1" applyBorder="1" applyAlignment="1">
      <alignment/>
    </xf>
    <xf numFmtId="39" fontId="7" fillId="0" borderId="11" xfId="0" applyNumberFormat="1" applyFont="1" applyFill="1" applyBorder="1" applyAlignment="1">
      <alignment horizontal="center"/>
    </xf>
    <xf numFmtId="0" fontId="7" fillId="0" borderId="46" xfId="0" applyFont="1" applyFill="1" applyBorder="1" applyAlignment="1">
      <alignment horizontal="center"/>
    </xf>
    <xf numFmtId="42" fontId="7" fillId="0" borderId="148" xfId="0" applyNumberFormat="1" applyFont="1" applyFill="1" applyBorder="1" applyAlignment="1">
      <alignment horizontal="right"/>
    </xf>
    <xf numFmtId="44" fontId="7" fillId="0" borderId="203" xfId="0" applyNumberFormat="1" applyFont="1" applyFill="1" applyBorder="1" applyAlignment="1">
      <alignment/>
    </xf>
    <xf numFmtId="44" fontId="7" fillId="0" borderId="204" xfId="0" applyNumberFormat="1" applyFont="1" applyFill="1" applyBorder="1" applyAlignment="1">
      <alignment/>
    </xf>
    <xf numFmtId="42" fontId="7" fillId="0" borderId="148" xfId="0" applyNumberFormat="1" applyFont="1" applyFill="1" applyBorder="1" applyAlignment="1">
      <alignment/>
    </xf>
    <xf numFmtId="44" fontId="7" fillId="0" borderId="205" xfId="0" applyNumberFormat="1" applyFont="1" applyFill="1" applyBorder="1" applyAlignment="1">
      <alignment/>
    </xf>
    <xf numFmtId="39" fontId="7" fillId="0" borderId="49" xfId="0" applyNumberFormat="1" applyFont="1" applyFill="1" applyBorder="1" applyAlignment="1">
      <alignment horizontal="center"/>
    </xf>
    <xf numFmtId="0" fontId="7" fillId="0" borderId="49" xfId="0" applyFont="1" applyFill="1" applyBorder="1" applyAlignment="1">
      <alignment/>
    </xf>
    <xf numFmtId="0" fontId="7" fillId="0" borderId="2" xfId="0" applyFont="1" applyFill="1" applyBorder="1" applyAlignment="1">
      <alignment horizontal="center"/>
    </xf>
    <xf numFmtId="0" fontId="7" fillId="0" borderId="48" xfId="0" applyFont="1" applyFill="1" applyBorder="1" applyAlignment="1">
      <alignment/>
    </xf>
    <xf numFmtId="42" fontId="7" fillId="0" borderId="149" xfId="0" applyNumberFormat="1" applyFont="1" applyFill="1" applyBorder="1" applyAlignment="1">
      <alignment horizontal="right"/>
    </xf>
    <xf numFmtId="44" fontId="7" fillId="0" borderId="140" xfId="0" applyNumberFormat="1" applyFont="1" applyFill="1" applyBorder="1" applyAlignment="1">
      <alignment/>
    </xf>
    <xf numFmtId="44" fontId="7" fillId="0" borderId="141" xfId="0" applyNumberFormat="1" applyFont="1" applyFill="1" applyBorder="1" applyAlignment="1">
      <alignment/>
    </xf>
    <xf numFmtId="42" fontId="7" fillId="0" borderId="149" xfId="0" applyNumberFormat="1" applyFont="1" applyFill="1" applyBorder="1" applyAlignment="1">
      <alignment/>
    </xf>
    <xf numFmtId="44" fontId="7" fillId="0" borderId="142" xfId="0" applyNumberFormat="1" applyFont="1" applyFill="1" applyBorder="1" applyAlignment="1">
      <alignment/>
    </xf>
    <xf numFmtId="1" fontId="7" fillId="0" borderId="25" xfId="0" applyNumberFormat="1" applyFont="1" applyFill="1" applyBorder="1" applyAlignment="1">
      <alignment horizontal="center"/>
    </xf>
    <xf numFmtId="1" fontId="7" fillId="0" borderId="123" xfId="0" applyNumberFormat="1" applyFont="1" applyFill="1" applyBorder="1" applyAlignment="1">
      <alignment horizontal="center"/>
    </xf>
    <xf numFmtId="0" fontId="7" fillId="0" borderId="195" xfId="0" applyFont="1" applyFill="1" applyBorder="1" applyAlignment="1">
      <alignment/>
    </xf>
    <xf numFmtId="42" fontId="7" fillId="0" borderId="206" xfId="0" applyNumberFormat="1" applyFont="1" applyFill="1" applyBorder="1" applyAlignment="1">
      <alignment horizontal="right"/>
    </xf>
    <xf numFmtId="44" fontId="7" fillId="0" borderId="207" xfId="0" applyNumberFormat="1" applyFont="1" applyFill="1" applyBorder="1" applyAlignment="1">
      <alignment/>
    </xf>
    <xf numFmtId="44" fontId="7" fillId="0" borderId="208" xfId="0" applyNumberFormat="1" applyFont="1" applyFill="1" applyBorder="1" applyAlignment="1">
      <alignment/>
    </xf>
    <xf numFmtId="42" fontId="7" fillId="0" borderId="206" xfId="0" applyNumberFormat="1" applyFont="1" applyFill="1" applyBorder="1" applyAlignment="1">
      <alignment/>
    </xf>
    <xf numFmtId="44" fontId="7" fillId="0" borderId="207" xfId="19" applyNumberFormat="1" applyFont="1" applyFill="1" applyBorder="1" applyAlignment="1">
      <alignment/>
    </xf>
    <xf numFmtId="44" fontId="7" fillId="0" borderId="209" xfId="19" applyNumberFormat="1" applyFont="1" applyFill="1" applyBorder="1" applyAlignment="1">
      <alignment/>
    </xf>
    <xf numFmtId="0" fontId="8" fillId="10" borderId="111" xfId="0" applyFont="1" applyFill="1" applyBorder="1" applyAlignment="1">
      <alignment horizontal="center"/>
    </xf>
    <xf numFmtId="0" fontId="8" fillId="10" borderId="48" xfId="0" applyFont="1" applyFill="1" applyBorder="1" applyAlignment="1">
      <alignment horizontal="center"/>
    </xf>
    <xf numFmtId="4" fontId="7" fillId="0" borderId="11" xfId="0" applyNumberFormat="1" applyFont="1" applyBorder="1" applyAlignment="1">
      <alignment/>
    </xf>
    <xf numFmtId="4" fontId="7" fillId="2" borderId="14" xfId="0" applyNumberFormat="1" applyFont="1" applyFill="1" applyBorder="1" applyAlignment="1">
      <alignment/>
    </xf>
    <xf numFmtId="164" fontId="7" fillId="0" borderId="210" xfId="0" applyNumberFormat="1" applyFont="1" applyFill="1" applyBorder="1" applyAlignment="1">
      <alignment/>
    </xf>
    <xf numFmtId="1" fontId="7" fillId="0" borderId="13" xfId="0" applyNumberFormat="1" applyFont="1" applyFill="1" applyBorder="1" applyAlignment="1">
      <alignment/>
    </xf>
    <xf numFmtId="2" fontId="7" fillId="0" borderId="13" xfId="0" applyNumberFormat="1" applyFont="1" applyFill="1" applyBorder="1" applyAlignment="1">
      <alignment/>
    </xf>
    <xf numFmtId="169" fontId="7" fillId="2" borderId="211" xfId="0" applyNumberFormat="1" applyFont="1" applyFill="1" applyBorder="1" applyAlignment="1" applyProtection="1">
      <alignment/>
      <protection/>
    </xf>
    <xf numFmtId="2" fontId="7" fillId="0" borderId="210" xfId="0" applyNumberFormat="1" applyFont="1" applyFill="1" applyBorder="1" applyAlignment="1" applyProtection="1">
      <alignment/>
      <protection/>
    </xf>
    <xf numFmtId="2" fontId="7" fillId="0" borderId="211" xfId="0" applyNumberFormat="1" applyFont="1" applyFill="1" applyBorder="1" applyAlignment="1">
      <alignment/>
    </xf>
    <xf numFmtId="0" fontId="7" fillId="0" borderId="210" xfId="0" applyFont="1" applyFill="1" applyBorder="1" applyAlignment="1">
      <alignment/>
    </xf>
    <xf numFmtId="168" fontId="7" fillId="0" borderId="13" xfId="0" applyNumberFormat="1" applyFont="1" applyFill="1" applyBorder="1" applyAlignment="1" applyProtection="1">
      <alignment horizontal="left"/>
      <protection/>
    </xf>
    <xf numFmtId="168" fontId="7" fillId="0" borderId="13" xfId="0" applyNumberFormat="1" applyFont="1" applyFill="1" applyBorder="1" applyAlignment="1" applyProtection="1">
      <alignment/>
      <protection/>
    </xf>
    <xf numFmtId="168" fontId="7" fillId="0" borderId="211" xfId="0" applyNumberFormat="1" applyFont="1" applyFill="1" applyBorder="1" applyAlignment="1" applyProtection="1">
      <alignment/>
      <protection/>
    </xf>
    <xf numFmtId="1" fontId="7" fillId="0" borderId="211" xfId="0" applyNumberFormat="1" applyFont="1" applyFill="1" applyBorder="1" applyAlignment="1" applyProtection="1">
      <alignment/>
      <protection/>
    </xf>
    <xf numFmtId="37" fontId="7" fillId="0" borderId="210" xfId="0" applyNumberFormat="1" applyFont="1" applyFill="1" applyBorder="1" applyAlignment="1" applyProtection="1">
      <alignment/>
      <protection/>
    </xf>
    <xf numFmtId="37" fontId="7" fillId="0" borderId="211" xfId="0" applyNumberFormat="1" applyFont="1" applyFill="1" applyBorder="1" applyAlignment="1" applyProtection="1">
      <alignment/>
      <protection/>
    </xf>
    <xf numFmtId="37" fontId="7" fillId="0" borderId="13" xfId="0" applyNumberFormat="1" applyFont="1" applyFill="1" applyBorder="1" applyAlignment="1">
      <alignment/>
    </xf>
    <xf numFmtId="2" fontId="7" fillId="0" borderId="13" xfId="0" applyNumberFormat="1" applyFont="1" applyFill="1" applyBorder="1" applyAlignment="1" applyProtection="1">
      <alignment/>
      <protection/>
    </xf>
    <xf numFmtId="5" fontId="8" fillId="0" borderId="0" xfId="0" applyNumberFormat="1" applyFont="1" applyBorder="1" applyAlignment="1">
      <alignment horizontal="right"/>
    </xf>
    <xf numFmtId="171" fontId="7" fillId="0" borderId="13" xfId="0" applyNumberFormat="1" applyFont="1" applyFill="1" applyBorder="1" applyAlignment="1" applyProtection="1">
      <alignment/>
      <protection/>
    </xf>
    <xf numFmtId="39" fontId="7" fillId="0" borderId="211" xfId="0" applyNumberFormat="1" applyFont="1" applyFill="1" applyBorder="1" applyAlignment="1">
      <alignment/>
    </xf>
    <xf numFmtId="2" fontId="7" fillId="0" borderId="25" xfId="0" applyNumberFormat="1" applyFont="1" applyFill="1" applyBorder="1" applyAlignment="1">
      <alignment/>
    </xf>
    <xf numFmtId="4" fontId="7" fillId="6" borderId="14" xfId="0" applyNumberFormat="1" applyFont="1" applyFill="1" applyBorder="1" applyAlignment="1" applyProtection="1">
      <alignment/>
      <protection locked="0"/>
    </xf>
    <xf numFmtId="164" fontId="7" fillId="0" borderId="0" xfId="0" applyNumberFormat="1" applyFont="1" applyAlignment="1">
      <alignment/>
    </xf>
    <xf numFmtId="164" fontId="8" fillId="0" borderId="28" xfId="0" applyNumberFormat="1" applyFont="1" applyBorder="1" applyAlignment="1">
      <alignment horizontal="center"/>
    </xf>
    <xf numFmtId="3" fontId="7" fillId="2" borderId="14" xfId="0" applyNumberFormat="1" applyFont="1" applyFill="1" applyBorder="1" applyAlignment="1">
      <alignment/>
    </xf>
    <xf numFmtId="191" fontId="7" fillId="2" borderId="14" xfId="0" applyNumberFormat="1" applyFont="1" applyFill="1" applyBorder="1" applyAlignment="1">
      <alignment/>
    </xf>
    <xf numFmtId="4" fontId="43" fillId="0" borderId="0" xfId="0" applyNumberFormat="1" applyFont="1" applyBorder="1" applyAlignment="1">
      <alignment/>
    </xf>
    <xf numFmtId="4" fontId="7" fillId="0" borderId="0" xfId="0" applyNumberFormat="1" applyFont="1" applyAlignment="1">
      <alignment/>
    </xf>
    <xf numFmtId="4" fontId="7" fillId="0" borderId="0" xfId="0" applyNumberFormat="1" applyFont="1" applyBorder="1" applyAlignment="1">
      <alignment/>
    </xf>
    <xf numFmtId="42" fontId="7" fillId="0" borderId="131" xfId="0" applyNumberFormat="1" applyFont="1" applyFill="1" applyBorder="1" applyAlignment="1">
      <alignment/>
    </xf>
    <xf numFmtId="42" fontId="7" fillId="0" borderId="212" xfId="0" applyNumberFormat="1" applyFont="1" applyFill="1" applyBorder="1" applyAlignment="1">
      <alignment/>
    </xf>
    <xf numFmtId="42" fontId="7" fillId="0" borderId="156" xfId="0" applyNumberFormat="1" applyFont="1" applyFill="1" applyBorder="1" applyAlignment="1">
      <alignment/>
    </xf>
    <xf numFmtId="0" fontId="8" fillId="0" borderId="129" xfId="0" applyFont="1" applyBorder="1" applyAlignment="1">
      <alignment horizontal="center"/>
    </xf>
    <xf numFmtId="0" fontId="8" fillId="0" borderId="154" xfId="0" applyFont="1" applyBorder="1" applyAlignment="1">
      <alignment horizontal="center"/>
    </xf>
    <xf numFmtId="0" fontId="8" fillId="0" borderId="130" xfId="0" applyFont="1" applyBorder="1" applyAlignment="1">
      <alignment horizontal="center"/>
    </xf>
    <xf numFmtId="39" fontId="23" fillId="0" borderId="49" xfId="0" applyNumberFormat="1" applyFont="1" applyFill="1" applyBorder="1" applyAlignment="1" applyProtection="1">
      <alignment/>
      <protection/>
    </xf>
    <xf numFmtId="190" fontId="29" fillId="0" borderId="49" xfId="0" applyNumberFormat="1" applyFont="1" applyBorder="1" applyAlignment="1">
      <alignment horizontal="center"/>
    </xf>
    <xf numFmtId="0" fontId="29" fillId="0" borderId="136" xfId="0" applyFont="1" applyBorder="1" applyAlignment="1">
      <alignment horizontal="center"/>
    </xf>
    <xf numFmtId="0" fontId="7" fillId="0" borderId="1" xfId="0" applyFont="1" applyBorder="1" applyAlignment="1">
      <alignment/>
    </xf>
    <xf numFmtId="0" fontId="8" fillId="10" borderId="195" xfId="0" applyFont="1" applyFill="1" applyBorder="1" applyAlignment="1">
      <alignment/>
    </xf>
    <xf numFmtId="0" fontId="7" fillId="0" borderId="25" xfId="0" applyFont="1" applyBorder="1" applyAlignment="1">
      <alignment/>
    </xf>
    <xf numFmtId="0" fontId="7" fillId="0" borderId="123" xfId="0" applyFont="1" applyBorder="1" applyAlignment="1">
      <alignment horizontal="center"/>
    </xf>
    <xf numFmtId="0" fontId="7" fillId="0" borderId="195" xfId="0" applyFont="1" applyBorder="1" applyAlignment="1">
      <alignment/>
    </xf>
    <xf numFmtId="42" fontId="7" fillId="0" borderId="206" xfId="0" applyNumberFormat="1" applyFont="1" applyBorder="1" applyAlignment="1">
      <alignment horizontal="right"/>
    </xf>
    <xf numFmtId="44" fontId="7" fillId="0" borderId="207" xfId="0" applyNumberFormat="1" applyFont="1" applyBorder="1" applyAlignment="1">
      <alignment/>
    </xf>
    <xf numFmtId="44" fontId="7" fillId="0" borderId="208" xfId="0" applyNumberFormat="1" applyFont="1" applyBorder="1" applyAlignment="1">
      <alignment/>
    </xf>
    <xf numFmtId="42" fontId="7" fillId="0" borderId="206" xfId="0" applyNumberFormat="1" applyFont="1" applyBorder="1" applyAlignment="1">
      <alignment/>
    </xf>
    <xf numFmtId="0" fontId="7" fillId="10" borderId="49" xfId="0" applyFont="1" applyFill="1" applyBorder="1" applyAlignment="1">
      <alignment/>
    </xf>
    <xf numFmtId="0" fontId="8" fillId="10" borderId="23" xfId="0" applyFont="1" applyFill="1" applyBorder="1" applyAlignment="1">
      <alignment/>
    </xf>
    <xf numFmtId="0" fontId="7" fillId="10" borderId="27" xfId="0" applyFont="1" applyFill="1" applyBorder="1" applyAlignment="1">
      <alignment/>
    </xf>
    <xf numFmtId="39" fontId="7" fillId="0" borderId="14" xfId="0" applyNumberFormat="1" applyFont="1" applyBorder="1" applyAlignment="1">
      <alignment horizontal="center"/>
    </xf>
    <xf numFmtId="0" fontId="8" fillId="0" borderId="195" xfId="0" applyFont="1" applyBorder="1" applyAlignment="1">
      <alignment/>
    </xf>
    <xf numFmtId="0" fontId="7" fillId="0" borderId="25" xfId="0" applyFont="1" applyBorder="1" applyAlignment="1">
      <alignment horizontal="center"/>
    </xf>
    <xf numFmtId="44" fontId="7" fillId="0" borderId="209" xfId="0" applyNumberFormat="1" applyFont="1" applyBorder="1" applyAlignment="1">
      <alignment/>
    </xf>
    <xf numFmtId="0" fontId="7" fillId="0" borderId="49" xfId="0" applyFont="1" applyBorder="1" applyAlignment="1">
      <alignment horizontal="center"/>
    </xf>
    <xf numFmtId="3" fontId="0" fillId="0" borderId="11" xfId="0" applyNumberFormat="1" applyBorder="1" applyAlignment="1">
      <alignment/>
    </xf>
    <xf numFmtId="0" fontId="0" fillId="0" borderId="11" xfId="0" applyBorder="1" applyAlignment="1">
      <alignment/>
    </xf>
    <xf numFmtId="0" fontId="0" fillId="0" borderId="29" xfId="0" applyBorder="1" applyAlignment="1">
      <alignment horizontal="center"/>
    </xf>
    <xf numFmtId="0" fontId="0" fillId="0" borderId="16" xfId="0" applyBorder="1" applyAlignment="1">
      <alignment horizontal="left"/>
    </xf>
    <xf numFmtId="0" fontId="0" fillId="0" borderId="16" xfId="0" applyBorder="1" applyAlignment="1">
      <alignment/>
    </xf>
    <xf numFmtId="1" fontId="0" fillId="0" borderId="16" xfId="0" applyNumberFormat="1" applyBorder="1" applyAlignment="1">
      <alignment horizontal="right"/>
    </xf>
    <xf numFmtId="0" fontId="0" fillId="0" borderId="30" xfId="0" applyFill="1" applyBorder="1" applyAlignment="1">
      <alignment horizontal="left"/>
    </xf>
    <xf numFmtId="0" fontId="0" fillId="0" borderId="85" xfId="0" applyBorder="1" applyAlignment="1">
      <alignment horizontal="center" vertical="center"/>
    </xf>
    <xf numFmtId="0" fontId="0" fillId="0" borderId="11" xfId="0" applyBorder="1" applyAlignment="1">
      <alignment vertical="center"/>
    </xf>
    <xf numFmtId="0" fontId="7" fillId="0" borderId="83" xfId="0" applyFont="1" applyBorder="1" applyAlignment="1">
      <alignment horizontal="center"/>
    </xf>
    <xf numFmtId="39" fontId="7" fillId="8" borderId="11" xfId="0" applyNumberFormat="1" applyFont="1" applyFill="1" applyBorder="1" applyAlignment="1" applyProtection="1">
      <alignment/>
      <protection/>
    </xf>
    <xf numFmtId="2" fontId="7" fillId="0" borderId="11" xfId="0" applyNumberFormat="1" applyFont="1" applyFill="1" applyBorder="1" applyAlignment="1" applyProtection="1">
      <alignment horizontal="right"/>
      <protection/>
    </xf>
    <xf numFmtId="39" fontId="7" fillId="0" borderId="11" xfId="0" applyNumberFormat="1" applyFont="1" applyFill="1" applyBorder="1" applyAlignment="1" applyProtection="1">
      <alignment/>
      <protection/>
    </xf>
    <xf numFmtId="195" fontId="7" fillId="0" borderId="11" xfId="0" applyNumberFormat="1" applyFont="1" applyFill="1" applyBorder="1" applyAlignment="1" applyProtection="1">
      <alignment/>
      <protection/>
    </xf>
    <xf numFmtId="194" fontId="7" fillId="8" borderId="11" xfId="0" applyNumberFormat="1" applyFont="1" applyFill="1" applyBorder="1" applyAlignment="1" applyProtection="1">
      <alignment/>
      <protection/>
    </xf>
    <xf numFmtId="194" fontId="7" fillId="0" borderId="0" xfId="0" applyNumberFormat="1" applyFont="1" applyBorder="1" applyAlignment="1">
      <alignment horizontal="right"/>
    </xf>
    <xf numFmtId="191" fontId="7" fillId="0" borderId="0" xfId="0" applyNumberFormat="1" applyFont="1" applyBorder="1" applyAlignment="1">
      <alignment/>
    </xf>
    <xf numFmtId="191" fontId="7" fillId="0" borderId="0" xfId="0" applyNumberFormat="1" applyFont="1" applyFill="1" applyBorder="1" applyAlignment="1">
      <alignment/>
    </xf>
    <xf numFmtId="0" fontId="7" fillId="13" borderId="0" xfId="0" applyFont="1" applyFill="1" applyBorder="1" applyAlignment="1">
      <alignment/>
    </xf>
    <xf numFmtId="191" fontId="7" fillId="13" borderId="16" xfId="0" applyNumberFormat="1" applyFont="1" applyFill="1" applyBorder="1" applyAlignment="1">
      <alignment/>
    </xf>
    <xf numFmtId="3" fontId="7" fillId="0" borderId="16" xfId="0" applyNumberFormat="1" applyFont="1" applyBorder="1" applyAlignment="1">
      <alignment/>
    </xf>
    <xf numFmtId="191" fontId="7" fillId="0" borderId="16" xfId="0" applyNumberFormat="1" applyFont="1" applyBorder="1" applyAlignment="1">
      <alignment/>
    </xf>
    <xf numFmtId="191" fontId="7" fillId="0" borderId="30" xfId="0" applyNumberFormat="1" applyFont="1" applyBorder="1" applyAlignment="1">
      <alignment/>
    </xf>
    <xf numFmtId="2" fontId="7" fillId="0" borderId="97" xfId="0" applyNumberFormat="1" applyFont="1" applyFill="1" applyBorder="1" applyAlignment="1" applyProtection="1">
      <alignment/>
      <protection locked="0"/>
    </xf>
    <xf numFmtId="194" fontId="7" fillId="0" borderId="30" xfId="0" applyNumberFormat="1" applyFont="1" applyBorder="1" applyAlignment="1">
      <alignment horizontal="right"/>
    </xf>
    <xf numFmtId="0" fontId="8" fillId="0" borderId="191" xfId="0" applyFont="1" applyBorder="1" applyAlignment="1">
      <alignment horizontal="center"/>
    </xf>
    <xf numFmtId="3" fontId="7" fillId="0" borderId="13" xfId="0" applyNumberFormat="1" applyFont="1" applyBorder="1" applyAlignment="1">
      <alignment/>
    </xf>
    <xf numFmtId="4" fontId="7" fillId="13" borderId="22" xfId="0" applyNumberFormat="1" applyFont="1" applyFill="1" applyBorder="1" applyAlignment="1">
      <alignment/>
    </xf>
    <xf numFmtId="4" fontId="8" fillId="0" borderId="11" xfId="0" applyNumberFormat="1" applyFont="1" applyBorder="1" applyAlignment="1">
      <alignment/>
    </xf>
    <xf numFmtId="191" fontId="8" fillId="0" borderId="11" xfId="0" applyNumberFormat="1" applyFont="1" applyBorder="1" applyAlignment="1">
      <alignment/>
    </xf>
    <xf numFmtId="3" fontId="8" fillId="0" borderId="11" xfId="0" applyNumberFormat="1" applyFont="1" applyBorder="1" applyAlignment="1">
      <alignment/>
    </xf>
    <xf numFmtId="164" fontId="8" fillId="0" borderId="11" xfId="0" applyNumberFormat="1" applyFont="1" applyBorder="1" applyAlignment="1">
      <alignment/>
    </xf>
    <xf numFmtId="3" fontId="8" fillId="0" borderId="11" xfId="15" applyNumberFormat="1" applyFont="1" applyBorder="1" applyAlignment="1">
      <alignment/>
    </xf>
    <xf numFmtId="3" fontId="7" fillId="0" borderId="14" xfId="0" applyNumberFormat="1" applyFont="1" applyBorder="1" applyAlignment="1">
      <alignment/>
    </xf>
    <xf numFmtId="38" fontId="7" fillId="0" borderId="14" xfId="15" applyNumberFormat="1" applyFont="1" applyFill="1" applyBorder="1" applyAlignment="1">
      <alignment horizontal="right"/>
    </xf>
    <xf numFmtId="0" fontId="7" fillId="0" borderId="120" xfId="0" applyFont="1" applyFill="1" applyBorder="1" applyAlignment="1">
      <alignment horizontal="left"/>
    </xf>
    <xf numFmtId="0" fontId="7" fillId="0" borderId="120" xfId="0" applyFont="1" applyBorder="1" applyAlignment="1">
      <alignment/>
    </xf>
    <xf numFmtId="3" fontId="7" fillId="13" borderId="38" xfId="0" applyNumberFormat="1" applyFont="1" applyFill="1" applyBorder="1" applyAlignment="1">
      <alignment/>
    </xf>
    <xf numFmtId="0" fontId="7" fillId="13" borderId="15" xfId="0" applyFont="1" applyFill="1" applyBorder="1" applyAlignment="1">
      <alignment/>
    </xf>
    <xf numFmtId="0" fontId="7" fillId="13" borderId="153" xfId="0" applyFont="1" applyFill="1" applyBorder="1" applyAlignment="1">
      <alignment/>
    </xf>
    <xf numFmtId="3" fontId="7" fillId="13" borderId="0" xfId="0" applyNumberFormat="1" applyFont="1" applyFill="1" applyBorder="1" applyAlignment="1">
      <alignment/>
    </xf>
    <xf numFmtId="3" fontId="7" fillId="0" borderId="0" xfId="0" applyNumberFormat="1" applyFont="1" applyAlignment="1">
      <alignment/>
    </xf>
    <xf numFmtId="3" fontId="8" fillId="0" borderId="28" xfId="0" applyNumberFormat="1" applyFont="1" applyBorder="1" applyAlignment="1">
      <alignment horizontal="center"/>
    </xf>
    <xf numFmtId="44" fontId="7" fillId="10" borderId="144" xfId="0" applyNumberFormat="1" applyFont="1" applyFill="1" applyBorder="1" applyAlignment="1">
      <alignment horizontal="center"/>
    </xf>
    <xf numFmtId="0" fontId="8" fillId="10" borderId="213" xfId="0" applyFont="1" applyFill="1" applyBorder="1" applyAlignment="1">
      <alignment horizontal="center" wrapText="1"/>
    </xf>
    <xf numFmtId="0" fontId="8" fillId="10" borderId="214" xfId="0" applyFont="1" applyFill="1" applyBorder="1" applyAlignment="1">
      <alignment horizontal="center" wrapText="1"/>
    </xf>
    <xf numFmtId="0" fontId="8" fillId="10" borderId="215" xfId="0" applyFont="1" applyFill="1" applyBorder="1" applyAlignment="1">
      <alignment horizontal="center" wrapText="1"/>
    </xf>
    <xf numFmtId="0" fontId="8" fillId="10" borderId="216" xfId="0" applyFont="1" applyFill="1" applyBorder="1" applyAlignment="1">
      <alignment horizontal="center" wrapText="1"/>
    </xf>
    <xf numFmtId="0" fontId="8" fillId="10" borderId="217" xfId="0" applyFont="1" applyFill="1" applyBorder="1" applyAlignment="1">
      <alignment horizontal="center" wrapText="1"/>
    </xf>
    <xf numFmtId="0" fontId="8" fillId="10" borderId="149" xfId="0" applyFont="1" applyFill="1" applyBorder="1" applyAlignment="1">
      <alignment horizontal="center" wrapText="1"/>
    </xf>
    <xf numFmtId="0" fontId="8" fillId="10" borderId="218" xfId="0" applyFont="1" applyFill="1" applyBorder="1" applyAlignment="1">
      <alignment horizontal="center" wrapText="1"/>
    </xf>
    <xf numFmtId="0" fontId="8" fillId="10" borderId="219" xfId="0" applyFont="1" applyFill="1" applyBorder="1" applyAlignment="1">
      <alignment horizontal="center" wrapText="1"/>
    </xf>
    <xf numFmtId="0" fontId="8" fillId="10" borderId="220" xfId="0" applyFont="1" applyFill="1" applyBorder="1" applyAlignment="1">
      <alignment horizontal="center" wrapText="1"/>
    </xf>
    <xf numFmtId="0" fontId="8" fillId="10" borderId="221" xfId="0" applyFont="1" applyFill="1" applyBorder="1" applyAlignment="1">
      <alignment horizontal="center" wrapText="1"/>
    </xf>
    <xf numFmtId="42" fontId="7" fillId="10" borderId="206" xfId="0" applyNumberFormat="1" applyFont="1" applyFill="1" applyBorder="1" applyAlignment="1">
      <alignment horizontal="right"/>
    </xf>
    <xf numFmtId="44" fontId="7" fillId="10" borderId="207" xfId="0" applyNumberFormat="1" applyFont="1" applyFill="1" applyBorder="1" applyAlignment="1">
      <alignment/>
    </xf>
    <xf numFmtId="44" fontId="7" fillId="10" borderId="208" xfId="0" applyNumberFormat="1" applyFont="1" applyFill="1" applyBorder="1" applyAlignment="1">
      <alignment/>
    </xf>
    <xf numFmtId="42" fontId="7" fillId="10" borderId="206" xfId="0" applyNumberFormat="1" applyFont="1" applyFill="1" applyBorder="1" applyAlignment="1">
      <alignment/>
    </xf>
    <xf numFmtId="44" fontId="7" fillId="10" borderId="207" xfId="19" applyNumberFormat="1" applyFont="1" applyFill="1" applyBorder="1" applyAlignment="1">
      <alignment/>
    </xf>
    <xf numFmtId="44" fontId="7" fillId="10" borderId="209" xfId="19" applyNumberFormat="1" applyFont="1" applyFill="1" applyBorder="1" applyAlignment="1">
      <alignment/>
    </xf>
    <xf numFmtId="42" fontId="7" fillId="10" borderId="147" xfId="0" applyNumberFormat="1" applyFont="1" applyFill="1" applyBorder="1" applyAlignment="1">
      <alignment horizontal="right"/>
    </xf>
    <xf numFmtId="44" fontId="7" fillId="10" borderId="137" xfId="0" applyNumberFormat="1" applyFont="1" applyFill="1" applyBorder="1" applyAlignment="1">
      <alignment/>
    </xf>
    <xf numFmtId="44" fontId="7" fillId="10" borderId="138" xfId="0" applyNumberFormat="1" applyFont="1" applyFill="1" applyBorder="1" applyAlignment="1">
      <alignment/>
    </xf>
    <xf numFmtId="42" fontId="7" fillId="10" borderId="147" xfId="0" applyNumberFormat="1" applyFont="1" applyFill="1" applyBorder="1" applyAlignment="1">
      <alignment/>
    </xf>
    <xf numFmtId="44" fontId="7" fillId="10" borderId="139" xfId="0" applyNumberFormat="1" applyFont="1" applyFill="1" applyBorder="1" applyAlignment="1">
      <alignment/>
    </xf>
    <xf numFmtId="42" fontId="7" fillId="10" borderId="150" xfId="0" applyNumberFormat="1" applyFont="1" applyFill="1" applyBorder="1" applyAlignment="1">
      <alignment horizontal="right"/>
    </xf>
    <xf numFmtId="44" fontId="7" fillId="10" borderId="143" xfId="0" applyNumberFormat="1" applyFont="1" applyFill="1" applyBorder="1" applyAlignment="1">
      <alignment/>
    </xf>
    <xf numFmtId="44" fontId="7" fillId="10" borderId="144" xfId="0" applyNumberFormat="1" applyFont="1" applyFill="1" applyBorder="1" applyAlignment="1">
      <alignment/>
    </xf>
    <xf numFmtId="42" fontId="7" fillId="10" borderId="150" xfId="0" applyNumberFormat="1" applyFont="1" applyFill="1" applyBorder="1" applyAlignment="1">
      <alignment/>
    </xf>
    <xf numFmtId="44" fontId="7" fillId="10" borderId="145" xfId="0" applyNumberFormat="1" applyFont="1" applyFill="1" applyBorder="1" applyAlignment="1">
      <alignment/>
    </xf>
    <xf numFmtId="44" fontId="7" fillId="10" borderId="143" xfId="19" applyNumberFormat="1" applyFont="1" applyFill="1" applyBorder="1" applyAlignment="1">
      <alignment/>
    </xf>
    <xf numFmtId="44" fontId="7" fillId="10" borderId="145" xfId="19" applyNumberFormat="1" applyFont="1" applyFill="1" applyBorder="1" applyAlignment="1">
      <alignment/>
    </xf>
    <xf numFmtId="44" fontId="7" fillId="10" borderId="137" xfId="19" applyNumberFormat="1" applyFont="1" applyFill="1" applyBorder="1" applyAlignment="1">
      <alignment/>
    </xf>
    <xf numFmtId="44" fontId="7" fillId="10" borderId="139" xfId="19" applyNumberFormat="1" applyFont="1" applyFill="1" applyBorder="1" applyAlignment="1">
      <alignment/>
    </xf>
    <xf numFmtId="42" fontId="7" fillId="10" borderId="149" xfId="0" applyNumberFormat="1" applyFont="1" applyFill="1" applyBorder="1" applyAlignment="1">
      <alignment horizontal="right"/>
    </xf>
    <xf numFmtId="44" fontId="7" fillId="10" borderId="140" xfId="0" applyNumberFormat="1" applyFont="1" applyFill="1" applyBorder="1" applyAlignment="1">
      <alignment/>
    </xf>
    <xf numFmtId="44" fontId="7" fillId="10" borderId="141" xfId="0" applyNumberFormat="1" applyFont="1" applyFill="1" applyBorder="1" applyAlignment="1">
      <alignment/>
    </xf>
    <xf numFmtId="42" fontId="7" fillId="10" borderId="149" xfId="0" applyNumberFormat="1" applyFont="1" applyFill="1" applyBorder="1" applyAlignment="1">
      <alignment/>
    </xf>
    <xf numFmtId="44" fontId="7" fillId="10" borderId="142" xfId="0" applyNumberFormat="1" applyFont="1" applyFill="1" applyBorder="1" applyAlignment="1">
      <alignment/>
    </xf>
    <xf numFmtId="42" fontId="7" fillId="0" borderId="159" xfId="0" applyNumberFormat="1" applyFont="1" applyBorder="1" applyAlignment="1">
      <alignment horizontal="right"/>
    </xf>
    <xf numFmtId="44" fontId="7" fillId="0" borderId="56" xfId="0" applyNumberFormat="1" applyFont="1" applyBorder="1" applyAlignment="1">
      <alignment/>
    </xf>
    <xf numFmtId="44" fontId="7" fillId="0" borderId="158" xfId="0" applyNumberFormat="1" applyFont="1" applyBorder="1" applyAlignment="1">
      <alignment/>
    </xf>
    <xf numFmtId="44" fontId="7" fillId="0" borderId="56" xfId="19" applyNumberFormat="1" applyFont="1" applyBorder="1" applyAlignment="1">
      <alignment/>
    </xf>
    <xf numFmtId="44" fontId="7" fillId="0" borderId="57" xfId="19" applyNumberFormat="1" applyFont="1" applyBorder="1" applyAlignment="1">
      <alignment/>
    </xf>
    <xf numFmtId="42" fontId="7" fillId="0" borderId="159" xfId="0" applyNumberFormat="1" applyFont="1" applyBorder="1" applyAlignment="1">
      <alignment/>
    </xf>
    <xf numFmtId="42" fontId="7" fillId="5" borderId="159" xfId="19" applyNumberFormat="1" applyFont="1" applyFill="1" applyBorder="1" applyAlignment="1">
      <alignment/>
    </xf>
    <xf numFmtId="42" fontId="7" fillId="0" borderId="159" xfId="19" applyNumberFormat="1" applyFont="1" applyBorder="1" applyAlignment="1">
      <alignment/>
    </xf>
    <xf numFmtId="44" fontId="7" fillId="0" borderId="203" xfId="0" applyNumberFormat="1" applyFont="1" applyBorder="1" applyAlignment="1">
      <alignment/>
    </xf>
    <xf numFmtId="44" fontId="7" fillId="0" borderId="204" xfId="0" applyNumberFormat="1" applyFont="1" applyBorder="1" applyAlignment="1">
      <alignment/>
    </xf>
    <xf numFmtId="44" fontId="7" fillId="0" borderId="203" xfId="19" applyNumberFormat="1" applyFont="1" applyBorder="1" applyAlignment="1">
      <alignment/>
    </xf>
    <xf numFmtId="44" fontId="7" fillId="0" borderId="205" xfId="19" applyNumberFormat="1" applyFont="1" applyBorder="1" applyAlignment="1">
      <alignment/>
    </xf>
    <xf numFmtId="42" fontId="7" fillId="0" borderId="146" xfId="0" applyNumberFormat="1" applyFont="1" applyBorder="1" applyAlignment="1">
      <alignment horizontal="right"/>
    </xf>
    <xf numFmtId="44" fontId="7" fillId="0" borderId="78" xfId="0" applyNumberFormat="1" applyFont="1" applyBorder="1" applyAlignment="1">
      <alignment/>
    </xf>
    <xf numFmtId="44" fontId="7" fillId="0" borderId="222" xfId="0" applyNumberFormat="1" applyFont="1" applyBorder="1" applyAlignment="1">
      <alignment/>
    </xf>
    <xf numFmtId="42" fontId="7" fillId="0" borderId="146" xfId="0" applyNumberFormat="1" applyFont="1" applyBorder="1" applyAlignment="1">
      <alignment/>
    </xf>
    <xf numFmtId="44" fontId="7" fillId="0" borderId="78" xfId="19" applyNumberFormat="1" applyFont="1" applyBorder="1" applyAlignment="1">
      <alignment/>
    </xf>
    <xf numFmtId="44" fontId="7" fillId="0" borderId="223" xfId="19" applyNumberFormat="1" applyFont="1" applyBorder="1" applyAlignment="1">
      <alignment/>
    </xf>
    <xf numFmtId="44" fontId="7" fillId="0" borderId="205" xfId="0" applyNumberFormat="1" applyFont="1" applyBorder="1" applyAlignment="1">
      <alignment/>
    </xf>
    <xf numFmtId="0" fontId="8" fillId="9" borderId="0" xfId="0" applyFont="1" applyFill="1" applyAlignment="1">
      <alignment/>
    </xf>
    <xf numFmtId="0" fontId="8" fillId="0" borderId="85" xfId="0" applyFont="1" applyBorder="1" applyAlignment="1">
      <alignment/>
    </xf>
    <xf numFmtId="0" fontId="8" fillId="0" borderId="40" xfId="0" applyFont="1" applyBorder="1" applyAlignment="1">
      <alignment horizontal="left"/>
    </xf>
    <xf numFmtId="174" fontId="0" fillId="0" borderId="25" xfId="0" applyNumberFormat="1" applyBorder="1" applyAlignment="1">
      <alignment/>
    </xf>
    <xf numFmtId="3" fontId="8" fillId="0" borderId="13" xfId="0" applyNumberFormat="1" applyFont="1" applyBorder="1" applyAlignment="1">
      <alignment/>
    </xf>
    <xf numFmtId="3" fontId="8" fillId="13" borderId="0" xfId="0" applyNumberFormat="1" applyFont="1" applyFill="1" applyBorder="1" applyAlignment="1">
      <alignment/>
    </xf>
    <xf numFmtId="0" fontId="8" fillId="13" borderId="0" xfId="0" applyFont="1" applyFill="1" applyBorder="1" applyAlignment="1">
      <alignment/>
    </xf>
    <xf numFmtId="0" fontId="8" fillId="13" borderId="15" xfId="0" applyFont="1" applyFill="1" applyBorder="1" applyAlignment="1">
      <alignment/>
    </xf>
    <xf numFmtId="0" fontId="8" fillId="13" borderId="153" xfId="0" applyFont="1" applyFill="1" applyBorder="1" applyAlignment="1">
      <alignment/>
    </xf>
    <xf numFmtId="194" fontId="7" fillId="0" borderId="11" xfId="0" applyNumberFormat="1" applyFont="1" applyFill="1" applyBorder="1" applyAlignment="1" applyProtection="1">
      <alignment/>
      <protection/>
    </xf>
    <xf numFmtId="4" fontId="7" fillId="13" borderId="14" xfId="0" applyNumberFormat="1" applyFont="1" applyFill="1" applyBorder="1" applyAlignment="1" applyProtection="1">
      <alignment/>
      <protection locked="0"/>
    </xf>
    <xf numFmtId="166" fontId="7" fillId="0" borderId="85" xfId="0" applyNumberFormat="1" applyFont="1" applyBorder="1" applyAlignment="1" applyProtection="1">
      <alignment horizontal="left"/>
      <protection/>
    </xf>
    <xf numFmtId="166" fontId="7" fillId="0" borderId="97" xfId="0" applyNumberFormat="1" applyFont="1" applyFill="1" applyBorder="1" applyAlignment="1" applyProtection="1">
      <alignment/>
      <protection/>
    </xf>
    <xf numFmtId="39" fontId="7" fillId="0" borderId="97" xfId="0" applyNumberFormat="1" applyFont="1" applyFill="1" applyBorder="1" applyAlignment="1" applyProtection="1">
      <alignment/>
      <protection/>
    </xf>
    <xf numFmtId="39" fontId="7" fillId="0" borderId="97" xfId="0" applyNumberFormat="1" applyFont="1" applyFill="1" applyBorder="1" applyAlignment="1" applyProtection="1">
      <alignment/>
      <protection/>
    </xf>
    <xf numFmtId="166" fontId="7" fillId="0" borderId="85" xfId="0" applyNumberFormat="1" applyFont="1" applyBorder="1" applyAlignment="1" applyProtection="1">
      <alignment horizontal="left"/>
      <protection/>
    </xf>
    <xf numFmtId="195" fontId="7" fillId="0" borderId="97" xfId="0" applyNumberFormat="1" applyFont="1" applyFill="1" applyBorder="1" applyAlignment="1" applyProtection="1">
      <alignment/>
      <protection/>
    </xf>
    <xf numFmtId="166" fontId="7" fillId="0" borderId="97" xfId="0" applyNumberFormat="1" applyFont="1" applyBorder="1" applyAlignment="1" applyProtection="1">
      <alignment horizontal="left"/>
      <protection/>
    </xf>
    <xf numFmtId="166" fontId="7" fillId="0" borderId="29" xfId="0" applyNumberFormat="1" applyFont="1" applyBorder="1" applyAlignment="1" applyProtection="1">
      <alignment/>
      <protection/>
    </xf>
    <xf numFmtId="42" fontId="7" fillId="2" borderId="16" xfId="0" applyNumberFormat="1" applyFont="1" applyFill="1" applyBorder="1" applyAlignment="1" applyProtection="1">
      <alignment/>
      <protection/>
    </xf>
    <xf numFmtId="42" fontId="7" fillId="2" borderId="16" xfId="0" applyNumberFormat="1" applyFont="1" applyFill="1" applyBorder="1" applyAlignment="1">
      <alignment/>
    </xf>
    <xf numFmtId="42" fontId="7" fillId="0" borderId="30" xfId="0" applyNumberFormat="1" applyFont="1" applyFill="1" applyBorder="1" applyAlignment="1">
      <alignment/>
    </xf>
    <xf numFmtId="166" fontId="7" fillId="0" borderId="29" xfId="0" applyNumberFormat="1" applyFont="1" applyBorder="1" applyAlignment="1" applyProtection="1">
      <alignment horizontal="left"/>
      <protection/>
    </xf>
    <xf numFmtId="195" fontId="7" fillId="0" borderId="16" xfId="0" applyNumberFormat="1" applyFont="1" applyFill="1" applyBorder="1" applyAlignment="1" applyProtection="1">
      <alignment/>
      <protection/>
    </xf>
    <xf numFmtId="166" fontId="7" fillId="0" borderId="30" xfId="0" applyNumberFormat="1" applyFont="1" applyBorder="1" applyAlignment="1" applyProtection="1">
      <alignment horizontal="left"/>
      <protection/>
    </xf>
    <xf numFmtId="1" fontId="7" fillId="0" borderId="111" xfId="0" applyNumberFormat="1" applyFont="1" applyFill="1" applyBorder="1" applyAlignment="1">
      <alignment/>
    </xf>
    <xf numFmtId="38" fontId="7" fillId="0" borderId="11" xfId="0" applyNumberFormat="1" applyFont="1" applyFill="1" applyBorder="1" applyAlignment="1">
      <alignment/>
    </xf>
    <xf numFmtId="166" fontId="8" fillId="7" borderId="8" xfId="0" applyNumberFormat="1" applyFont="1" applyFill="1" applyBorder="1" applyAlignment="1" applyProtection="1">
      <alignment horizontal="left" vertical="center"/>
      <protection/>
    </xf>
    <xf numFmtId="166" fontId="8" fillId="7" borderId="25" xfId="0" applyNumberFormat="1" applyFont="1" applyFill="1" applyBorder="1" applyAlignment="1" applyProtection="1">
      <alignment horizontal="center"/>
      <protection/>
    </xf>
    <xf numFmtId="166" fontId="7" fillId="7" borderId="26" xfId="0" applyNumberFormat="1" applyFont="1" applyFill="1" applyBorder="1" applyAlignment="1" applyProtection="1">
      <alignment horizontal="center"/>
      <protection/>
    </xf>
    <xf numFmtId="0" fontId="8" fillId="7" borderId="113" xfId="0" applyFont="1" applyFill="1" applyBorder="1" applyAlignment="1">
      <alignment/>
    </xf>
    <xf numFmtId="0" fontId="8" fillId="7" borderId="28" xfId="0" applyFont="1" applyFill="1" applyBorder="1" applyAlignment="1">
      <alignment horizontal="center"/>
    </xf>
    <xf numFmtId="0" fontId="7" fillId="7" borderId="83" xfId="0" applyFont="1" applyFill="1" applyBorder="1" applyAlignment="1">
      <alignment horizontal="center"/>
    </xf>
    <xf numFmtId="1" fontId="7" fillId="0" borderId="38" xfId="0" applyNumberFormat="1" applyFont="1" applyFill="1" applyBorder="1" applyAlignment="1">
      <alignment/>
    </xf>
    <xf numFmtId="166" fontId="7" fillId="0" borderId="84" xfId="0" applyNumberFormat="1" applyFont="1" applyBorder="1" applyAlignment="1" applyProtection="1">
      <alignment horizontal="left"/>
      <protection/>
    </xf>
    <xf numFmtId="0" fontId="7" fillId="0" borderId="84" xfId="0" applyFont="1" applyFill="1" applyBorder="1" applyAlignment="1">
      <alignment horizontal="left"/>
    </xf>
    <xf numFmtId="0" fontId="7" fillId="0" borderId="38" xfId="0" applyFont="1" applyFill="1" applyBorder="1" applyAlignment="1">
      <alignment horizontal="left"/>
    </xf>
    <xf numFmtId="38" fontId="7" fillId="0" borderId="97" xfId="15" applyNumberFormat="1" applyFont="1" applyFill="1" applyBorder="1" applyAlignment="1" applyProtection="1">
      <alignment/>
      <protection/>
    </xf>
    <xf numFmtId="40" fontId="7" fillId="0" borderId="97" xfId="15" applyNumberFormat="1" applyFont="1" applyFill="1" applyBorder="1" applyAlignment="1" applyProtection="1">
      <alignment/>
      <protection/>
    </xf>
    <xf numFmtId="173" fontId="7" fillId="0" borderId="97" xfId="15" applyNumberFormat="1" applyFont="1" applyFill="1" applyBorder="1" applyAlignment="1" applyProtection="1">
      <alignment/>
      <protection/>
    </xf>
    <xf numFmtId="0" fontId="8" fillId="0" borderId="29" xfId="0" applyFont="1" applyFill="1" applyBorder="1" applyAlignment="1">
      <alignment horizontal="left"/>
    </xf>
    <xf numFmtId="173" fontId="7" fillId="0" borderId="16" xfId="15" applyNumberFormat="1" applyFont="1" applyFill="1" applyBorder="1" applyAlignment="1" applyProtection="1">
      <alignment/>
      <protection/>
    </xf>
    <xf numFmtId="173" fontId="7" fillId="0" borderId="30" xfId="15" applyNumberFormat="1" applyFont="1" applyFill="1" applyBorder="1" applyAlignment="1" applyProtection="1">
      <alignment/>
      <protection/>
    </xf>
    <xf numFmtId="6" fontId="7" fillId="2" borderId="16" xfId="0" applyNumberFormat="1" applyFont="1" applyFill="1" applyBorder="1" applyAlignment="1" applyProtection="1">
      <alignment/>
      <protection/>
    </xf>
    <xf numFmtId="6" fontId="7" fillId="0" borderId="30" xfId="0" applyNumberFormat="1" applyFont="1" applyFill="1" applyBorder="1" applyAlignment="1" applyProtection="1">
      <alignment/>
      <protection/>
    </xf>
    <xf numFmtId="0" fontId="7" fillId="0" borderId="108" xfId="0" applyFont="1" applyFill="1" applyBorder="1" applyAlignment="1">
      <alignment horizontal="left"/>
    </xf>
    <xf numFmtId="0" fontId="68" fillId="0" borderId="0" xfId="0" applyFont="1" applyAlignment="1">
      <alignment/>
    </xf>
    <xf numFmtId="2" fontId="7" fillId="8" borderId="38" xfId="0" applyNumberFormat="1" applyFont="1" applyFill="1" applyBorder="1" applyAlignment="1">
      <alignment/>
    </xf>
    <xf numFmtId="2" fontId="7" fillId="8" borderId="30" xfId="0" applyNumberFormat="1" applyFont="1" applyFill="1" applyBorder="1" applyAlignment="1">
      <alignment/>
    </xf>
    <xf numFmtId="2" fontId="7" fillId="8" borderId="97" xfId="0" applyNumberFormat="1" applyFont="1" applyFill="1" applyBorder="1" applyAlignment="1">
      <alignment/>
    </xf>
    <xf numFmtId="2" fontId="7" fillId="8" borderId="38" xfId="0" applyNumberFormat="1" applyFont="1" applyFill="1" applyBorder="1" applyAlignment="1" applyProtection="1">
      <alignment/>
      <protection locked="0"/>
    </xf>
    <xf numFmtId="2" fontId="7" fillId="8" borderId="136" xfId="0" applyNumberFormat="1" applyFont="1" applyFill="1" applyBorder="1" applyAlignment="1">
      <alignment/>
    </xf>
    <xf numFmtId="191" fontId="7" fillId="0" borderId="11" xfId="0" applyNumberFormat="1" applyFont="1" applyBorder="1" applyAlignment="1" applyProtection="1">
      <alignment/>
      <protection locked="0"/>
    </xf>
    <xf numFmtId="191" fontId="7" fillId="8" borderId="11" xfId="0" applyNumberFormat="1" applyFont="1" applyFill="1" applyBorder="1" applyAlignment="1" applyProtection="1">
      <alignment/>
      <protection locked="0"/>
    </xf>
    <xf numFmtId="3" fontId="7" fillId="8" borderId="16" xfId="0" applyNumberFormat="1" applyFont="1" applyFill="1" applyBorder="1" applyAlignment="1" applyProtection="1">
      <alignment/>
      <protection locked="0"/>
    </xf>
    <xf numFmtId="4" fontId="7" fillId="8" borderId="11" xfId="0" applyNumberFormat="1" applyFont="1" applyFill="1" applyBorder="1" applyAlignment="1" applyProtection="1">
      <alignment/>
      <protection locked="0"/>
    </xf>
    <xf numFmtId="4" fontId="7" fillId="8" borderId="49" xfId="0" applyNumberFormat="1" applyFont="1" applyFill="1" applyBorder="1" applyAlignment="1" applyProtection="1">
      <alignment/>
      <protection locked="0"/>
    </xf>
    <xf numFmtId="3" fontId="69" fillId="11" borderId="0" xfId="26" applyNumberFormat="1" applyFont="1" applyFill="1" applyAlignment="1" applyProtection="1">
      <alignment/>
      <protection locked="0"/>
    </xf>
    <xf numFmtId="174" fontId="7" fillId="2" borderId="16" xfId="0" applyNumberFormat="1" applyFont="1" applyFill="1" applyBorder="1" applyAlignment="1" applyProtection="1">
      <alignment horizontal="right"/>
      <protection locked="0"/>
    </xf>
    <xf numFmtId="0" fontId="52" fillId="11" borderId="0" xfId="0" applyFont="1" applyFill="1" applyAlignment="1">
      <alignment/>
    </xf>
    <xf numFmtId="3" fontId="8" fillId="11" borderId="0" xfId="0" applyNumberFormat="1" applyFont="1" applyFill="1" applyAlignment="1" applyProtection="1">
      <alignment horizontal="left"/>
      <protection locked="0"/>
    </xf>
    <xf numFmtId="3" fontId="43" fillId="0" borderId="0" xfId="0" applyNumberFormat="1" applyFont="1" applyBorder="1" applyAlignment="1" applyProtection="1">
      <alignment horizontal="left"/>
      <protection locked="0"/>
    </xf>
    <xf numFmtId="3" fontId="43" fillId="0" borderId="0" xfId="0" applyNumberFormat="1" applyFont="1" applyAlignment="1" applyProtection="1">
      <alignment/>
      <protection locked="0"/>
    </xf>
    <xf numFmtId="0" fontId="41" fillId="9" borderId="0" xfId="0" applyFont="1" applyFill="1" applyAlignment="1">
      <alignment/>
    </xf>
    <xf numFmtId="0" fontId="7" fillId="0" borderId="196" xfId="0" applyFont="1" applyFill="1" applyBorder="1" applyAlignment="1">
      <alignment horizontal="left"/>
    </xf>
    <xf numFmtId="42" fontId="7" fillId="0" borderId="197" xfId="0" applyNumberFormat="1" applyFont="1" applyBorder="1" applyAlignment="1" applyProtection="1">
      <alignment/>
      <protection/>
    </xf>
    <xf numFmtId="0" fontId="7" fillId="0" borderId="224" xfId="0" applyFont="1" applyFill="1" applyBorder="1" applyAlignment="1">
      <alignment horizontal="left"/>
    </xf>
    <xf numFmtId="42" fontId="7" fillId="0" borderId="176" xfId="0" applyNumberFormat="1" applyFont="1" applyBorder="1" applyAlignment="1" applyProtection="1">
      <alignment/>
      <protection/>
    </xf>
    <xf numFmtId="0" fontId="7" fillId="0" borderId="224" xfId="0" applyFont="1" applyBorder="1" applyAlignment="1" applyProtection="1">
      <alignment horizontal="left"/>
      <protection/>
    </xf>
    <xf numFmtId="42" fontId="7" fillId="0" borderId="109" xfId="0" applyNumberFormat="1" applyFont="1" applyFill="1" applyBorder="1" applyAlignment="1" applyProtection="1">
      <alignment/>
      <protection/>
    </xf>
    <xf numFmtId="167" fontId="7" fillId="0" borderId="11" xfId="0" applyNumberFormat="1" applyFont="1" applyFill="1" applyBorder="1" applyAlignment="1" applyProtection="1">
      <alignment/>
      <protection/>
    </xf>
    <xf numFmtId="183" fontId="7" fillId="0" borderId="3" xfId="0" applyNumberFormat="1" applyFont="1" applyFill="1" applyBorder="1" applyAlignment="1">
      <alignment horizontal="left"/>
    </xf>
    <xf numFmtId="42" fontId="7" fillId="0" borderId="0" xfId="0" applyNumberFormat="1" applyFont="1" applyFill="1" applyBorder="1" applyAlignment="1" applyProtection="1">
      <alignment/>
      <protection/>
    </xf>
    <xf numFmtId="0" fontId="7" fillId="0" borderId="108" xfId="0" applyFont="1" applyBorder="1" applyAlignment="1">
      <alignment horizontal="left"/>
    </xf>
    <xf numFmtId="0" fontId="7" fillId="0" borderId="212" xfId="0" applyFont="1" applyFill="1" applyBorder="1" applyAlignment="1">
      <alignment horizontal="center"/>
    </xf>
    <xf numFmtId="0" fontId="8" fillId="0" borderId="85" xfId="0" applyFont="1" applyBorder="1" applyAlignment="1" applyProtection="1">
      <alignment horizontal="left"/>
      <protection/>
    </xf>
    <xf numFmtId="0" fontId="7" fillId="0" borderId="3" xfId="0" applyFont="1" applyFill="1" applyBorder="1" applyAlignment="1" applyProtection="1">
      <alignment/>
      <protection/>
    </xf>
    <xf numFmtId="0" fontId="7" fillId="0" borderId="45" xfId="0" applyFont="1" applyBorder="1" applyAlignment="1" applyProtection="1">
      <alignment/>
      <protection/>
    </xf>
    <xf numFmtId="0" fontId="7" fillId="0" borderId="124" xfId="0" applyFont="1" applyBorder="1" applyAlignment="1">
      <alignment horizontal="center"/>
    </xf>
    <xf numFmtId="1" fontId="7" fillId="0" borderId="38" xfId="0" applyNumberFormat="1" applyFont="1" applyFill="1" applyBorder="1" applyAlignment="1" applyProtection="1">
      <alignment/>
      <protection/>
    </xf>
    <xf numFmtId="1" fontId="7" fillId="0" borderId="97" xfId="0" applyNumberFormat="1" applyFont="1" applyFill="1" applyBorder="1" applyAlignment="1" applyProtection="1">
      <alignment/>
      <protection/>
    </xf>
    <xf numFmtId="0" fontId="7" fillId="0" borderId="97" xfId="0" applyFont="1" applyBorder="1" applyAlignment="1" applyProtection="1">
      <alignment/>
      <protection/>
    </xf>
    <xf numFmtId="0" fontId="7" fillId="0" borderId="225" xfId="0" applyFont="1" applyBorder="1" applyAlignment="1" applyProtection="1">
      <alignment/>
      <protection/>
    </xf>
    <xf numFmtId="1" fontId="7" fillId="0" borderId="97" xfId="0" applyNumberFormat="1" applyFont="1" applyFill="1" applyBorder="1" applyAlignment="1" applyProtection="1">
      <alignment/>
      <protection/>
    </xf>
    <xf numFmtId="0" fontId="8" fillId="0" borderId="29" xfId="0" applyFont="1" applyBorder="1" applyAlignment="1" applyProtection="1">
      <alignment horizontal="left"/>
      <protection/>
    </xf>
    <xf numFmtId="1" fontId="7" fillId="0" borderId="30" xfId="0" applyNumberFormat="1" applyFont="1" applyFill="1" applyBorder="1" applyAlignment="1" applyProtection="1">
      <alignment/>
      <protection/>
    </xf>
    <xf numFmtId="0" fontId="8" fillId="7" borderId="8" xfId="0" applyFont="1" applyFill="1" applyBorder="1" applyAlignment="1">
      <alignment/>
    </xf>
    <xf numFmtId="0" fontId="8" fillId="0" borderId="185" xfId="0" applyFont="1" applyBorder="1" applyAlignment="1" applyProtection="1">
      <alignment/>
      <protection/>
    </xf>
    <xf numFmtId="0" fontId="7" fillId="0" borderId="168" xfId="0" applyFont="1" applyBorder="1" applyAlignment="1" applyProtection="1">
      <alignment/>
      <protection/>
    </xf>
    <xf numFmtId="0" fontId="12" fillId="0" borderId="0" xfId="0" applyFont="1" applyFill="1" applyBorder="1" applyAlignment="1" applyProtection="1">
      <alignment/>
      <protection/>
    </xf>
    <xf numFmtId="0" fontId="7" fillId="0" borderId="0" xfId="0" applyFont="1" applyFill="1" applyBorder="1" applyAlignment="1" applyProtection="1">
      <alignment/>
      <protection/>
    </xf>
    <xf numFmtId="0" fontId="7" fillId="8" borderId="11" xfId="0" applyFont="1" applyFill="1" applyBorder="1" applyAlignment="1" applyProtection="1">
      <alignment/>
      <protection/>
    </xf>
    <xf numFmtId="42" fontId="7" fillId="0" borderId="176" xfId="0" applyNumberFormat="1" applyFont="1" applyFill="1" applyBorder="1" applyAlignment="1" applyProtection="1">
      <alignment/>
      <protection/>
    </xf>
    <xf numFmtId="0" fontId="7" fillId="0" borderId="38" xfId="0" applyFont="1" applyBorder="1" applyAlignment="1" applyProtection="1">
      <alignment/>
      <protection/>
    </xf>
    <xf numFmtId="0" fontId="7" fillId="0" borderId="97" xfId="0" applyFont="1" applyBorder="1" applyAlignment="1" applyProtection="1">
      <alignment/>
      <protection/>
    </xf>
    <xf numFmtId="0" fontId="7" fillId="0" borderId="97" xfId="0" applyFont="1" applyFill="1" applyBorder="1" applyAlignment="1" applyProtection="1">
      <alignment/>
      <protection/>
    </xf>
    <xf numFmtId="0" fontId="8" fillId="0" borderId="29" xfId="0" applyFont="1" applyBorder="1" applyAlignment="1" applyProtection="1">
      <alignment horizontal="left"/>
      <protection/>
    </xf>
    <xf numFmtId="1" fontId="7" fillId="0" borderId="16" xfId="0" applyNumberFormat="1" applyFont="1" applyFill="1" applyBorder="1" applyAlignment="1" applyProtection="1">
      <alignment/>
      <protection/>
    </xf>
    <xf numFmtId="0" fontId="7" fillId="0" borderId="30" xfId="0" applyFont="1" applyBorder="1" applyAlignment="1" applyProtection="1">
      <alignment/>
      <protection/>
    </xf>
    <xf numFmtId="0" fontId="8" fillId="0" borderId="3" xfId="0" applyFont="1" applyBorder="1" applyAlignment="1" applyProtection="1">
      <alignment horizontal="left"/>
      <protection/>
    </xf>
    <xf numFmtId="1" fontId="7" fillId="0" borderId="27" xfId="0" applyNumberFormat="1" applyFont="1" applyFill="1" applyBorder="1" applyAlignment="1" applyProtection="1">
      <alignment/>
      <protection/>
    </xf>
    <xf numFmtId="0" fontId="7" fillId="0" borderId="0" xfId="0" applyFont="1" applyFill="1" applyBorder="1" applyAlignment="1" applyProtection="1">
      <alignment/>
      <protection/>
    </xf>
    <xf numFmtId="1" fontId="7" fillId="0" borderId="0" xfId="0" applyNumberFormat="1" applyFont="1" applyFill="1" applyBorder="1" applyAlignment="1" applyProtection="1">
      <alignment/>
      <protection/>
    </xf>
    <xf numFmtId="0" fontId="7" fillId="0" borderId="47" xfId="0" applyFont="1" applyBorder="1" applyAlignment="1" applyProtection="1">
      <alignment/>
      <protection/>
    </xf>
    <xf numFmtId="0" fontId="7" fillId="0" borderId="225" xfId="0" applyFont="1" applyBorder="1" applyAlignment="1" applyProtection="1">
      <alignment/>
      <protection/>
    </xf>
    <xf numFmtId="0" fontId="7" fillId="0" borderId="27" xfId="0" applyFont="1" applyBorder="1" applyAlignment="1" applyProtection="1">
      <alignment horizontal="center"/>
      <protection/>
    </xf>
    <xf numFmtId="0" fontId="7" fillId="0" borderId="153" xfId="0" applyFont="1" applyBorder="1" applyAlignment="1" applyProtection="1">
      <alignment horizontal="center"/>
      <protection/>
    </xf>
    <xf numFmtId="0" fontId="7" fillId="0" borderId="27" xfId="0" applyFont="1" applyBorder="1" applyAlignment="1" applyProtection="1">
      <alignment/>
      <protection/>
    </xf>
    <xf numFmtId="0" fontId="7" fillId="0" borderId="153" xfId="0" applyFont="1" applyBorder="1" applyAlignment="1" applyProtection="1">
      <alignment/>
      <protection/>
    </xf>
    <xf numFmtId="0" fontId="7" fillId="0" borderId="27" xfId="0" applyFont="1" applyBorder="1" applyAlignment="1" applyProtection="1">
      <alignment/>
      <protection/>
    </xf>
    <xf numFmtId="0" fontId="7" fillId="0" borderId="153" xfId="0" applyFont="1" applyBorder="1" applyAlignment="1" applyProtection="1">
      <alignment/>
      <protection/>
    </xf>
    <xf numFmtId="0" fontId="7" fillId="0" borderId="14" xfId="0" applyFont="1" applyBorder="1" applyAlignment="1" applyProtection="1">
      <alignment/>
      <protection/>
    </xf>
    <xf numFmtId="0" fontId="7" fillId="0" borderId="38" xfId="0" applyFont="1" applyBorder="1" applyAlignment="1" applyProtection="1">
      <alignment/>
      <protection/>
    </xf>
    <xf numFmtId="0" fontId="7" fillId="0" borderId="27" xfId="0" applyFont="1" applyBorder="1" applyAlignment="1" applyProtection="1">
      <alignment/>
      <protection/>
    </xf>
    <xf numFmtId="0" fontId="7" fillId="0" borderId="27" xfId="0" applyFont="1" applyBorder="1" applyAlignment="1" applyProtection="1">
      <alignment horizontal="center"/>
      <protection/>
    </xf>
    <xf numFmtId="0" fontId="7" fillId="0" borderId="153" xfId="0" applyFont="1" applyBorder="1" applyAlignment="1" applyProtection="1">
      <alignment horizontal="center"/>
      <protection/>
    </xf>
    <xf numFmtId="0" fontId="7" fillId="0" borderId="49" xfId="0" applyFont="1" applyBorder="1" applyAlignment="1" applyProtection="1">
      <alignment/>
      <protection/>
    </xf>
    <xf numFmtId="0" fontId="7" fillId="0" borderId="136" xfId="0" applyFont="1" applyBorder="1" applyAlignment="1" applyProtection="1">
      <alignment/>
      <protection/>
    </xf>
    <xf numFmtId="0" fontId="7" fillId="0" borderId="84" xfId="0" applyFont="1" applyBorder="1" applyAlignment="1" applyProtection="1">
      <alignment horizontal="left"/>
      <protection/>
    </xf>
    <xf numFmtId="167" fontId="7" fillId="0" borderId="11" xfId="0" applyNumberFormat="1" applyFont="1" applyFill="1" applyBorder="1" applyAlignment="1" applyProtection="1">
      <alignment/>
      <protection/>
    </xf>
    <xf numFmtId="0" fontId="8" fillId="0" borderId="125" xfId="0" applyFont="1" applyBorder="1" applyAlignment="1" applyProtection="1">
      <alignment horizontal="left"/>
      <protection/>
    </xf>
    <xf numFmtId="1" fontId="7" fillId="0" borderId="38" xfId="0" applyNumberFormat="1" applyFont="1" applyFill="1" applyBorder="1" applyAlignment="1" applyProtection="1">
      <alignment horizontal="left"/>
      <protection/>
    </xf>
    <xf numFmtId="0" fontId="7" fillId="0" borderId="84" xfId="0" applyFont="1" applyBorder="1" applyAlignment="1" applyProtection="1">
      <alignment horizontal="left"/>
      <protection/>
    </xf>
    <xf numFmtId="0" fontId="7" fillId="0" borderId="97" xfId="0" applyFont="1" applyFill="1" applyBorder="1" applyAlignment="1" applyProtection="1">
      <alignment horizontal="left"/>
      <protection/>
    </xf>
    <xf numFmtId="0" fontId="8" fillId="0" borderId="85" xfId="0" applyFont="1" applyBorder="1" applyAlignment="1" applyProtection="1">
      <alignment horizontal="left"/>
      <protection/>
    </xf>
    <xf numFmtId="1" fontId="7" fillId="0" borderId="97" xfId="0" applyNumberFormat="1" applyFont="1" applyFill="1" applyBorder="1" applyAlignment="1" applyProtection="1">
      <alignment horizontal="left"/>
      <protection/>
    </xf>
    <xf numFmtId="0" fontId="7" fillId="0" borderId="85" xfId="0" applyFont="1" applyBorder="1" applyAlignment="1" applyProtection="1">
      <alignment/>
      <protection/>
    </xf>
    <xf numFmtId="0" fontId="7" fillId="0" borderId="97" xfId="0" applyFont="1" applyBorder="1" applyAlignment="1" applyProtection="1">
      <alignment horizontal="left"/>
      <protection/>
    </xf>
    <xf numFmtId="0" fontId="7" fillId="0" borderId="85" xfId="0" applyFont="1" applyBorder="1" applyAlignment="1" applyProtection="1">
      <alignment horizontal="left"/>
      <protection/>
    </xf>
    <xf numFmtId="0" fontId="7" fillId="0" borderId="97" xfId="0" applyFont="1" applyFill="1" applyBorder="1" applyAlignment="1" applyProtection="1">
      <alignment horizontal="left"/>
      <protection/>
    </xf>
    <xf numFmtId="1" fontId="7" fillId="0" borderId="30" xfId="0" applyNumberFormat="1" applyFont="1" applyFill="1" applyBorder="1" applyAlignment="1" applyProtection="1">
      <alignment horizontal="left"/>
      <protection/>
    </xf>
    <xf numFmtId="0" fontId="8" fillId="0" borderId="29" xfId="0" applyFont="1" applyBorder="1" applyAlignment="1" applyProtection="1">
      <alignment horizontal="left"/>
      <protection/>
    </xf>
    <xf numFmtId="0" fontId="63" fillId="0" borderId="0" xfId="0" applyFont="1" applyAlignment="1">
      <alignment/>
    </xf>
    <xf numFmtId="0" fontId="12" fillId="0" borderId="196" xfId="0" applyFont="1" applyFill="1" applyBorder="1" applyAlignment="1">
      <alignment horizontal="left"/>
    </xf>
    <xf numFmtId="0" fontId="7" fillId="0" borderId="194" xfId="0" applyFont="1" applyFill="1" applyBorder="1" applyAlignment="1">
      <alignment horizontal="center"/>
    </xf>
    <xf numFmtId="0" fontId="7" fillId="0" borderId="0" xfId="0" applyFont="1" applyFill="1" applyBorder="1" applyAlignment="1" applyProtection="1">
      <alignment/>
      <protection/>
    </xf>
    <xf numFmtId="1" fontId="7" fillId="0" borderId="0" xfId="0" applyNumberFormat="1" applyFont="1" applyFill="1" applyBorder="1" applyAlignment="1" applyProtection="1">
      <alignment horizontal="center"/>
      <protection/>
    </xf>
    <xf numFmtId="182" fontId="7" fillId="0" borderId="0" xfId="0"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protection/>
    </xf>
    <xf numFmtId="0" fontId="7" fillId="0" borderId="85" xfId="0" applyFont="1" applyFill="1" applyBorder="1" applyAlignment="1" applyProtection="1">
      <alignment/>
      <protection/>
    </xf>
    <xf numFmtId="0" fontId="70" fillId="0" borderId="0" xfId="0" applyFont="1" applyAlignment="1">
      <alignment/>
    </xf>
    <xf numFmtId="0" fontId="71" fillId="0" borderId="0" xfId="0" applyFont="1" applyAlignment="1">
      <alignment/>
    </xf>
    <xf numFmtId="0" fontId="7" fillId="0" borderId="47" xfId="0" applyFont="1" applyFill="1" applyBorder="1" applyAlignment="1">
      <alignment horizontal="left"/>
    </xf>
    <xf numFmtId="0" fontId="8" fillId="10" borderId="11" xfId="0" applyFont="1" applyFill="1" applyBorder="1" applyAlignment="1">
      <alignment horizontal="left"/>
    </xf>
    <xf numFmtId="196" fontId="7" fillId="0" borderId="0" xfId="0" applyNumberFormat="1" applyFont="1" applyAlignment="1" applyProtection="1">
      <alignment/>
      <protection locked="0"/>
    </xf>
    <xf numFmtId="0" fontId="7" fillId="0" borderId="27" xfId="0" applyFont="1" applyFill="1" applyBorder="1" applyAlignment="1">
      <alignment horizontal="center"/>
    </xf>
    <xf numFmtId="42" fontId="7" fillId="0" borderId="4" xfId="0" applyNumberFormat="1" applyFont="1" applyFill="1" applyBorder="1" applyAlignment="1" applyProtection="1">
      <alignment/>
      <protection/>
    </xf>
    <xf numFmtId="42" fontId="7" fillId="0" borderId="25" xfId="0" applyNumberFormat="1" applyFont="1" applyFill="1" applyBorder="1" applyAlignment="1" applyProtection="1">
      <alignment/>
      <protection/>
    </xf>
    <xf numFmtId="42" fontId="7" fillId="0" borderId="26" xfId="0" applyNumberFormat="1" applyFont="1" applyFill="1" applyBorder="1" applyAlignment="1" applyProtection="1">
      <alignment/>
      <protection/>
    </xf>
    <xf numFmtId="0" fontId="8" fillId="0" borderId="24" xfId="0" applyFont="1" applyFill="1" applyBorder="1" applyAlignment="1">
      <alignment horizontal="left"/>
    </xf>
    <xf numFmtId="0" fontId="0" fillId="0" borderId="173" xfId="0" applyBorder="1" applyAlignment="1">
      <alignment vertical="center" wrapText="1"/>
    </xf>
    <xf numFmtId="0" fontId="0" fillId="0" borderId="174" xfId="0" applyBorder="1" applyAlignment="1">
      <alignment vertical="center" wrapText="1"/>
    </xf>
    <xf numFmtId="0" fontId="8" fillId="0" borderId="115" xfId="0" applyFont="1" applyFill="1" applyBorder="1" applyAlignment="1">
      <alignment horizontal="left"/>
    </xf>
    <xf numFmtId="42" fontId="7" fillId="0" borderId="123" xfId="0" applyNumberFormat="1" applyFont="1" applyFill="1" applyBorder="1" applyAlignment="1" applyProtection="1">
      <alignment/>
      <protection/>
    </xf>
    <xf numFmtId="42" fontId="7" fillId="0" borderId="116" xfId="0" applyNumberFormat="1" applyFont="1" applyFill="1" applyBorder="1" applyAlignment="1" applyProtection="1">
      <alignment/>
      <protection/>
    </xf>
    <xf numFmtId="0" fontId="7" fillId="0" borderId="123" xfId="0" applyFont="1" applyBorder="1" applyAlignment="1" applyProtection="1">
      <alignment/>
      <protection/>
    </xf>
    <xf numFmtId="0" fontId="7" fillId="0" borderId="115" xfId="0" applyFont="1" applyFill="1" applyBorder="1" applyAlignment="1">
      <alignment horizontal="left"/>
    </xf>
    <xf numFmtId="42" fontId="7" fillId="0" borderId="4" xfId="0" applyNumberFormat="1" applyFont="1" applyFill="1" applyBorder="1" applyAlignment="1" applyProtection="1">
      <alignment/>
      <protection/>
    </xf>
    <xf numFmtId="42" fontId="7" fillId="0" borderId="26" xfId="0" applyNumberFormat="1" applyFont="1" applyFill="1" applyBorder="1" applyAlignment="1" applyProtection="1">
      <alignment/>
      <protection/>
    </xf>
    <xf numFmtId="0" fontId="7" fillId="0" borderId="3" xfId="0" applyFont="1" applyBorder="1" applyAlignment="1" applyProtection="1">
      <alignment horizontal="left"/>
      <protection/>
    </xf>
    <xf numFmtId="42" fontId="7" fillId="0" borderId="4" xfId="0" applyNumberFormat="1" applyFont="1" applyBorder="1" applyAlignment="1" applyProtection="1">
      <alignment/>
      <protection/>
    </xf>
    <xf numFmtId="0" fontId="0" fillId="0" borderId="226" xfId="0" applyBorder="1" applyAlignment="1">
      <alignment vertical="center" wrapText="1"/>
    </xf>
    <xf numFmtId="42" fontId="7" fillId="0" borderId="116" xfId="0" applyNumberFormat="1" applyFont="1" applyBorder="1" applyAlignment="1" applyProtection="1">
      <alignment/>
      <protection/>
    </xf>
    <xf numFmtId="0" fontId="7" fillId="0" borderId="123" xfId="0" applyFont="1" applyBorder="1" applyAlignment="1" applyProtection="1">
      <alignment/>
      <protection/>
    </xf>
    <xf numFmtId="5" fontId="7" fillId="0" borderId="123" xfId="0" applyNumberFormat="1" applyFont="1" applyBorder="1" applyAlignment="1" applyProtection="1">
      <alignment/>
      <protection/>
    </xf>
    <xf numFmtId="42" fontId="7" fillId="0" borderId="4" xfId="0" applyNumberFormat="1" applyFont="1" applyFill="1" applyBorder="1" applyAlignment="1" applyProtection="1">
      <alignment/>
      <protection/>
    </xf>
    <xf numFmtId="0" fontId="7" fillId="0" borderId="115" xfId="0" applyFont="1" applyBorder="1" applyAlignment="1">
      <alignment horizontal="left"/>
    </xf>
    <xf numFmtId="42" fontId="7" fillId="0" borderId="116" xfId="0" applyNumberFormat="1" applyFont="1" applyFill="1" applyBorder="1" applyAlignment="1" applyProtection="1">
      <alignment/>
      <protection/>
    </xf>
    <xf numFmtId="42" fontId="7" fillId="0" borderId="116" xfId="0" applyNumberFormat="1" applyFont="1" applyFill="1" applyBorder="1" applyAlignment="1" applyProtection="1">
      <alignment/>
      <protection/>
    </xf>
    <xf numFmtId="0" fontId="7" fillId="0" borderId="123" xfId="0" applyFont="1" applyBorder="1" applyAlignment="1" applyProtection="1">
      <alignment/>
      <protection/>
    </xf>
    <xf numFmtId="0" fontId="8" fillId="0" borderId="115" xfId="0" applyFont="1" applyBorder="1" applyAlignment="1">
      <alignment horizontal="left"/>
    </xf>
    <xf numFmtId="0" fontId="8" fillId="0" borderId="115" xfId="0" applyFont="1" applyBorder="1" applyAlignment="1" applyProtection="1">
      <alignment horizontal="left"/>
      <protection/>
    </xf>
    <xf numFmtId="42" fontId="7" fillId="0" borderId="4" xfId="0" applyNumberFormat="1" applyFont="1" applyFill="1" applyBorder="1" applyAlignment="1" applyProtection="1">
      <alignment/>
      <protection/>
    </xf>
    <xf numFmtId="42" fontId="7" fillId="0" borderId="116" xfId="0" applyNumberFormat="1" applyFont="1" applyFill="1" applyBorder="1" applyAlignment="1" applyProtection="1">
      <alignment/>
      <protection/>
    </xf>
    <xf numFmtId="0" fontId="74" fillId="0" borderId="0" xfId="0" applyFont="1" applyAlignment="1">
      <alignment/>
    </xf>
    <xf numFmtId="0" fontId="74" fillId="0" borderId="0" xfId="0" applyFont="1" applyAlignment="1">
      <alignment/>
    </xf>
    <xf numFmtId="0" fontId="75" fillId="6" borderId="227" xfId="0" applyFont="1" applyFill="1" applyBorder="1" applyAlignment="1">
      <alignment horizontal="left" vertical="top"/>
    </xf>
    <xf numFmtId="0" fontId="0" fillId="0" borderId="228" xfId="0" applyBorder="1" applyAlignment="1">
      <alignment/>
    </xf>
    <xf numFmtId="0" fontId="0" fillId="0" borderId="229" xfId="0" applyBorder="1" applyAlignment="1">
      <alignment/>
    </xf>
    <xf numFmtId="0" fontId="74" fillId="6" borderId="230" xfId="0" applyFont="1" applyFill="1" applyBorder="1" applyAlignment="1">
      <alignment horizontal="left" vertical="top"/>
    </xf>
    <xf numFmtId="0" fontId="0" fillId="0" borderId="231" xfId="0" applyBorder="1" applyAlignment="1">
      <alignment/>
    </xf>
    <xf numFmtId="0" fontId="75" fillId="6" borderId="230" xfId="0" applyFont="1" applyFill="1" applyBorder="1" applyAlignment="1">
      <alignment horizontal="left" vertical="top"/>
    </xf>
    <xf numFmtId="0" fontId="76" fillId="14" borderId="232" xfId="0" applyFont="1" applyFill="1" applyBorder="1" applyAlignment="1">
      <alignment horizontal="center" vertical="top" wrapText="1"/>
    </xf>
    <xf numFmtId="0" fontId="76" fillId="14" borderId="232" xfId="0" applyFont="1" applyFill="1" applyBorder="1" applyAlignment="1">
      <alignment horizontal="center" vertical="center" wrapText="1"/>
    </xf>
    <xf numFmtId="0" fontId="73" fillId="6" borderId="232" xfId="0" applyFont="1" applyFill="1" applyBorder="1" applyAlignment="1">
      <alignment wrapText="1"/>
    </xf>
    <xf numFmtId="0" fontId="73" fillId="15" borderId="232" xfId="0" applyFont="1" applyFill="1" applyBorder="1" applyAlignment="1">
      <alignment wrapText="1"/>
    </xf>
    <xf numFmtId="0" fontId="73" fillId="6" borderId="233" xfId="0" applyFont="1" applyFill="1" applyBorder="1" applyAlignment="1">
      <alignment wrapText="1"/>
    </xf>
    <xf numFmtId="0" fontId="0" fillId="0" borderId="234" xfId="0" applyBorder="1" applyAlignment="1">
      <alignment/>
    </xf>
    <xf numFmtId="0" fontId="75" fillId="6" borderId="0" xfId="0" applyFont="1" applyFill="1" applyBorder="1" applyAlignment="1">
      <alignment horizontal="left" vertical="top"/>
    </xf>
    <xf numFmtId="0" fontId="74" fillId="6" borderId="0" xfId="0" applyFont="1" applyFill="1" applyBorder="1" applyAlignment="1">
      <alignment horizontal="left" vertical="top"/>
    </xf>
    <xf numFmtId="0" fontId="76" fillId="14" borderId="0" xfId="0" applyFont="1" applyFill="1" applyBorder="1" applyAlignment="1">
      <alignment horizontal="center" vertical="top" wrapText="1"/>
    </xf>
    <xf numFmtId="0" fontId="73" fillId="6" borderId="0" xfId="0" applyFont="1" applyFill="1" applyBorder="1" applyAlignment="1">
      <alignment wrapText="1"/>
    </xf>
    <xf numFmtId="0" fontId="73" fillId="15" borderId="0" xfId="0" applyFont="1" applyFill="1" applyBorder="1" applyAlignment="1">
      <alignment wrapText="1"/>
    </xf>
    <xf numFmtId="3" fontId="7" fillId="0" borderId="0" xfId="0" applyNumberFormat="1" applyFont="1" applyBorder="1" applyAlignment="1" applyProtection="1">
      <alignment/>
      <protection locked="0"/>
    </xf>
    <xf numFmtId="0" fontId="75" fillId="6" borderId="228" xfId="0" applyFont="1" applyFill="1" applyBorder="1" applyAlignment="1">
      <alignment horizontal="left" vertical="top"/>
    </xf>
    <xf numFmtId="0" fontId="76" fillId="14" borderId="235" xfId="0" applyFont="1" applyFill="1" applyBorder="1" applyAlignment="1">
      <alignment horizontal="center" vertical="top" wrapText="1"/>
    </xf>
    <xf numFmtId="0" fontId="76" fillId="14" borderId="235" xfId="0" applyFont="1" applyFill="1" applyBorder="1" applyAlignment="1">
      <alignment horizontal="center" vertical="center" wrapText="1"/>
    </xf>
    <xf numFmtId="0" fontId="74" fillId="6" borderId="0" xfId="0" applyFont="1" applyFill="1" applyBorder="1" applyAlignment="1">
      <alignment vertical="top" wrapText="1"/>
    </xf>
    <xf numFmtId="0" fontId="0" fillId="0" borderId="0" xfId="0" applyBorder="1" applyAlignment="1">
      <alignment vertical="top" wrapText="1"/>
    </xf>
    <xf numFmtId="0" fontId="76" fillId="14" borderId="233" xfId="0" applyFont="1" applyFill="1" applyBorder="1" applyAlignment="1">
      <alignment horizontal="center" vertical="top" wrapText="1"/>
    </xf>
    <xf numFmtId="0" fontId="73" fillId="15" borderId="233" xfId="0" applyFont="1" applyFill="1" applyBorder="1" applyAlignment="1">
      <alignment wrapText="1"/>
    </xf>
    <xf numFmtId="0" fontId="74" fillId="6" borderId="0" xfId="0" applyFont="1" applyFill="1" applyBorder="1" applyAlignment="1">
      <alignment horizontal="left" vertical="top" wrapText="1"/>
    </xf>
    <xf numFmtId="0" fontId="77" fillId="16" borderId="232" xfId="0" applyFont="1" applyFill="1" applyBorder="1" applyAlignment="1">
      <alignment wrapText="1"/>
    </xf>
    <xf numFmtId="0" fontId="77" fillId="6" borderId="232" xfId="0" applyFont="1" applyFill="1" applyBorder="1" applyAlignment="1">
      <alignment wrapText="1"/>
    </xf>
    <xf numFmtId="0" fontId="77" fillId="15" borderId="233" xfId="0" applyFont="1" applyFill="1" applyBorder="1" applyAlignment="1">
      <alignment wrapText="1"/>
    </xf>
    <xf numFmtId="0" fontId="77" fillId="15" borderId="232" xfId="0" applyFont="1" applyFill="1" applyBorder="1" applyAlignment="1">
      <alignment wrapText="1"/>
    </xf>
    <xf numFmtId="3" fontId="8" fillId="0" borderId="113" xfId="0" applyNumberFormat="1" applyFont="1" applyBorder="1" applyAlignment="1" applyProtection="1">
      <alignment horizontal="left" wrapText="1"/>
      <protection locked="0"/>
    </xf>
    <xf numFmtId="183" fontId="8" fillId="0" borderId="28" xfId="0" applyNumberFormat="1" applyFont="1" applyFill="1" applyBorder="1" applyAlignment="1" applyProtection="1">
      <alignment horizontal="center" wrapText="1"/>
      <protection locked="0"/>
    </xf>
    <xf numFmtId="2" fontId="8" fillId="0" borderId="135" xfId="0" applyNumberFormat="1" applyFont="1" applyFill="1" applyBorder="1" applyAlignment="1">
      <alignment horizontal="center" wrapText="1"/>
    </xf>
    <xf numFmtId="3" fontId="7" fillId="0" borderId="236" xfId="0" applyNumberFormat="1" applyFont="1" applyBorder="1" applyAlignment="1" applyProtection="1">
      <alignment wrapText="1"/>
      <protection locked="0"/>
    </xf>
    <xf numFmtId="3" fontId="7" fillId="0" borderId="0" xfId="0" applyNumberFormat="1" applyFont="1" applyAlignment="1" applyProtection="1">
      <alignment wrapText="1"/>
      <protection locked="0"/>
    </xf>
    <xf numFmtId="3" fontId="7" fillId="13" borderId="14" xfId="0" applyNumberFormat="1" applyFont="1" applyFill="1" applyBorder="1" applyAlignment="1" applyProtection="1">
      <alignment/>
      <protection locked="0"/>
    </xf>
    <xf numFmtId="4" fontId="7" fillId="7" borderId="16" xfId="0" applyNumberFormat="1" applyFont="1" applyFill="1" applyBorder="1" applyAlignment="1" applyProtection="1">
      <alignment/>
      <protection locked="0"/>
    </xf>
    <xf numFmtId="4" fontId="7" fillId="7" borderId="11" xfId="0" applyNumberFormat="1" applyFont="1" applyFill="1" applyBorder="1" applyAlignment="1" applyProtection="1">
      <alignment/>
      <protection locked="0"/>
    </xf>
    <xf numFmtId="4" fontId="7" fillId="7" borderId="49" xfId="0" applyNumberFormat="1" applyFont="1" applyFill="1" applyBorder="1" applyAlignment="1" applyProtection="1">
      <alignment/>
      <protection locked="0"/>
    </xf>
    <xf numFmtId="4" fontId="7" fillId="0" borderId="11" xfId="0" applyNumberFormat="1" applyFont="1" applyFill="1" applyBorder="1" applyAlignment="1" applyProtection="1">
      <alignment/>
      <protection locked="0"/>
    </xf>
    <xf numFmtId="4" fontId="7" fillId="0" borderId="49" xfId="0" applyNumberFormat="1" applyFont="1" applyFill="1" applyBorder="1" applyAlignment="1" applyProtection="1">
      <alignment/>
      <protection locked="0"/>
    </xf>
    <xf numFmtId="0" fontId="0" fillId="6" borderId="0" xfId="0" applyFill="1" applyAlignment="1">
      <alignment/>
    </xf>
    <xf numFmtId="0" fontId="0" fillId="17" borderId="0" xfId="0" applyFill="1" applyAlignment="1">
      <alignment wrapText="1"/>
    </xf>
    <xf numFmtId="0" fontId="79" fillId="17" borderId="0" xfId="0" applyFont="1" applyFill="1" applyAlignment="1">
      <alignment wrapText="1"/>
    </xf>
    <xf numFmtId="0" fontId="0" fillId="6" borderId="0" xfId="0" applyFill="1" applyAlignment="1">
      <alignment wrapText="1"/>
    </xf>
    <xf numFmtId="0" fontId="80" fillId="6" borderId="0" xfId="0" applyFont="1" applyFill="1" applyAlignment="1">
      <alignment wrapText="1"/>
    </xf>
    <xf numFmtId="0" fontId="78" fillId="6" borderId="0" xfId="0" applyFont="1" applyFill="1" applyAlignment="1">
      <alignment wrapText="1"/>
    </xf>
    <xf numFmtId="0" fontId="79" fillId="17" borderId="0" xfId="0" applyFont="1" applyFill="1" applyAlignment="1">
      <alignment horizontal="center" wrapText="1"/>
    </xf>
    <xf numFmtId="15" fontId="80" fillId="6" borderId="0" xfId="0" applyNumberFormat="1" applyFont="1" applyFill="1" applyAlignment="1">
      <alignment wrapText="1"/>
    </xf>
    <xf numFmtId="3" fontId="7" fillId="7" borderId="16" xfId="0" applyNumberFormat="1" applyFont="1" applyFill="1" applyBorder="1" applyAlignment="1" applyProtection="1">
      <alignment/>
      <protection locked="0"/>
    </xf>
    <xf numFmtId="2" fontId="7" fillId="7" borderId="30" xfId="0" applyNumberFormat="1" applyFont="1" applyFill="1" applyBorder="1" applyAlignment="1">
      <alignment/>
    </xf>
    <xf numFmtId="0" fontId="87" fillId="6" borderId="0" xfId="0" applyFont="1" applyFill="1" applyAlignment="1">
      <alignment/>
    </xf>
    <xf numFmtId="0" fontId="89" fillId="6" borderId="0" xfId="0" applyFont="1" applyFill="1" applyAlignment="1">
      <alignment wrapText="1"/>
    </xf>
    <xf numFmtId="0" fontId="42" fillId="6" borderId="0" xfId="0" applyFont="1" applyFill="1" applyAlignment="1">
      <alignment/>
    </xf>
    <xf numFmtId="15" fontId="42" fillId="6" borderId="0" xfId="0" applyNumberFormat="1" applyFont="1" applyFill="1" applyAlignment="1">
      <alignment/>
    </xf>
    <xf numFmtId="1" fontId="42" fillId="6" borderId="0" xfId="0" applyNumberFormat="1" applyFont="1" applyFill="1" applyAlignment="1">
      <alignment/>
    </xf>
    <xf numFmtId="164" fontId="90" fillId="6" borderId="0" xfId="0" applyNumberFormat="1" applyFont="1" applyFill="1" applyAlignment="1">
      <alignment/>
    </xf>
    <xf numFmtId="15" fontId="21" fillId="6" borderId="0" xfId="0" applyNumberFormat="1" applyFont="1" applyFill="1" applyAlignment="1">
      <alignment wrapText="1"/>
    </xf>
    <xf numFmtId="3" fontId="7" fillId="0" borderId="0" xfId="0" applyNumberFormat="1" applyFont="1" applyFill="1" applyAlignment="1" applyProtection="1">
      <alignment/>
      <protection locked="0"/>
    </xf>
    <xf numFmtId="191" fontId="7" fillId="0" borderId="11" xfId="0" applyNumberFormat="1" applyFont="1" applyFill="1" applyBorder="1" applyAlignment="1" applyProtection="1">
      <alignment/>
      <protection locked="0"/>
    </xf>
    <xf numFmtId="3" fontId="7" fillId="0" borderId="16" xfId="0" applyNumberFormat="1" applyFont="1" applyBorder="1" applyAlignment="1" applyProtection="1">
      <alignment/>
      <protection locked="0"/>
    </xf>
    <xf numFmtId="0" fontId="12" fillId="0" borderId="195" xfId="0" applyFont="1" applyBorder="1" applyAlignment="1">
      <alignment/>
    </xf>
    <xf numFmtId="0" fontId="29" fillId="0" borderId="53" xfId="0" applyFont="1" applyBorder="1" applyAlignment="1">
      <alignment/>
    </xf>
    <xf numFmtId="0" fontId="8" fillId="0" borderId="9" xfId="32" applyFont="1" applyFill="1" applyBorder="1">
      <alignment/>
      <protection/>
    </xf>
    <xf numFmtId="0" fontId="7" fillId="0" borderId="65" xfId="32" applyFill="1" applyBorder="1">
      <alignment/>
      <protection/>
    </xf>
    <xf numFmtId="0" fontId="7" fillId="0" borderId="62" xfId="32" applyFill="1" applyBorder="1" applyAlignment="1">
      <alignment wrapText="1"/>
      <protection/>
    </xf>
    <xf numFmtId="0" fontId="7" fillId="0" borderId="237" xfId="32" applyFill="1" applyBorder="1">
      <alignment/>
      <protection/>
    </xf>
    <xf numFmtId="0" fontId="7" fillId="0" borderId="0" xfId="32" applyFont="1" applyFill="1" applyBorder="1">
      <alignment/>
      <protection/>
    </xf>
    <xf numFmtId="0" fontId="12" fillId="0" borderId="9" xfId="32" applyFont="1" applyFill="1" applyBorder="1">
      <alignment/>
      <protection/>
    </xf>
    <xf numFmtId="0" fontId="12" fillId="0" borderId="2" xfId="32" applyFont="1" applyFill="1" applyBorder="1">
      <alignment/>
      <protection/>
    </xf>
    <xf numFmtId="0" fontId="7" fillId="0" borderId="57" xfId="32" applyFont="1" applyFill="1" applyBorder="1">
      <alignment/>
      <protection/>
    </xf>
    <xf numFmtId="38" fontId="7" fillId="0" borderId="63" xfId="15" applyNumberFormat="1" applyFill="1" applyBorder="1" applyAlignment="1">
      <alignment/>
    </xf>
    <xf numFmtId="0" fontId="11" fillId="0" borderId="181" xfId="32" applyFont="1" applyFill="1" applyBorder="1">
      <alignment/>
      <protection/>
    </xf>
    <xf numFmtId="0" fontId="7" fillId="0" borderId="181" xfId="32" applyFont="1" applyFill="1" applyBorder="1" applyAlignment="1">
      <alignment horizontal="right"/>
      <protection/>
    </xf>
    <xf numFmtId="164" fontId="7" fillId="0" borderId="0" xfId="32" applyNumberFormat="1" applyFill="1" applyBorder="1">
      <alignment/>
      <protection/>
    </xf>
    <xf numFmtId="4" fontId="7" fillId="0" borderId="16" xfId="0" applyNumberFormat="1" applyFont="1" applyFill="1" applyBorder="1" applyAlignment="1" applyProtection="1">
      <alignment/>
      <protection locked="0"/>
    </xf>
    <xf numFmtId="4" fontId="7" fillId="13" borderId="23" xfId="0" applyNumberFormat="1" applyFont="1" applyFill="1" applyBorder="1" applyAlignment="1" applyProtection="1">
      <alignment/>
      <protection locked="0"/>
    </xf>
    <xf numFmtId="3" fontId="7" fillId="13" borderId="1" xfId="0" applyNumberFormat="1" applyFont="1" applyFill="1" applyBorder="1" applyAlignment="1" applyProtection="1">
      <alignment/>
      <protection locked="0"/>
    </xf>
    <xf numFmtId="3" fontId="7" fillId="13" borderId="194" xfId="0" applyNumberFormat="1" applyFont="1" applyFill="1" applyBorder="1" applyAlignment="1" applyProtection="1">
      <alignment/>
      <protection locked="0"/>
    </xf>
    <xf numFmtId="2" fontId="7" fillId="13" borderId="14" xfId="0" applyNumberFormat="1" applyFont="1" applyFill="1" applyBorder="1" applyAlignment="1" applyProtection="1">
      <alignment horizontal="right"/>
      <protection locked="0"/>
    </xf>
    <xf numFmtId="2" fontId="7" fillId="13" borderId="27" xfId="0" applyNumberFormat="1" applyFont="1" applyFill="1" applyBorder="1" applyAlignment="1" applyProtection="1">
      <alignment horizontal="right"/>
      <protection locked="0"/>
    </xf>
    <xf numFmtId="183" fontId="8" fillId="13" borderId="111" xfId="0" applyNumberFormat="1" applyFont="1" applyFill="1" applyBorder="1" applyAlignment="1" applyProtection="1">
      <alignment horizontal="center"/>
      <protection locked="0"/>
    </xf>
    <xf numFmtId="1" fontId="7" fillId="2" borderId="13" xfId="31" applyNumberFormat="1" applyFont="1" applyFill="1" applyBorder="1" applyAlignment="1">
      <alignment horizontal="left"/>
      <protection/>
    </xf>
    <xf numFmtId="1" fontId="7" fillId="2" borderId="45" xfId="31" applyNumberFormat="1" applyFont="1" applyFill="1" applyBorder="1" applyAlignment="1">
      <alignment horizontal="left"/>
      <protection/>
    </xf>
    <xf numFmtId="3" fontId="8" fillId="0" borderId="83" xfId="0" applyNumberFormat="1" applyFont="1" applyBorder="1" applyAlignment="1" applyProtection="1">
      <alignment horizontal="center" wrapText="1"/>
      <protection locked="0"/>
    </xf>
    <xf numFmtId="3" fontId="8" fillId="13" borderId="112" xfId="0" applyNumberFormat="1" applyFont="1" applyFill="1" applyBorder="1" applyAlignment="1" applyProtection="1">
      <alignment horizontal="center"/>
      <protection locked="0"/>
    </xf>
    <xf numFmtId="4" fontId="7" fillId="0" borderId="238" xfId="0" applyNumberFormat="1" applyFont="1" applyBorder="1" applyAlignment="1" applyProtection="1">
      <alignment horizontal="left"/>
      <protection locked="0"/>
    </xf>
    <xf numFmtId="4" fontId="7" fillId="0" borderId="239" xfId="0" applyNumberFormat="1" applyFont="1" applyFill="1" applyBorder="1" applyAlignment="1" applyProtection="1">
      <alignment horizontal="left"/>
      <protection locked="0"/>
    </xf>
    <xf numFmtId="4" fontId="7" fillId="13" borderId="153" xfId="0" applyNumberFormat="1" applyFont="1" applyFill="1" applyBorder="1" applyAlignment="1" applyProtection="1">
      <alignment horizontal="left"/>
      <protection locked="0"/>
    </xf>
    <xf numFmtId="4" fontId="7" fillId="0" borderId="240" xfId="0" applyNumberFormat="1" applyFont="1" applyBorder="1" applyAlignment="1" applyProtection="1">
      <alignment horizontal="left"/>
      <protection locked="0"/>
    </xf>
    <xf numFmtId="4" fontId="7" fillId="0" borderId="239" xfId="0" applyNumberFormat="1" applyFont="1" applyBorder="1" applyAlignment="1" applyProtection="1">
      <alignment horizontal="left"/>
      <protection locked="0"/>
    </xf>
    <xf numFmtId="4" fontId="7" fillId="13" borderId="238" xfId="0" applyNumberFormat="1" applyFont="1" applyFill="1" applyBorder="1" applyAlignment="1" applyProtection="1">
      <alignment horizontal="left"/>
      <protection locked="0"/>
    </xf>
    <xf numFmtId="4" fontId="7" fillId="0" borderId="241" xfId="0" applyNumberFormat="1" applyFont="1" applyBorder="1" applyAlignment="1" applyProtection="1">
      <alignment horizontal="left"/>
      <protection locked="0"/>
    </xf>
    <xf numFmtId="4" fontId="7" fillId="0" borderId="136" xfId="0" applyNumberFormat="1" applyFont="1" applyBorder="1" applyAlignment="1" applyProtection="1">
      <alignment horizontal="left"/>
      <protection locked="0"/>
    </xf>
    <xf numFmtId="4" fontId="7" fillId="0" borderId="45" xfId="0" applyNumberFormat="1" applyFont="1" applyFill="1" applyBorder="1" applyAlignment="1" applyProtection="1">
      <alignment/>
      <protection locked="0"/>
    </xf>
    <xf numFmtId="3" fontId="7" fillId="0" borderId="120" xfId="0" applyNumberFormat="1" applyFont="1" applyBorder="1" applyAlignment="1" applyProtection="1">
      <alignment wrapText="1"/>
      <protection locked="0"/>
    </xf>
    <xf numFmtId="14" fontId="7" fillId="3" borderId="120" xfId="0" applyNumberFormat="1" applyFont="1" applyFill="1" applyBorder="1" applyAlignment="1" applyProtection="1">
      <alignment wrapText="1"/>
      <protection locked="0"/>
    </xf>
    <xf numFmtId="0" fontId="7" fillId="0" borderId="0" xfId="0" applyFont="1" applyFill="1" applyAlignment="1">
      <alignment wrapText="1"/>
    </xf>
    <xf numFmtId="0" fontId="72" fillId="0" borderId="0" xfId="0" applyFont="1" applyAlignment="1">
      <alignment horizontal="justify" wrapText="1"/>
    </xf>
    <xf numFmtId="0" fontId="7" fillId="0" borderId="0" xfId="0" applyFont="1" applyAlignment="1">
      <alignment horizontal="left" wrapText="1"/>
    </xf>
    <xf numFmtId="3" fontId="7" fillId="0" borderId="0" xfId="0" applyNumberFormat="1" applyFont="1" applyAlignment="1" applyProtection="1">
      <alignment horizontal="left" wrapText="1"/>
      <protection locked="0"/>
    </xf>
    <xf numFmtId="0" fontId="76" fillId="14" borderId="232" xfId="0" applyFont="1" applyFill="1" applyBorder="1" applyAlignment="1">
      <alignment horizontal="left" vertical="center" wrapText="1"/>
    </xf>
    <xf numFmtId="0" fontId="73" fillId="15" borderId="232" xfId="0" applyFont="1" applyFill="1" applyBorder="1" applyAlignment="1">
      <alignment horizontal="left" wrapText="1"/>
    </xf>
    <xf numFmtId="0" fontId="73" fillId="15" borderId="233" xfId="0" applyFont="1" applyFill="1" applyBorder="1" applyAlignment="1">
      <alignment horizontal="left" wrapText="1"/>
    </xf>
    <xf numFmtId="0" fontId="73" fillId="15" borderId="0" xfId="0" applyFont="1" applyFill="1" applyBorder="1" applyAlignment="1">
      <alignment horizontal="left" wrapText="1"/>
    </xf>
    <xf numFmtId="0" fontId="46" fillId="0" borderId="0" xfId="0" applyFont="1" applyFill="1" applyBorder="1" applyAlignment="1">
      <alignment horizontal="center"/>
    </xf>
    <xf numFmtId="0" fontId="7" fillId="0" borderId="133" xfId="31" applyFont="1" applyFill="1" applyBorder="1">
      <alignment/>
      <protection/>
    </xf>
    <xf numFmtId="0" fontId="0" fillId="0" borderId="133" xfId="0" applyFont="1" applyFill="1" applyBorder="1" applyAlignment="1">
      <alignment/>
    </xf>
    <xf numFmtId="0" fontId="7" fillId="0" borderId="133" xfId="31" applyFont="1" applyFill="1" applyBorder="1">
      <alignment/>
      <protection/>
    </xf>
    <xf numFmtId="0" fontId="7" fillId="0" borderId="14" xfId="31" applyFill="1" applyBorder="1">
      <alignment/>
      <protection/>
    </xf>
    <xf numFmtId="0" fontId="8" fillId="0" borderId="11" xfId="31" applyFont="1" applyFill="1" applyBorder="1">
      <alignment/>
      <protection/>
    </xf>
    <xf numFmtId="0" fontId="1" fillId="0" borderId="11" xfId="0" applyFont="1" applyFill="1" applyBorder="1" applyAlignment="1">
      <alignment/>
    </xf>
    <xf numFmtId="0" fontId="8" fillId="0" borderId="11" xfId="31" applyFont="1" applyFill="1" applyBorder="1">
      <alignment/>
      <protection/>
    </xf>
    <xf numFmtId="0" fontId="23" fillId="0" borderId="11" xfId="31" applyFont="1" applyFill="1" applyBorder="1">
      <alignment/>
      <protection/>
    </xf>
    <xf numFmtId="0" fontId="7" fillId="0" borderId="47" xfId="31" applyFill="1" applyBorder="1">
      <alignment/>
      <protection/>
    </xf>
    <xf numFmtId="0" fontId="7" fillId="0" borderId="11" xfId="31" applyFont="1" applyFill="1" applyBorder="1" applyAlignment="1">
      <alignment horizontal="center"/>
      <protection/>
    </xf>
    <xf numFmtId="0" fontId="7" fillId="0" borderId="11" xfId="31" applyFill="1" applyBorder="1" applyAlignment="1">
      <alignment horizontal="center"/>
      <protection/>
    </xf>
    <xf numFmtId="14" fontId="7" fillId="0" borderId="11" xfId="31" applyNumberFormat="1" applyFill="1" applyBorder="1" applyAlignment="1">
      <alignment horizontal="center"/>
      <protection/>
    </xf>
    <xf numFmtId="1" fontId="7" fillId="2" borderId="13" xfId="31" applyNumberFormat="1" applyFont="1" applyFill="1" applyBorder="1" applyAlignment="1">
      <alignment/>
      <protection/>
    </xf>
    <xf numFmtId="1" fontId="7" fillId="2" borderId="45" xfId="31" applyNumberFormat="1" applyFont="1" applyFill="1" applyBorder="1" applyAlignment="1">
      <alignment/>
      <protection/>
    </xf>
    <xf numFmtId="1" fontId="0" fillId="0" borderId="86" xfId="0" applyNumberFormat="1" applyFont="1" applyFill="1" applyBorder="1" applyAlignment="1">
      <alignment/>
    </xf>
    <xf numFmtId="2" fontId="0" fillId="0" borderId="56" xfId="0" applyNumberFormat="1" applyFont="1" applyBorder="1" applyAlignment="1">
      <alignment/>
    </xf>
    <xf numFmtId="174" fontId="22" fillId="0" borderId="11" xfId="0" applyNumberFormat="1" applyFont="1" applyFill="1" applyBorder="1" applyAlignment="1" applyProtection="1">
      <alignment/>
      <protection locked="0"/>
    </xf>
    <xf numFmtId="174" fontId="22" fillId="0" borderId="16" xfId="0" applyNumberFormat="1" applyFont="1" applyFill="1" applyBorder="1" applyAlignment="1" applyProtection="1">
      <alignment/>
      <protection locked="0"/>
    </xf>
    <xf numFmtId="2" fontId="22" fillId="0" borderId="25" xfId="0" applyNumberFormat="1" applyFont="1" applyFill="1" applyBorder="1" applyAlignment="1" applyProtection="1">
      <alignment/>
      <protection locked="0"/>
    </xf>
    <xf numFmtId="2" fontId="22" fillId="0" borderId="16" xfId="0" applyNumberFormat="1" applyFont="1" applyFill="1" applyBorder="1" applyAlignment="1" applyProtection="1">
      <alignment/>
      <protection locked="0"/>
    </xf>
    <xf numFmtId="2" fontId="22" fillId="0" borderId="14" xfId="0" applyNumberFormat="1" applyFont="1" applyFill="1" applyBorder="1" applyAlignment="1" applyProtection="1">
      <alignment/>
      <protection locked="0"/>
    </xf>
    <xf numFmtId="174" fontId="22" fillId="0" borderId="111" xfId="0" applyNumberFormat="1" applyFont="1" applyFill="1" applyBorder="1" applyAlignment="1" applyProtection="1">
      <alignment/>
      <protection locked="0"/>
    </xf>
    <xf numFmtId="0" fontId="7" fillId="8" borderId="11" xfId="31" applyFill="1" applyBorder="1">
      <alignment/>
      <protection/>
    </xf>
    <xf numFmtId="0" fontId="54" fillId="0" borderId="56" xfId="31" applyFont="1" applyFill="1" applyBorder="1">
      <alignment/>
      <protection/>
    </xf>
    <xf numFmtId="0" fontId="54" fillId="0" borderId="159" xfId="31" applyFont="1" applyFill="1" applyBorder="1" applyAlignment="1">
      <alignment horizontal="left"/>
      <protection/>
    </xf>
    <xf numFmtId="0" fontId="54" fillId="0" borderId="65" xfId="31" applyFont="1" applyFill="1" applyBorder="1">
      <alignment/>
      <protection/>
    </xf>
    <xf numFmtId="0" fontId="7" fillId="10" borderId="81" xfId="31" applyFont="1" applyFill="1" applyBorder="1">
      <alignment/>
      <protection/>
    </xf>
    <xf numFmtId="165" fontId="0" fillId="0" borderId="11" xfId="0" applyNumberFormat="1" applyFill="1" applyBorder="1" applyAlignment="1">
      <alignment/>
    </xf>
    <xf numFmtId="14" fontId="7" fillId="0" borderId="0" xfId="0" applyNumberFormat="1" applyFont="1" applyAlignment="1">
      <alignment horizontal="left"/>
    </xf>
    <xf numFmtId="0" fontId="78" fillId="6" borderId="0" xfId="0" applyFont="1" applyFill="1" applyAlignment="1">
      <alignment horizontal="right" wrapText="1"/>
    </xf>
    <xf numFmtId="4" fontId="7" fillId="16" borderId="16" xfId="0" applyNumberFormat="1" applyFont="1" applyFill="1" applyBorder="1" applyAlignment="1" applyProtection="1">
      <alignment/>
      <protection locked="0"/>
    </xf>
    <xf numFmtId="4" fontId="7" fillId="16" borderId="11" xfId="0" applyNumberFormat="1" applyFont="1" applyFill="1" applyBorder="1" applyAlignment="1" applyProtection="1">
      <alignment/>
      <protection locked="0"/>
    </xf>
    <xf numFmtId="4" fontId="7" fillId="16" borderId="49" xfId="0" applyNumberFormat="1" applyFont="1" applyFill="1" applyBorder="1" applyAlignment="1" applyProtection="1">
      <alignment/>
      <protection locked="0"/>
    </xf>
    <xf numFmtId="178" fontId="7" fillId="0" borderId="63" xfId="23" applyNumberFormat="1" applyFill="1" applyBorder="1" applyAlignment="1">
      <alignment/>
    </xf>
    <xf numFmtId="38" fontId="7" fillId="0" borderId="57" xfId="15" applyNumberFormat="1" applyFont="1" applyFill="1" applyBorder="1" applyAlignment="1">
      <alignment/>
    </xf>
    <xf numFmtId="42" fontId="7" fillId="2" borderId="11" xfId="19" applyNumberFormat="1" applyFont="1" applyFill="1" applyBorder="1" applyAlignment="1">
      <alignment/>
    </xf>
    <xf numFmtId="194" fontId="7" fillId="0" borderId="49" xfId="0" applyNumberFormat="1" applyFont="1" applyFill="1" applyBorder="1" applyAlignment="1" applyProtection="1">
      <alignment/>
      <protection/>
    </xf>
    <xf numFmtId="6" fontId="7" fillId="0" borderId="21" xfId="0" applyNumberFormat="1" applyFont="1" applyFill="1" applyBorder="1" applyAlignment="1" applyProtection="1">
      <alignment/>
      <protection/>
    </xf>
    <xf numFmtId="6" fontId="7" fillId="0" borderId="0" xfId="0" applyNumberFormat="1" applyFont="1" applyFill="1" applyBorder="1" applyAlignment="1" applyProtection="1">
      <alignment/>
      <protection/>
    </xf>
    <xf numFmtId="6" fontId="7" fillId="0" borderId="27" xfId="0" applyNumberFormat="1" applyFont="1" applyFill="1" applyBorder="1" applyAlignment="1" applyProtection="1">
      <alignment/>
      <protection/>
    </xf>
    <xf numFmtId="0" fontId="7" fillId="0" borderId="84" xfId="0" applyFont="1" applyFill="1" applyBorder="1" applyAlignment="1" applyProtection="1">
      <alignment/>
      <protection/>
    </xf>
    <xf numFmtId="1" fontId="7" fillId="0" borderId="16" xfId="0" applyNumberFormat="1" applyFont="1" applyFill="1" applyBorder="1" applyAlignment="1" applyProtection="1">
      <alignment/>
      <protection/>
    </xf>
    <xf numFmtId="0" fontId="7" fillId="0" borderId="242" xfId="0" applyFont="1" applyFill="1" applyBorder="1" applyAlignment="1">
      <alignment/>
    </xf>
    <xf numFmtId="2" fontId="7" fillId="0" borderId="47" xfId="0" applyNumberFormat="1" applyFont="1" applyFill="1" applyBorder="1" applyAlignment="1" applyProtection="1">
      <alignment/>
      <protection/>
    </xf>
    <xf numFmtId="0" fontId="7" fillId="0" borderId="225" xfId="0" applyFont="1" applyFill="1" applyBorder="1" applyAlignment="1" applyProtection="1">
      <alignment/>
      <protection/>
    </xf>
    <xf numFmtId="0" fontId="7" fillId="0" borderId="84" xfId="0" applyFont="1" applyBorder="1" applyAlignment="1" applyProtection="1">
      <alignment horizontal="left"/>
      <protection/>
    </xf>
    <xf numFmtId="1" fontId="7" fillId="0" borderId="14" xfId="0" applyNumberFormat="1" applyFont="1" applyFill="1" applyBorder="1" applyAlignment="1" applyProtection="1">
      <alignment/>
      <protection/>
    </xf>
    <xf numFmtId="1" fontId="7" fillId="0" borderId="38" xfId="0" applyNumberFormat="1" applyFont="1" applyFill="1" applyBorder="1" applyAlignment="1" applyProtection="1">
      <alignment/>
      <protection/>
    </xf>
    <xf numFmtId="182" fontId="7" fillId="0" borderId="4" xfId="0" applyNumberFormat="1" applyFont="1" applyFill="1" applyBorder="1" applyAlignment="1" applyProtection="1">
      <alignment/>
      <protection/>
    </xf>
    <xf numFmtId="42" fontId="7" fillId="2" borderId="11" xfId="0" applyNumberFormat="1" applyFont="1" applyFill="1" applyBorder="1" applyAlignment="1" applyProtection="1">
      <alignment/>
      <protection/>
    </xf>
    <xf numFmtId="42" fontId="7" fillId="0" borderId="109" xfId="0" applyNumberFormat="1" applyFont="1" applyFill="1" applyBorder="1" applyAlignment="1" applyProtection="1">
      <alignment/>
      <protection/>
    </xf>
    <xf numFmtId="0" fontId="7" fillId="11" borderId="4" xfId="0" applyFont="1" applyFill="1" applyBorder="1" applyAlignment="1" applyProtection="1">
      <alignment/>
      <protection/>
    </xf>
    <xf numFmtId="0" fontId="7" fillId="11" borderId="0" xfId="0" applyFont="1" applyFill="1" applyBorder="1" applyAlignment="1" applyProtection="1">
      <alignment/>
      <protection/>
    </xf>
    <xf numFmtId="0" fontId="7" fillId="0" borderId="9" xfId="0" applyFont="1" applyFill="1" applyBorder="1" applyAlignment="1" applyProtection="1">
      <alignment/>
      <protection/>
    </xf>
    <xf numFmtId="0" fontId="7" fillId="8" borderId="0" xfId="0" applyFont="1" applyFill="1" applyBorder="1" applyAlignment="1">
      <alignment horizontal="right"/>
    </xf>
    <xf numFmtId="166" fontId="7" fillId="8" borderId="0" xfId="0" applyNumberFormat="1" applyFont="1" applyFill="1" applyBorder="1" applyAlignment="1" applyProtection="1">
      <alignment horizontal="right"/>
      <protection/>
    </xf>
    <xf numFmtId="0" fontId="7" fillId="0" borderId="9" xfId="0" applyFont="1" applyBorder="1" applyAlignment="1" applyProtection="1">
      <alignment/>
      <protection/>
    </xf>
    <xf numFmtId="5" fontId="7" fillId="0" borderId="2" xfId="0" applyNumberFormat="1" applyFont="1" applyBorder="1" applyAlignment="1" applyProtection="1">
      <alignment/>
      <protection/>
    </xf>
    <xf numFmtId="0" fontId="0" fillId="0" borderId="243" xfId="0" applyBorder="1" applyAlignment="1">
      <alignment vertical="center" wrapText="1"/>
    </xf>
    <xf numFmtId="0" fontId="7" fillId="8" borderId="25" xfId="0" applyFont="1" applyFill="1" applyBorder="1" applyAlignment="1" applyProtection="1">
      <alignment/>
      <protection/>
    </xf>
    <xf numFmtId="5" fontId="7" fillId="0" borderId="9" xfId="0" applyNumberFormat="1" applyFont="1" applyBorder="1" applyAlignment="1" applyProtection="1">
      <alignment/>
      <protection/>
    </xf>
    <xf numFmtId="0" fontId="7" fillId="0" borderId="85" xfId="0" applyFont="1" applyFill="1" applyBorder="1" applyAlignment="1" applyProtection="1">
      <alignment horizontal="left"/>
      <protection/>
    </xf>
    <xf numFmtId="168" fontId="7" fillId="0" borderId="11" xfId="0" applyNumberFormat="1" applyFont="1" applyFill="1" applyBorder="1" applyAlignment="1" applyProtection="1">
      <alignment/>
      <protection/>
    </xf>
    <xf numFmtId="1" fontId="7" fillId="0" borderId="16" xfId="0" applyNumberFormat="1" applyFont="1" applyFill="1" applyBorder="1" applyAlignment="1" applyProtection="1">
      <alignment/>
      <protection/>
    </xf>
    <xf numFmtId="0" fontId="8" fillId="0" borderId="84" xfId="0" applyFont="1" applyBorder="1" applyAlignment="1" applyProtection="1">
      <alignment horizontal="left"/>
      <protection/>
    </xf>
    <xf numFmtId="42" fontId="7" fillId="2" borderId="11" xfId="0" applyNumberFormat="1" applyFont="1" applyFill="1" applyBorder="1" applyAlignment="1" applyProtection="1">
      <alignment/>
      <protection/>
    </xf>
    <xf numFmtId="0" fontId="8" fillId="0" borderId="115" xfId="0" applyFont="1" applyFill="1" applyBorder="1" applyAlignment="1" applyProtection="1">
      <alignment horizontal="left"/>
      <protection/>
    </xf>
    <xf numFmtId="0" fontId="7" fillId="0" borderId="0" xfId="0" applyFont="1" applyFill="1" applyBorder="1" applyAlignment="1" applyProtection="1">
      <alignment horizontal="center"/>
      <protection/>
    </xf>
    <xf numFmtId="0" fontId="7" fillId="0" borderId="4" xfId="0" applyFont="1" applyFill="1" applyBorder="1" applyAlignment="1" applyProtection="1">
      <alignment horizontal="center"/>
      <protection/>
    </xf>
    <xf numFmtId="0" fontId="7" fillId="0" borderId="4" xfId="0" applyFont="1" applyFill="1" applyBorder="1" applyAlignment="1" applyProtection="1">
      <alignment/>
      <protection/>
    </xf>
    <xf numFmtId="0" fontId="7" fillId="0" borderId="19" xfId="0" applyFont="1" applyFill="1" applyBorder="1" applyAlignment="1" applyProtection="1">
      <alignment/>
      <protection/>
    </xf>
    <xf numFmtId="0" fontId="7" fillId="0" borderId="118" xfId="0" applyFont="1" applyFill="1" applyBorder="1" applyAlignment="1" applyProtection="1">
      <alignment/>
      <protection/>
    </xf>
    <xf numFmtId="0" fontId="7" fillId="0" borderId="2" xfId="0" applyFont="1" applyFill="1" applyBorder="1" applyAlignment="1" applyProtection="1">
      <alignment/>
      <protection/>
    </xf>
    <xf numFmtId="0" fontId="7" fillId="0" borderId="6" xfId="0" applyFont="1" applyFill="1" applyBorder="1" applyAlignment="1" applyProtection="1">
      <alignment/>
      <protection/>
    </xf>
    <xf numFmtId="0" fontId="7" fillId="9" borderId="85" xfId="0" applyFont="1" applyFill="1" applyBorder="1" applyAlignment="1" applyProtection="1">
      <alignment horizontal="left"/>
      <protection/>
    </xf>
    <xf numFmtId="164" fontId="7" fillId="2" borderId="11" xfId="31" applyNumberFormat="1" applyFill="1" applyBorder="1">
      <alignment/>
      <protection/>
    </xf>
    <xf numFmtId="209" fontId="7" fillId="0" borderId="11" xfId="0" applyNumberFormat="1" applyFont="1" applyFill="1" applyBorder="1" applyAlignment="1">
      <alignment/>
    </xf>
    <xf numFmtId="2" fontId="7" fillId="2" borderId="11" xfId="0" applyNumberFormat="1" applyFont="1" applyFill="1" applyBorder="1" applyAlignment="1">
      <alignment/>
    </xf>
    <xf numFmtId="182" fontId="7" fillId="0" borderId="11" xfId="0" applyNumberFormat="1" applyFont="1" applyFill="1" applyBorder="1" applyAlignment="1">
      <alignment/>
    </xf>
    <xf numFmtId="0" fontId="7" fillId="0" borderId="27" xfId="0" applyFont="1" applyFill="1" applyBorder="1" applyAlignment="1">
      <alignment/>
    </xf>
    <xf numFmtId="182" fontId="0" fillId="0" borderId="11" xfId="0" applyNumberFormat="1" applyFill="1" applyBorder="1" applyAlignment="1">
      <alignment/>
    </xf>
    <xf numFmtId="178" fontId="7" fillId="0" borderId="0" xfId="0" applyNumberFormat="1" applyFont="1" applyBorder="1" applyAlignment="1">
      <alignment/>
    </xf>
    <xf numFmtId="42" fontId="7" fillId="0" borderId="38" xfId="0" applyNumberFormat="1" applyFont="1" applyFill="1" applyBorder="1" applyAlignment="1" applyProtection="1">
      <alignment/>
      <protection/>
    </xf>
    <xf numFmtId="0" fontId="8" fillId="11" borderId="113" xfId="0" applyFont="1" applyFill="1" applyBorder="1" applyAlignment="1">
      <alignment/>
    </xf>
    <xf numFmtId="0" fontId="7" fillId="11" borderId="114" xfId="0" applyFont="1" applyFill="1" applyBorder="1" applyAlignment="1">
      <alignment/>
    </xf>
    <xf numFmtId="0" fontId="7" fillId="11" borderId="135" xfId="0" applyFont="1" applyFill="1" applyBorder="1" applyAlignment="1">
      <alignment/>
    </xf>
    <xf numFmtId="165" fontId="7" fillId="8" borderId="11" xfId="0" applyNumberFormat="1" applyFont="1" applyFill="1" applyBorder="1" applyAlignment="1" applyProtection="1">
      <alignment/>
      <protection/>
    </xf>
    <xf numFmtId="0" fontId="7" fillId="0" borderId="56" xfId="31" applyFont="1" applyFill="1" applyBorder="1" applyAlignment="1">
      <alignment/>
      <protection/>
    </xf>
    <xf numFmtId="0" fontId="6" fillId="0" borderId="0" xfId="0" applyFont="1" applyAlignment="1">
      <alignment/>
    </xf>
    <xf numFmtId="49" fontId="7" fillId="0" borderId="28" xfId="0" applyNumberFormat="1" applyFont="1" applyBorder="1" applyAlignment="1">
      <alignment horizontal="center"/>
    </xf>
    <xf numFmtId="165" fontId="7" fillId="0" borderId="47" xfId="0" applyNumberFormat="1" applyFont="1" applyFill="1" applyBorder="1" applyAlignment="1">
      <alignment/>
    </xf>
    <xf numFmtId="0" fontId="7" fillId="0" borderId="27" xfId="0" applyFont="1" applyFill="1" applyBorder="1" applyAlignment="1">
      <alignment horizontal="center" wrapText="1"/>
    </xf>
    <xf numFmtId="3" fontId="7" fillId="0" borderId="30" xfId="0" applyNumberFormat="1" applyFont="1" applyBorder="1" applyAlignment="1">
      <alignment/>
    </xf>
    <xf numFmtId="37" fontId="7" fillId="0" borderId="49" xfId="0" applyNumberFormat="1" applyFont="1" applyFill="1" applyBorder="1" applyAlignment="1" applyProtection="1">
      <alignment/>
      <protection/>
    </xf>
    <xf numFmtId="0" fontId="8" fillId="0" borderId="15" xfId="0" applyFont="1" applyBorder="1" applyAlignment="1">
      <alignment horizontal="center" vertical="center" textRotation="90"/>
    </xf>
    <xf numFmtId="0" fontId="8" fillId="0" borderId="122" xfId="0" applyFont="1" applyBorder="1" applyAlignment="1">
      <alignment horizontal="center" wrapText="1"/>
    </xf>
    <xf numFmtId="0" fontId="8" fillId="0" borderId="126" xfId="0" applyFont="1" applyBorder="1" applyAlignment="1">
      <alignment horizontal="center" wrapText="1"/>
    </xf>
    <xf numFmtId="0" fontId="8" fillId="0" borderId="131" xfId="0" applyFont="1" applyBorder="1" applyAlignment="1">
      <alignment horizontal="center" wrapText="1"/>
    </xf>
    <xf numFmtId="0" fontId="8" fillId="0" borderId="20" xfId="0" applyFont="1" applyBorder="1" applyAlignment="1">
      <alignment horizontal="center" vertical="center" textRotation="90"/>
    </xf>
    <xf numFmtId="0" fontId="7" fillId="0" borderId="212" xfId="0" applyFont="1" applyBorder="1" applyAlignment="1">
      <alignment horizontal="center"/>
    </xf>
    <xf numFmtId="0" fontId="12" fillId="10" borderId="244" xfId="0" applyFont="1" applyFill="1" applyBorder="1" applyAlignment="1">
      <alignment horizontal="center" vertical="center" textRotation="90"/>
    </xf>
    <xf numFmtId="0" fontId="12" fillId="10" borderId="49" xfId="0" applyFont="1" applyFill="1" applyBorder="1" applyAlignment="1">
      <alignment horizontal="center" vertical="center" textRotation="90"/>
    </xf>
    <xf numFmtId="0" fontId="8" fillId="0" borderId="25" xfId="0" applyFont="1" applyBorder="1" applyAlignment="1">
      <alignment horizontal="center"/>
    </xf>
    <xf numFmtId="0" fontId="8" fillId="0" borderId="26" xfId="0" applyFont="1" applyBorder="1" applyAlignment="1">
      <alignment horizontal="center"/>
    </xf>
    <xf numFmtId="0" fontId="8" fillId="0" borderId="121" xfId="0" applyFont="1" applyBorder="1" applyAlignment="1">
      <alignment horizontal="center" wrapText="1"/>
    </xf>
    <xf numFmtId="0" fontId="0" fillId="0" borderId="47" xfId="0" applyBorder="1" applyAlignment="1">
      <alignment vertical="center"/>
    </xf>
    <xf numFmtId="0" fontId="0" fillId="0" borderId="14" xfId="0" applyBorder="1" applyAlignment="1">
      <alignment vertical="center"/>
    </xf>
    <xf numFmtId="0" fontId="0" fillId="0" borderId="242" xfId="0" applyBorder="1" applyAlignment="1">
      <alignment horizontal="center" vertical="center"/>
    </xf>
    <xf numFmtId="0" fontId="0" fillId="0" borderId="84" xfId="0" applyBorder="1" applyAlignment="1">
      <alignment horizontal="center" vertical="center"/>
    </xf>
    <xf numFmtId="0" fontId="7" fillId="0" borderId="108" xfId="0" applyFont="1" applyBorder="1" applyAlignment="1">
      <alignment horizontal="left"/>
    </xf>
    <xf numFmtId="0" fontId="7" fillId="0" borderId="53" xfId="0" applyFont="1" applyBorder="1" applyAlignment="1">
      <alignment horizontal="left"/>
    </xf>
    <xf numFmtId="0" fontId="7" fillId="0" borderId="120" xfId="0" applyFont="1" applyBorder="1" applyAlignment="1">
      <alignment horizontal="center"/>
    </xf>
    <xf numFmtId="0" fontId="8" fillId="0" borderId="11" xfId="0" applyFont="1" applyBorder="1" applyAlignment="1">
      <alignment horizontal="center" vertical="center" textRotation="90"/>
    </xf>
    <xf numFmtId="0" fontId="8" fillId="0" borderId="244" xfId="0" applyFont="1" applyBorder="1" applyAlignment="1">
      <alignment horizontal="center"/>
    </xf>
    <xf numFmtId="0" fontId="8" fillId="0" borderId="212" xfId="0" applyFont="1" applyBorder="1" applyAlignment="1">
      <alignment horizontal="center"/>
    </xf>
    <xf numFmtId="0" fontId="12" fillId="0" borderId="27" xfId="0" applyFont="1" applyBorder="1" applyAlignment="1">
      <alignment horizontal="center" vertical="center" textRotation="90"/>
    </xf>
    <xf numFmtId="0" fontId="12" fillId="0" borderId="49" xfId="0" applyFont="1" applyBorder="1" applyAlignment="1">
      <alignment horizontal="center" vertical="center" textRotation="90"/>
    </xf>
    <xf numFmtId="0" fontId="12" fillId="0" borderId="244" xfId="0" applyFont="1" applyBorder="1" applyAlignment="1">
      <alignment horizontal="center" vertical="center" textRotation="90"/>
    </xf>
    <xf numFmtId="0" fontId="8" fillId="10" borderId="244" xfId="0" applyFont="1" applyFill="1" applyBorder="1" applyAlignment="1">
      <alignment horizontal="center" vertical="center" textRotation="90"/>
    </xf>
    <xf numFmtId="0" fontId="8" fillId="10" borderId="27" xfId="0" applyFont="1" applyFill="1" applyBorder="1" applyAlignment="1">
      <alignment horizontal="center" vertical="center" textRotation="90"/>
    </xf>
    <xf numFmtId="0" fontId="8" fillId="10" borderId="49" xfId="0" applyFont="1" applyFill="1" applyBorder="1" applyAlignment="1">
      <alignment horizontal="center" vertical="center" textRotation="90"/>
    </xf>
    <xf numFmtId="0" fontId="8" fillId="10" borderId="245" xfId="0" applyFont="1" applyFill="1" applyBorder="1" applyAlignment="1">
      <alignment horizontal="center" vertical="center" textRotation="90"/>
    </xf>
    <xf numFmtId="0" fontId="7" fillId="0" borderId="244" xfId="0" applyFont="1" applyBorder="1" applyAlignment="1">
      <alignment horizontal="center"/>
    </xf>
    <xf numFmtId="0" fontId="8" fillId="0" borderId="23" xfId="0" applyFont="1" applyBorder="1" applyAlignment="1">
      <alignment horizontal="center" vertical="center" textRotation="90"/>
    </xf>
    <xf numFmtId="0" fontId="12" fillId="0" borderId="14" xfId="0" applyFont="1" applyBorder="1" applyAlignment="1">
      <alignment horizontal="center" vertical="center" textRotation="90"/>
    </xf>
    <xf numFmtId="0" fontId="12" fillId="0" borderId="122"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48" xfId="0" applyFont="1" applyBorder="1" applyAlignment="1">
      <alignment horizontal="center" vertical="center" textRotation="90"/>
    </xf>
    <xf numFmtId="0" fontId="12" fillId="10" borderId="27" xfId="0" applyFont="1" applyFill="1" applyBorder="1" applyAlignment="1">
      <alignment horizontal="center" vertical="center" textRotation="90"/>
    </xf>
    <xf numFmtId="0" fontId="74" fillId="6" borderId="246" xfId="0" applyFont="1" applyFill="1" applyBorder="1" applyAlignment="1">
      <alignment horizontal="left" vertical="top" wrapText="1"/>
    </xf>
    <xf numFmtId="0" fontId="74" fillId="6" borderId="247" xfId="0" applyFont="1" applyFill="1" applyBorder="1" applyAlignment="1">
      <alignment horizontal="left" vertical="top" wrapText="1"/>
    </xf>
    <xf numFmtId="0" fontId="74" fillId="6" borderId="248" xfId="0" applyFont="1" applyFill="1" applyBorder="1" applyAlignment="1">
      <alignment horizontal="left" vertical="top" wrapText="1"/>
    </xf>
    <xf numFmtId="0" fontId="0" fillId="0" borderId="228" xfId="0" applyBorder="1" applyAlignment="1">
      <alignment vertical="top" wrapText="1"/>
    </xf>
    <xf numFmtId="0" fontId="0" fillId="0" borderId="249" xfId="0" applyBorder="1" applyAlignment="1">
      <alignment vertical="top" wrapText="1"/>
    </xf>
    <xf numFmtId="0" fontId="0" fillId="0" borderId="247" xfId="0" applyBorder="1" applyAlignment="1">
      <alignment vertical="top" wrapText="1"/>
    </xf>
    <xf numFmtId="0" fontId="73" fillId="6" borderId="233" xfId="0" applyFont="1" applyFill="1" applyBorder="1" applyAlignment="1">
      <alignment wrapText="1"/>
    </xf>
    <xf numFmtId="0" fontId="73" fillId="6" borderId="250" xfId="0" applyFont="1" applyFill="1" applyBorder="1" applyAlignment="1">
      <alignment wrapText="1"/>
    </xf>
    <xf numFmtId="0" fontId="73" fillId="6" borderId="235" xfId="0" applyFont="1" applyFill="1" applyBorder="1" applyAlignment="1">
      <alignment wrapText="1"/>
    </xf>
    <xf numFmtId="0" fontId="78" fillId="6" borderId="0" xfId="0" applyFont="1" applyFill="1" applyAlignment="1">
      <alignment horizontal="center" wrapText="1"/>
    </xf>
    <xf numFmtId="0" fontId="79" fillId="17" borderId="0" xfId="0" applyFont="1" applyFill="1" applyAlignment="1">
      <alignment horizontal="center" wrapText="1"/>
    </xf>
    <xf numFmtId="0" fontId="0" fillId="6" borderId="0" xfId="0" applyFill="1" applyAlignment="1">
      <alignment wrapText="1"/>
    </xf>
    <xf numFmtId="0" fontId="78" fillId="17" borderId="0" xfId="0" applyFont="1" applyFill="1" applyAlignment="1">
      <alignment wrapText="1"/>
    </xf>
    <xf numFmtId="0" fontId="79" fillId="17" borderId="0" xfId="0" applyFont="1" applyFill="1" applyAlignment="1">
      <alignment wrapText="1"/>
    </xf>
    <xf numFmtId="0" fontId="88" fillId="6" borderId="0" xfId="0" applyFont="1" applyFill="1" applyAlignment="1">
      <alignment horizontal="center" wrapText="1"/>
    </xf>
    <xf numFmtId="0" fontId="84" fillId="6" borderId="0" xfId="0" applyFont="1" applyFill="1" applyAlignment="1">
      <alignment wrapText="1"/>
    </xf>
    <xf numFmtId="0" fontId="86" fillId="6" borderId="0" xfId="0" applyFont="1" applyFill="1" applyAlignment="1">
      <alignment wrapText="1"/>
    </xf>
    <xf numFmtId="0" fontId="72" fillId="0" borderId="0" xfId="0" applyFont="1" applyAlignment="1">
      <alignment horizontal="left" wrapText="1"/>
    </xf>
    <xf numFmtId="0" fontId="12" fillId="0" borderId="251" xfId="0" applyFont="1" applyFill="1" applyBorder="1" applyAlignment="1">
      <alignment horizontal="center" vertical="center" textRotation="90"/>
    </xf>
    <xf numFmtId="0" fontId="12" fillId="0" borderId="151" xfId="0" applyFont="1" applyFill="1" applyBorder="1" applyAlignment="1">
      <alignment horizontal="center" vertical="center" textRotation="90"/>
    </xf>
    <xf numFmtId="0" fontId="12" fillId="0" borderId="132" xfId="0" applyFont="1" applyFill="1" applyBorder="1" applyAlignment="1">
      <alignment horizontal="center" vertical="center" textRotation="90"/>
    </xf>
    <xf numFmtId="0" fontId="12" fillId="0" borderId="85" xfId="0" applyFont="1" applyFill="1" applyBorder="1" applyAlignment="1">
      <alignment horizontal="center" vertical="center" textRotation="90"/>
    </xf>
    <xf numFmtId="0" fontId="12" fillId="0" borderId="29" xfId="0" applyFont="1" applyFill="1" applyBorder="1" applyAlignment="1">
      <alignment horizontal="center" vertical="center" textRotation="90"/>
    </xf>
    <xf numFmtId="0" fontId="12" fillId="0" borderId="252" xfId="0" applyFont="1" applyFill="1" applyBorder="1" applyAlignment="1">
      <alignment horizontal="center" vertical="center" textRotation="90"/>
    </xf>
    <xf numFmtId="0" fontId="7" fillId="0" borderId="210" xfId="0" applyFont="1" applyFill="1" applyBorder="1" applyAlignment="1">
      <alignment horizontal="center"/>
    </xf>
    <xf numFmtId="0" fontId="7" fillId="0" borderId="116" xfId="0" applyFont="1" applyFill="1" applyBorder="1" applyAlignment="1">
      <alignment horizontal="center"/>
    </xf>
    <xf numFmtId="0" fontId="7" fillId="0" borderId="123" xfId="0" applyFont="1" applyFill="1" applyBorder="1" applyAlignment="1">
      <alignment horizontal="center"/>
    </xf>
    <xf numFmtId="0" fontId="1" fillId="0" borderId="47" xfId="0" applyFont="1" applyFill="1" applyBorder="1" applyAlignment="1">
      <alignment horizontal="left"/>
    </xf>
    <xf numFmtId="0" fontId="8" fillId="0" borderId="0" xfId="0" applyFont="1" applyBorder="1" applyAlignment="1">
      <alignment horizontal="center"/>
    </xf>
    <xf numFmtId="0" fontId="8" fillId="0" borderId="1" xfId="0" applyFont="1" applyBorder="1" applyAlignment="1">
      <alignment horizontal="center"/>
    </xf>
    <xf numFmtId="0" fontId="7" fillId="0" borderId="11" xfId="0" applyFont="1" applyFill="1" applyBorder="1" applyAlignment="1">
      <alignment horizontal="center"/>
    </xf>
    <xf numFmtId="0" fontId="7" fillId="0" borderId="108" xfId="0" applyFont="1" applyFill="1" applyBorder="1" applyAlignment="1">
      <alignment horizontal="left"/>
    </xf>
    <xf numFmtId="0" fontId="7" fillId="0" borderId="53" xfId="0" applyFont="1" applyFill="1" applyBorder="1" applyAlignment="1">
      <alignment horizontal="left"/>
    </xf>
    <xf numFmtId="0" fontId="0" fillId="0" borderId="253" xfId="0" applyBorder="1" applyAlignment="1">
      <alignment horizontal="center" vertical="center" wrapText="1"/>
    </xf>
    <xf numFmtId="0" fontId="0" fillId="0" borderId="152" xfId="0" applyBorder="1" applyAlignment="1">
      <alignment horizontal="center" vertical="center" wrapText="1"/>
    </xf>
    <xf numFmtId="0" fontId="0" fillId="0" borderId="243" xfId="0" applyBorder="1" applyAlignment="1">
      <alignment horizontal="center" vertical="center" wrapText="1"/>
    </xf>
    <xf numFmtId="0" fontId="7" fillId="0" borderId="0" xfId="0" applyFont="1" applyFill="1" applyBorder="1" applyAlignment="1">
      <alignment horizontal="center"/>
    </xf>
    <xf numFmtId="0" fontId="7" fillId="0" borderId="13" xfId="0" applyFont="1" applyFill="1" applyBorder="1" applyAlignment="1">
      <alignment horizontal="center"/>
    </xf>
    <xf numFmtId="0" fontId="7" fillId="0" borderId="176" xfId="0" applyFont="1" applyFill="1" applyBorder="1" applyAlignment="1">
      <alignment horizontal="center"/>
    </xf>
    <xf numFmtId="0" fontId="7" fillId="0" borderId="45" xfId="0" applyFont="1" applyFill="1" applyBorder="1" applyAlignment="1">
      <alignment horizontal="center"/>
    </xf>
    <xf numFmtId="0" fontId="0" fillId="0" borderId="254" xfId="0" applyBorder="1" applyAlignment="1">
      <alignment horizontal="center" vertical="center" wrapText="1"/>
    </xf>
    <xf numFmtId="0" fontId="7" fillId="0" borderId="255" xfId="0" applyFont="1" applyBorder="1" applyAlignment="1">
      <alignment horizontal="center"/>
    </xf>
    <xf numFmtId="0" fontId="7" fillId="0" borderId="168" xfId="0" applyFont="1" applyBorder="1" applyAlignment="1">
      <alignment horizontal="center"/>
    </xf>
    <xf numFmtId="0" fontId="8" fillId="0" borderId="8" xfId="0" applyFont="1" applyFill="1" applyBorder="1" applyAlignment="1">
      <alignment horizontal="center" wrapText="1"/>
    </xf>
    <xf numFmtId="0" fontId="8" fillId="0" borderId="7"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7" fillId="0" borderId="47" xfId="0" applyFont="1" applyFill="1" applyBorder="1" applyAlignment="1">
      <alignment horizontal="center"/>
    </xf>
    <xf numFmtId="0" fontId="7" fillId="0" borderId="212" xfId="0" applyFont="1" applyFill="1" applyBorder="1" applyAlignment="1">
      <alignment horizontal="center"/>
    </xf>
    <xf numFmtId="0" fontId="7" fillId="0" borderId="97" xfId="0" applyFont="1" applyFill="1" applyBorder="1" applyAlignment="1">
      <alignment horizontal="center"/>
    </xf>
    <xf numFmtId="0" fontId="7" fillId="0" borderId="120" xfId="0" applyFont="1" applyFill="1" applyBorder="1" applyAlignment="1">
      <alignment horizontal="center"/>
    </xf>
    <xf numFmtId="0" fontId="51" fillId="0" borderId="242" xfId="0" applyFont="1" applyFill="1" applyBorder="1" applyAlignment="1">
      <alignment horizontal="center" wrapText="1"/>
    </xf>
    <xf numFmtId="0" fontId="51" fillId="0" borderId="155" xfId="0" applyFont="1" applyFill="1" applyBorder="1" applyAlignment="1">
      <alignment horizontal="center" wrapText="1"/>
    </xf>
    <xf numFmtId="0" fontId="7" fillId="0" borderId="242" xfId="0" applyFont="1" applyFill="1" applyBorder="1" applyAlignment="1">
      <alignment horizontal="center"/>
    </xf>
    <xf numFmtId="0" fontId="7" fillId="0" borderId="155" xfId="0" applyFont="1" applyFill="1" applyBorder="1" applyAlignment="1">
      <alignment horizontal="center"/>
    </xf>
    <xf numFmtId="0" fontId="7" fillId="0" borderId="28" xfId="0" applyFont="1" applyBorder="1" applyAlignment="1">
      <alignment horizontal="center"/>
    </xf>
    <xf numFmtId="0" fontId="7" fillId="0" borderId="83" xfId="0" applyFont="1" applyBorder="1" applyAlignment="1">
      <alignment horizontal="center"/>
    </xf>
    <xf numFmtId="0" fontId="8" fillId="0" borderId="0" xfId="28" applyFont="1" applyFill="1" applyBorder="1" applyAlignment="1">
      <alignment horizontal="right"/>
      <protection/>
    </xf>
    <xf numFmtId="0" fontId="7" fillId="9" borderId="13" xfId="28" applyFill="1" applyBorder="1" applyAlignment="1">
      <alignment horizontal="center"/>
      <protection/>
    </xf>
    <xf numFmtId="0" fontId="7" fillId="9" borderId="45" xfId="28" applyFill="1" applyBorder="1" applyAlignment="1">
      <alignment horizontal="center"/>
      <protection/>
    </xf>
    <xf numFmtId="0" fontId="7" fillId="0" borderId="0" xfId="28" applyBorder="1" applyAlignment="1">
      <alignment horizontal="center"/>
      <protection/>
    </xf>
    <xf numFmtId="0" fontId="7" fillId="0" borderId="1" xfId="28" applyBorder="1" applyAlignment="1">
      <alignment horizontal="center"/>
      <protection/>
    </xf>
    <xf numFmtId="0" fontId="8" fillId="0" borderId="0" xfId="29" applyFont="1" applyFill="1" applyAlignment="1">
      <alignment horizontal="left" wrapText="1"/>
      <protection/>
    </xf>
    <xf numFmtId="0" fontId="7" fillId="11" borderId="8" xfId="29" applyFont="1" applyFill="1" applyBorder="1" applyAlignment="1">
      <alignment horizontal="left" indent="15"/>
      <protection/>
    </xf>
    <xf numFmtId="0" fontId="7" fillId="11" borderId="9" xfId="29" applyFont="1" applyFill="1" applyBorder="1" applyAlignment="1">
      <alignment horizontal="left" indent="15"/>
      <protection/>
    </xf>
    <xf numFmtId="0" fontId="7" fillId="11" borderId="7" xfId="29" applyFont="1" applyFill="1" applyBorder="1" applyAlignment="1">
      <alignment horizontal="left" indent="15"/>
      <protection/>
    </xf>
    <xf numFmtId="0" fontId="0" fillId="0" borderId="0" xfId="0" applyAlignment="1">
      <alignment horizontal="center" wrapText="1"/>
    </xf>
    <xf numFmtId="0" fontId="1" fillId="0" borderId="11" xfId="0" applyFont="1" applyBorder="1" applyAlignment="1">
      <alignment horizontal="center"/>
    </xf>
  </cellXfs>
  <cellStyles count="21">
    <cellStyle name="Normal" xfId="0"/>
    <cellStyle name="Comma" xfId="15"/>
    <cellStyle name="Comma [0]" xfId="16"/>
    <cellStyle name="Comma_SurrateIP" xfId="17"/>
    <cellStyle name="Comma_SurrateOP" xfId="18"/>
    <cellStyle name="Currency" xfId="19"/>
    <cellStyle name="Currency [0]" xfId="20"/>
    <cellStyle name="Currency_IonicsEDR_Cost" xfId="21"/>
    <cellStyle name="Currency_Microfiltation" xfId="22"/>
    <cellStyle name="Currency_SurrateOP" xfId="23"/>
    <cellStyle name="Currency_WTCOST" xfId="24"/>
    <cellStyle name="Followed Hyperlink" xfId="25"/>
    <cellStyle name="Hyperlink" xfId="26"/>
    <cellStyle name="Normal_IonicsEDR_Cost" xfId="27"/>
    <cellStyle name="Normal_Microfiltation" xfId="28"/>
    <cellStyle name="Normal_rejection" xfId="29"/>
    <cellStyle name="Normal_RO&amp;NF.XLS" xfId="30"/>
    <cellStyle name="Normal_SurrateIP" xfId="31"/>
    <cellStyle name="Normal_SurrateOP" xfId="32"/>
    <cellStyle name="Normal_WTCOST" xfId="33"/>
    <cellStyle name="Percent" xfId="34"/>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Pr>
                <a:bodyPr vert="horz" rot="0" anchor="ctr"/>
                <a:lstStyle/>
                <a:p>
                  <a:pPr algn="ctr">
                    <a:defRPr lang="en-US" cap="none" sz="1400" b="0" i="0" u="none" baseline="0"/>
                  </a:pPr>
                </a:p>
              </c:txPr>
              <c:numFmt formatCode="General"/>
            </c:trendlineLbl>
          </c:trendline>
          <c:xVal>
            <c:strRef>
              <c:f>'{d}Cost Index'!$CH$25:$CH$29</c:f>
              <c:strCache>
                <c:ptCount val="5"/>
                <c:pt idx="0">
                  <c:v>0</c:v>
                </c:pt>
                <c:pt idx="1">
                  <c:v>0</c:v>
                </c:pt>
                <c:pt idx="2">
                  <c:v>0</c:v>
                </c:pt>
                <c:pt idx="3">
                  <c:v>0</c:v>
                </c:pt>
                <c:pt idx="4">
                  <c:v>0</c:v>
                </c:pt>
              </c:strCache>
            </c:strRef>
          </c:xVal>
          <c:yVal>
            <c:numRef>
              <c:f>'{d}Cost Index'!$CI$25:$CI$29</c:f>
              <c:numCache>
                <c:ptCount val="5"/>
                <c:pt idx="0">
                  <c:v>0</c:v>
                </c:pt>
                <c:pt idx="1">
                  <c:v>0</c:v>
                </c:pt>
                <c:pt idx="2">
                  <c:v>0</c:v>
                </c:pt>
                <c:pt idx="3">
                  <c:v>0</c:v>
                </c:pt>
                <c:pt idx="4">
                  <c:v>0</c:v>
                </c:pt>
              </c:numCache>
            </c:numRef>
          </c:yVal>
          <c:smooth val="0"/>
        </c:ser>
        <c:axId val="60326996"/>
        <c:axId val="6072053"/>
      </c:scatterChart>
      <c:valAx>
        <c:axId val="60326996"/>
        <c:scaling>
          <c:orientation val="minMax"/>
        </c:scaling>
        <c:axPos val="b"/>
        <c:delete val="0"/>
        <c:numFmt formatCode="General" sourceLinked="1"/>
        <c:majorTickMark val="out"/>
        <c:minorTickMark val="none"/>
        <c:tickLblPos val="nextTo"/>
        <c:crossAx val="6072053"/>
        <c:crosses val="autoZero"/>
        <c:crossBetween val="midCat"/>
        <c:dispUnits/>
      </c:valAx>
      <c:valAx>
        <c:axId val="6072053"/>
        <c:scaling>
          <c:orientation val="minMax"/>
        </c:scaling>
        <c:axPos val="l"/>
        <c:majorGridlines/>
        <c:delete val="0"/>
        <c:numFmt formatCode="General" sourceLinked="1"/>
        <c:majorTickMark val="out"/>
        <c:minorTickMark val="none"/>
        <c:tickLblPos val="nextTo"/>
        <c:crossAx val="6032699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Construction Cost for Clearwell Ground Level Storage
</a:t>
            </a:r>
          </a:p>
        </c:rich>
      </c:tx>
      <c:layout>
        <c:manualLayout>
          <c:xMode val="factor"/>
          <c:yMode val="factor"/>
          <c:x val="0.05975"/>
          <c:y val="-0.0215"/>
        </c:manualLayout>
      </c:layout>
      <c:spPr>
        <a:noFill/>
        <a:ln>
          <a:noFill/>
        </a:ln>
      </c:spPr>
    </c:title>
    <c:plotArea>
      <c:layout>
        <c:manualLayout>
          <c:xMode val="edge"/>
          <c:yMode val="edge"/>
          <c:x val="0.06675"/>
          <c:y val="0.128"/>
          <c:w val="0.93325"/>
          <c:h val="0.684"/>
        </c:manualLayout>
      </c:layout>
      <c:scatterChart>
        <c:scatterStyle val="lineMarker"/>
        <c:varyColors val="0"/>
        <c:ser>
          <c:idx val="0"/>
          <c:order val="0"/>
          <c:tx>
            <c:strRef>
              <c:f>'{v}Clearwell'!$O$10</c:f>
              <c:strCache>
                <c:ptCount val="1"/>
                <c:pt idx="0">
                  <c:v>Ground Level CC</c:v>
                </c:pt>
              </c:strCache>
            </c:strRef>
          </c:tx>
          <c:extLst>
            <c:ext xmlns:c14="http://schemas.microsoft.com/office/drawing/2007/8/2/chart" uri="{6F2FDCE9-48DA-4B69-8628-5D25D57E5C99}">
              <c14:invertSolidFillFmt>
                <c14:spPr>
                  <a:solidFill>
                    <a:srgbClr val="000000"/>
                  </a:solidFill>
                </c14:spPr>
              </c14:invertSolidFillFmt>
            </c:ext>
          </c:extLst>
          <c:xVal>
            <c:numRef>
              <c:f>'{v}Clearwell'!$N$11:$N$24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'{v}Clearwell'!$O$11:$O$24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1"/>
        </c:ser>
        <c:axId val="48445806"/>
        <c:axId val="33359071"/>
      </c:scatterChart>
      <c:valAx>
        <c:axId val="48445806"/>
        <c:scaling>
          <c:orientation val="minMax"/>
          <c:max val="1200"/>
        </c:scaling>
        <c:axPos val="b"/>
        <c:title>
          <c:tx>
            <c:rich>
              <a:bodyPr vert="horz" rot="0" anchor="ctr"/>
              <a:lstStyle/>
              <a:p>
                <a:pPr algn="ctr">
                  <a:defRPr/>
                </a:pPr>
                <a:r>
                  <a:rPr lang="en-US" cap="none" sz="800" b="1" i="0" u="none" baseline="0"/>
                  <a:t>Capacity (m</a:t>
                </a:r>
                <a:r>
                  <a:rPr lang="en-US" cap="none" sz="800" b="1" i="0" u="none" baseline="30000"/>
                  <a:t>3</a:t>
                </a:r>
                <a:r>
                  <a:rPr lang="en-US" cap="none" sz="800" b="1" i="0" u="none" baseline="0"/>
                  <a:t>)</a:t>
                </a:r>
              </a:p>
            </c:rich>
          </c:tx>
          <c:layout>
            <c:manualLayout>
              <c:xMode val="factor"/>
              <c:yMode val="factor"/>
              <c:x val="0.0065"/>
              <c:y val="-0.00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pPr>
          </a:p>
        </c:txPr>
        <c:crossAx val="33359071"/>
        <c:crosses val="autoZero"/>
        <c:crossBetween val="midCat"/>
        <c:dispUnits/>
      </c:valAx>
      <c:valAx>
        <c:axId val="33359071"/>
        <c:scaling>
          <c:orientation val="minMax"/>
        </c:scaling>
        <c:axPos val="l"/>
        <c:title>
          <c:tx>
            <c:rich>
              <a:bodyPr vert="horz" rot="-5400000" anchor="ctr"/>
              <a:lstStyle/>
              <a:p>
                <a:pPr algn="ctr">
                  <a:defRPr/>
                </a:pPr>
                <a:r>
                  <a:rPr lang="en-US" cap="none" sz="800" b="1" i="0" u="none" baseline="0"/>
                  <a:t>Construction Cost (1999  in $1000)</a:t>
                </a:r>
              </a:p>
            </c:rich>
          </c:tx>
          <c:layout>
            <c:manualLayout>
              <c:xMode val="factor"/>
              <c:yMode val="factor"/>
              <c:x val="-0.02975"/>
              <c:y val="0"/>
            </c:manualLayout>
          </c:layout>
          <c:overlay val="0"/>
          <c:spPr>
            <a:noFill/>
            <a:ln>
              <a:noFill/>
            </a:ln>
          </c:spPr>
        </c:title>
        <c:delete val="0"/>
        <c:numFmt formatCode="#,##0;-#,##0" sourceLinked="0"/>
        <c:majorTickMark val="out"/>
        <c:minorTickMark val="none"/>
        <c:tickLblPos val="nextTo"/>
        <c:txPr>
          <a:bodyPr/>
          <a:lstStyle/>
          <a:p>
            <a:pPr>
              <a:defRPr lang="en-US" cap="none" sz="800" b="0" i="0" u="none" baseline="0"/>
            </a:pPr>
          </a:p>
        </c:txPr>
        <c:crossAx val="48445806"/>
        <c:crosses val="autoZero"/>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wer"/>
            <c:dispEq val="1"/>
            <c:dispRSqr val="1"/>
            <c:trendlineLbl>
              <c:layout>
                <c:manualLayout>
                  <c:x val="0"/>
                  <c:y val="0"/>
                </c:manualLayout>
              </c:layout>
              <c:numFmt formatCode="General"/>
            </c:trendlineLbl>
          </c:trendline>
          <c:xVal>
            <c:numRef>
              <c:f>'{w}GravityFilt'!$Q$10:$Q$25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'{w}GravityFilt'!$R$10:$R$25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31796184"/>
        <c:axId val="17730201"/>
      </c:scatterChart>
      <c:valAx>
        <c:axId val="31796184"/>
        <c:scaling>
          <c:orientation val="minMax"/>
        </c:scaling>
        <c:axPos val="b"/>
        <c:delete val="0"/>
        <c:numFmt formatCode="General" sourceLinked="1"/>
        <c:majorTickMark val="out"/>
        <c:minorTickMark val="none"/>
        <c:tickLblPos val="nextTo"/>
        <c:crossAx val="17730201"/>
        <c:crosses val="autoZero"/>
        <c:crossBetween val="midCat"/>
        <c:dispUnits/>
      </c:valAx>
      <c:valAx>
        <c:axId val="17730201"/>
        <c:scaling>
          <c:orientation val="minMax"/>
        </c:scaling>
        <c:axPos val="l"/>
        <c:majorGridlines/>
        <c:delete val="0"/>
        <c:numFmt formatCode="General" sourceLinked="1"/>
        <c:majorTickMark val="out"/>
        <c:minorTickMark val="none"/>
        <c:tickLblPos val="nextTo"/>
        <c:crossAx val="3179618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Ra Test</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val>
            <c:numRef>
              <c:f>'{bb}Rejection'!$B$34:$K$34</c:f>
              <c:numCache>
                <c:ptCount val="10"/>
                <c:pt idx="0">
                  <c:v>0</c:v>
                </c:pt>
                <c:pt idx="1">
                  <c:v>0</c:v>
                </c:pt>
                <c:pt idx="2">
                  <c:v>0</c:v>
                </c:pt>
                <c:pt idx="3">
                  <c:v>0</c:v>
                </c:pt>
                <c:pt idx="4">
                  <c:v>0</c:v>
                </c:pt>
                <c:pt idx="5">
                  <c:v>0</c:v>
                </c:pt>
                <c:pt idx="6">
                  <c:v>0</c:v>
                </c:pt>
                <c:pt idx="7">
                  <c:v>0</c:v>
                </c:pt>
                <c:pt idx="8">
                  <c:v>0</c:v>
                </c:pt>
                <c:pt idx="9">
                  <c:v>0</c:v>
                </c:pt>
              </c:numCache>
            </c:numRef>
          </c:val>
          <c:smooth val="1"/>
        </c:ser>
        <c:ser>
          <c:idx val="1"/>
          <c:order val="1"/>
          <c:tx>
            <c:v>Ri Test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val>
            <c:numRef>
              <c:f>'{bb}Rejection'!$B$33:$K$33</c:f>
              <c:numCache>
                <c:ptCount val="10"/>
                <c:pt idx="0">
                  <c:v>0</c:v>
                </c:pt>
                <c:pt idx="1">
                  <c:v>0</c:v>
                </c:pt>
                <c:pt idx="2">
                  <c:v>0</c:v>
                </c:pt>
                <c:pt idx="3">
                  <c:v>0</c:v>
                </c:pt>
                <c:pt idx="4">
                  <c:v>0</c:v>
                </c:pt>
                <c:pt idx="5">
                  <c:v>0</c:v>
                </c:pt>
                <c:pt idx="6">
                  <c:v>0</c:v>
                </c:pt>
                <c:pt idx="7">
                  <c:v>0</c:v>
                </c:pt>
                <c:pt idx="8">
                  <c:v>0</c:v>
                </c:pt>
                <c:pt idx="9">
                  <c:v>0</c:v>
                </c:pt>
              </c:numCache>
            </c:numRef>
          </c:val>
          <c:smooth val="1"/>
        </c:ser>
        <c:ser>
          <c:idx val="4"/>
          <c:order val="4"/>
          <c:tx>
            <c:v>Ra Site</c:v>
          </c:tx>
          <c:extLst>
            <c:ext xmlns:c14="http://schemas.microsoft.com/office/drawing/2007/8/2/chart" uri="{6F2FDCE9-48DA-4B69-8628-5D25D57E5C99}">
              <c14:invertSolidFillFmt>
                <c14:spPr>
                  <a:solidFill>
                    <a:srgbClr val="000000"/>
                  </a:solidFill>
                </c14:spPr>
              </c14:invertSolidFillFmt>
            </c:ext>
          </c:extLst>
          <c:marker>
            <c:symbol val="star"/>
          </c:marker>
          <c:val>
            <c:numRef>
              <c:f>'{bb}Rejection'!$B$45:$K$45</c:f>
              <c:numCache>
                <c:ptCount val="10"/>
                <c:pt idx="0">
                  <c:v>0</c:v>
                </c:pt>
                <c:pt idx="1">
                  <c:v>0</c:v>
                </c:pt>
                <c:pt idx="2">
                  <c:v>0</c:v>
                </c:pt>
                <c:pt idx="3">
                  <c:v>0</c:v>
                </c:pt>
                <c:pt idx="4">
                  <c:v>0</c:v>
                </c:pt>
                <c:pt idx="5">
                  <c:v>0</c:v>
                </c:pt>
                <c:pt idx="6">
                  <c:v>0</c:v>
                </c:pt>
                <c:pt idx="7">
                  <c:v>0</c:v>
                </c:pt>
                <c:pt idx="8">
                  <c:v>0</c:v>
                </c:pt>
                <c:pt idx="9">
                  <c:v>0</c:v>
                </c:pt>
              </c:numCache>
            </c:numRef>
          </c:val>
          <c:smooth val="1"/>
        </c:ser>
        <c:ser>
          <c:idx val="5"/>
          <c:order val="5"/>
          <c:tx>
            <c:v>Ri Site</c:v>
          </c:tx>
          <c:extLst>
            <c:ext xmlns:c14="http://schemas.microsoft.com/office/drawing/2007/8/2/chart" uri="{6F2FDCE9-48DA-4B69-8628-5D25D57E5C99}">
              <c14:invertSolidFillFmt>
                <c14:spPr>
                  <a:solidFill>
                    <a:srgbClr val="000000"/>
                  </a:solidFill>
                </c14:spPr>
              </c14:invertSolidFillFmt>
            </c:ext>
          </c:extLst>
          <c:marker>
            <c:symbol val="circle"/>
          </c:marker>
          <c:val>
            <c:numRef>
              <c:f>'{bb}Rejection'!$B$44:$K$44</c:f>
              <c:numCache>
                <c:ptCount val="10"/>
                <c:pt idx="0">
                  <c:v>0</c:v>
                </c:pt>
                <c:pt idx="1">
                  <c:v>0</c:v>
                </c:pt>
                <c:pt idx="2">
                  <c:v>0</c:v>
                </c:pt>
                <c:pt idx="3">
                  <c:v>0</c:v>
                </c:pt>
                <c:pt idx="4">
                  <c:v>0</c:v>
                </c:pt>
                <c:pt idx="5">
                  <c:v>0</c:v>
                </c:pt>
                <c:pt idx="6">
                  <c:v>0</c:v>
                </c:pt>
                <c:pt idx="7">
                  <c:v>0</c:v>
                </c:pt>
                <c:pt idx="8">
                  <c:v>0</c:v>
                </c:pt>
                <c:pt idx="9">
                  <c:v>0</c:v>
                </c:pt>
              </c:numCache>
            </c:numRef>
          </c:val>
          <c:smooth val="1"/>
        </c:ser>
        <c:marker val="1"/>
        <c:axId val="25354082"/>
        <c:axId val="26860147"/>
      </c:lineChart>
      <c:lineChart>
        <c:grouping val="standard"/>
        <c:varyColors val="0"/>
        <c:ser>
          <c:idx val="2"/>
          <c:order val="2"/>
          <c:tx>
            <c:v>Jv</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val>
            <c:numRef>
              <c:f>'{bb}Rejection'!$B$38:$K$38</c:f>
              <c:numCache>
                <c:ptCount val="10"/>
                <c:pt idx="0">
                  <c:v>0</c:v>
                </c:pt>
                <c:pt idx="1">
                  <c:v>0</c:v>
                </c:pt>
                <c:pt idx="2">
                  <c:v>0</c:v>
                </c:pt>
                <c:pt idx="3">
                  <c:v>0</c:v>
                </c:pt>
                <c:pt idx="4">
                  <c:v>0</c:v>
                </c:pt>
                <c:pt idx="5">
                  <c:v>0</c:v>
                </c:pt>
                <c:pt idx="6">
                  <c:v>0</c:v>
                </c:pt>
                <c:pt idx="7">
                  <c:v>0</c:v>
                </c:pt>
                <c:pt idx="8">
                  <c:v>0</c:v>
                </c:pt>
                <c:pt idx="9">
                  <c:v>0</c:v>
                </c:pt>
              </c:numCache>
            </c:numRef>
          </c:val>
          <c:smooth val="1"/>
        </c:ser>
        <c:ser>
          <c:idx val="3"/>
          <c:order val="3"/>
          <c:tx>
            <c:v>Jv Site</c:v>
          </c:tx>
          <c:extLst>
            <c:ext xmlns:c14="http://schemas.microsoft.com/office/drawing/2007/8/2/chart" uri="{6F2FDCE9-48DA-4B69-8628-5D25D57E5C99}">
              <c14:invertSolidFillFmt>
                <c14:spPr>
                  <a:solidFill>
                    <a:srgbClr val="000000"/>
                  </a:solidFill>
                </c14:spPr>
              </c14:invertSolidFillFmt>
            </c:ext>
          </c:extLst>
          <c:val>
            <c:numRef>
              <c:f>'{bb}Rejection'!$B$49:$K$49</c:f>
              <c:numCache>
                <c:ptCount val="10"/>
                <c:pt idx="0">
                  <c:v>0</c:v>
                </c:pt>
                <c:pt idx="1">
                  <c:v>0</c:v>
                </c:pt>
                <c:pt idx="2">
                  <c:v>0</c:v>
                </c:pt>
                <c:pt idx="3">
                  <c:v>0</c:v>
                </c:pt>
                <c:pt idx="4">
                  <c:v>0</c:v>
                </c:pt>
                <c:pt idx="5">
                  <c:v>0</c:v>
                </c:pt>
                <c:pt idx="6">
                  <c:v>0</c:v>
                </c:pt>
                <c:pt idx="7">
                  <c:v>0</c:v>
                </c:pt>
                <c:pt idx="8">
                  <c:v>0</c:v>
                </c:pt>
                <c:pt idx="9">
                  <c:v>0</c:v>
                </c:pt>
              </c:numCache>
            </c:numRef>
          </c:val>
          <c:smooth val="1"/>
        </c:ser>
        <c:marker val="1"/>
        <c:axId val="40414732"/>
        <c:axId val="28188269"/>
      </c:lineChart>
      <c:catAx>
        <c:axId val="25354082"/>
        <c:scaling>
          <c:orientation val="minMax"/>
        </c:scaling>
        <c:axPos val="b"/>
        <c:delete val="0"/>
        <c:numFmt formatCode="General" sourceLinked="1"/>
        <c:majorTickMark val="out"/>
        <c:minorTickMark val="none"/>
        <c:tickLblPos val="nextTo"/>
        <c:crossAx val="26860147"/>
        <c:crosses val="autoZero"/>
        <c:auto val="1"/>
        <c:lblOffset val="100"/>
        <c:noMultiLvlLbl val="0"/>
      </c:catAx>
      <c:valAx>
        <c:axId val="26860147"/>
        <c:scaling>
          <c:orientation val="minMax"/>
        </c:scaling>
        <c:axPos val="l"/>
        <c:majorGridlines/>
        <c:delete val="0"/>
        <c:numFmt formatCode="0.000" sourceLinked="0"/>
        <c:majorTickMark val="out"/>
        <c:minorTickMark val="none"/>
        <c:tickLblPos val="nextTo"/>
        <c:crossAx val="25354082"/>
        <c:crossesAt val="1"/>
        <c:crossBetween val="between"/>
        <c:dispUnits/>
      </c:valAx>
      <c:catAx>
        <c:axId val="40414732"/>
        <c:scaling>
          <c:orientation val="minMax"/>
        </c:scaling>
        <c:axPos val="b"/>
        <c:delete val="1"/>
        <c:majorTickMark val="in"/>
        <c:minorTickMark val="none"/>
        <c:tickLblPos val="nextTo"/>
        <c:crossAx val="28188269"/>
        <c:crosses val="autoZero"/>
        <c:auto val="1"/>
        <c:lblOffset val="100"/>
        <c:noMultiLvlLbl val="0"/>
      </c:catAx>
      <c:valAx>
        <c:axId val="28188269"/>
        <c:scaling>
          <c:orientation val="minMax"/>
        </c:scaling>
        <c:axPos val="l"/>
        <c:delete val="0"/>
        <c:numFmt formatCode="0.00E+00" sourceLinked="0"/>
        <c:majorTickMark val="in"/>
        <c:minorTickMark val="none"/>
        <c:tickLblPos val="nextTo"/>
        <c:crossAx val="40414732"/>
        <c:crosses val="max"/>
        <c:crossBetween val="between"/>
        <c:dispUnits/>
      </c:valAx>
      <c:spPr>
        <a:noFill/>
        <a:ln w="12700">
          <a:solidFill>
            <a:srgbClr val="808080"/>
          </a:solidFill>
        </a:ln>
      </c:spPr>
    </c:plotArea>
    <c:legend>
      <c:legendPos val="b"/>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t>Effect of Recirculation Rate on Cost for different values of dh</a:t>
            </a:r>
          </a:p>
        </c:rich>
      </c:tx>
      <c:layout/>
      <c:spPr>
        <a:noFill/>
        <a:ln>
          <a:noFill/>
        </a:ln>
      </c:spPr>
    </c:title>
    <c:plotArea>
      <c:layout/>
      <c:scatterChart>
        <c:scatterStyle val="lineMarker"/>
        <c:varyColors val="0"/>
        <c:ser>
          <c:idx val="1"/>
          <c:order val="0"/>
          <c:tx>
            <c:strRef>
              <c:f>'{bb}Rejection'!$A$60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'{bb}Rejection'!$B$44:$H$44</c:f>
              <c:numCache>
                <c:ptCount val="7"/>
                <c:pt idx="0">
                  <c:v>0</c:v>
                </c:pt>
                <c:pt idx="1">
                  <c:v>0</c:v>
                </c:pt>
                <c:pt idx="2">
                  <c:v>0</c:v>
                </c:pt>
                <c:pt idx="3">
                  <c:v>0</c:v>
                </c:pt>
                <c:pt idx="4">
                  <c:v>0</c:v>
                </c:pt>
                <c:pt idx="5">
                  <c:v>0</c:v>
                </c:pt>
                <c:pt idx="6">
                  <c:v>0</c:v>
                </c:pt>
              </c:numCache>
            </c:numRef>
          </c:xVal>
          <c:yVal>
            <c:numRef>
              <c:f>'{bb}Rejection'!$B$61:$I$61</c:f>
              <c:numCache>
                <c:ptCount val="8"/>
                <c:pt idx="0">
                  <c:v>0</c:v>
                </c:pt>
                <c:pt idx="1">
                  <c:v>0</c:v>
                </c:pt>
                <c:pt idx="2">
                  <c:v>0</c:v>
                </c:pt>
                <c:pt idx="3">
                  <c:v>0</c:v>
                </c:pt>
                <c:pt idx="4">
                  <c:v>0</c:v>
                </c:pt>
                <c:pt idx="5">
                  <c:v>0</c:v>
                </c:pt>
                <c:pt idx="6">
                  <c:v>0</c:v>
                </c:pt>
                <c:pt idx="7">
                  <c:v>0</c:v>
                </c:pt>
              </c:numCache>
            </c:numRef>
          </c:yVal>
          <c:smooth val="0"/>
        </c:ser>
        <c:ser>
          <c:idx val="3"/>
          <c:order val="1"/>
          <c:tx>
            <c:strRef>
              <c:f>'{bb}Rejection'!$A$49</c:f>
              <c:strCache>
                <c:ptCount val="1"/>
                <c:pt idx="0">
                  <c:v>Jv Theoretical (m3m-2s)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'{bb}Rejection'!$B$44:$H$44</c:f>
              <c:numCache>
                <c:ptCount val="7"/>
                <c:pt idx="0">
                  <c:v>0</c:v>
                </c:pt>
                <c:pt idx="1">
                  <c:v>0</c:v>
                </c:pt>
                <c:pt idx="2">
                  <c:v>0</c:v>
                </c:pt>
                <c:pt idx="3">
                  <c:v>0</c:v>
                </c:pt>
                <c:pt idx="4">
                  <c:v>0</c:v>
                </c:pt>
                <c:pt idx="5">
                  <c:v>0</c:v>
                </c:pt>
                <c:pt idx="6">
                  <c:v>0</c:v>
                </c:pt>
              </c:numCache>
            </c:numRef>
          </c:xVal>
          <c:yVal>
            <c:numRef>
              <c:f>'{bb}Rejection'!$B$50:$H$50</c:f>
              <c:numCache>
                <c:ptCount val="7"/>
                <c:pt idx="0">
                  <c:v>0</c:v>
                </c:pt>
                <c:pt idx="1">
                  <c:v>0</c:v>
                </c:pt>
                <c:pt idx="2">
                  <c:v>0</c:v>
                </c:pt>
                <c:pt idx="3">
                  <c:v>0</c:v>
                </c:pt>
                <c:pt idx="4">
                  <c:v>0</c:v>
                </c:pt>
                <c:pt idx="5">
                  <c:v>0</c:v>
                </c:pt>
                <c:pt idx="6">
                  <c:v>0</c:v>
                </c:pt>
              </c:numCache>
            </c:numRef>
          </c:yVal>
          <c:smooth val="0"/>
        </c:ser>
        <c:ser>
          <c:idx val="4"/>
          <c:order val="2"/>
          <c:tx>
            <c:strRef>
              <c:f>'{bb}Rejection'!$A$72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008000"/>
                </a:solidFill>
              </a:ln>
            </c:spPr>
          </c:marker>
          <c:xVal>
            <c:numRef>
              <c:f>'{bb}Rejection'!$B$44:$H$44</c:f>
              <c:numCache>
                <c:ptCount val="7"/>
                <c:pt idx="0">
                  <c:v>0</c:v>
                </c:pt>
                <c:pt idx="1">
                  <c:v>0</c:v>
                </c:pt>
                <c:pt idx="2">
                  <c:v>0</c:v>
                </c:pt>
                <c:pt idx="3">
                  <c:v>0</c:v>
                </c:pt>
                <c:pt idx="4">
                  <c:v>0</c:v>
                </c:pt>
                <c:pt idx="5">
                  <c:v>0</c:v>
                </c:pt>
                <c:pt idx="6">
                  <c:v>0</c:v>
                </c:pt>
              </c:numCache>
            </c:numRef>
          </c:xVal>
          <c:yVal>
            <c:numRef>
              <c:f>'{bb}Rejection'!$B$50:$H$50</c:f>
              <c:numCache>
                <c:ptCount val="7"/>
                <c:pt idx="0">
                  <c:v>0</c:v>
                </c:pt>
                <c:pt idx="1">
                  <c:v>0</c:v>
                </c:pt>
                <c:pt idx="2">
                  <c:v>0</c:v>
                </c:pt>
                <c:pt idx="3">
                  <c:v>0</c:v>
                </c:pt>
                <c:pt idx="4">
                  <c:v>0</c:v>
                </c:pt>
                <c:pt idx="5">
                  <c:v>0</c:v>
                </c:pt>
                <c:pt idx="6">
                  <c:v>0</c:v>
                </c:pt>
              </c:numCache>
            </c:numRef>
          </c:yVal>
          <c:smooth val="0"/>
        </c:ser>
        <c:axId val="52367830"/>
        <c:axId val="1548423"/>
      </c:scatterChart>
      <c:valAx>
        <c:axId val="52367830"/>
        <c:scaling>
          <c:orientation val="minMax"/>
        </c:scaling>
        <c:axPos val="b"/>
        <c:delete val="0"/>
        <c:numFmt formatCode="0" sourceLinked="0"/>
        <c:majorTickMark val="out"/>
        <c:minorTickMark val="none"/>
        <c:tickLblPos val="nextTo"/>
        <c:crossAx val="1548423"/>
        <c:crosses val="autoZero"/>
        <c:crossBetween val="midCat"/>
        <c:dispUnits/>
      </c:valAx>
      <c:valAx>
        <c:axId val="1548423"/>
        <c:scaling>
          <c:orientation val="minMax"/>
        </c:scaling>
        <c:axPos val="l"/>
        <c:majorGridlines/>
        <c:delete val="0"/>
        <c:numFmt formatCode="_(* #,##0_);_(* \(#,##0\);_(* &quot;-&quot;??_);_(@_)" sourceLinked="0"/>
        <c:majorTickMark val="out"/>
        <c:minorTickMark val="none"/>
        <c:tickLblPos val="nextTo"/>
        <c:crossAx val="52367830"/>
        <c:crosses val="autoZero"/>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1175" b="0" i="0" u="none" baseline="0"/>
          </a:pPr>
        </a:p>
      </c:txPr>
    </c:legend>
    <c:plotVisOnly val="1"/>
    <c:dispBlanksAs val="gap"/>
    <c:showDLblsOverMax val="0"/>
  </c:chart>
  <c:txPr>
    <a:bodyPr vert="horz" rot="0"/>
    <a:lstStyle/>
    <a:p>
      <a:pPr>
        <a:defRPr lang="en-US" cap="none" sz="16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Effect of Recirculation Rate on Cost for different values of dh</a:t>
            </a:r>
          </a:p>
        </c:rich>
      </c:tx>
      <c:layout/>
      <c:spPr>
        <a:noFill/>
        <a:ln>
          <a:noFill/>
        </a:ln>
      </c:spPr>
    </c:title>
    <c:plotArea>
      <c:layout/>
      <c:scatterChart>
        <c:scatterStyle val="lineMarker"/>
        <c:varyColors val="0"/>
        <c:ser>
          <c:idx val="1"/>
          <c:order val="0"/>
          <c:tx>
            <c:strRef>
              <c:f>'{bb}Rejection'!$A$60</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'{bb}Rejection'!$B$44:$H$44</c:f>
              <c:numCache>
                <c:ptCount val="7"/>
                <c:pt idx="0">
                  <c:v>0</c:v>
                </c:pt>
                <c:pt idx="1">
                  <c:v>0</c:v>
                </c:pt>
                <c:pt idx="2">
                  <c:v>0</c:v>
                </c:pt>
                <c:pt idx="3">
                  <c:v>0</c:v>
                </c:pt>
                <c:pt idx="4">
                  <c:v>0</c:v>
                </c:pt>
                <c:pt idx="5">
                  <c:v>0</c:v>
                </c:pt>
                <c:pt idx="6">
                  <c:v>0</c:v>
                </c:pt>
              </c:numCache>
            </c:numRef>
          </c:xVal>
          <c:yVal>
            <c:numRef>
              <c:f>'{bb}Rejection'!$B$62:$I$62</c:f>
              <c:numCache>
                <c:ptCount val="8"/>
                <c:pt idx="0">
                  <c:v>0</c:v>
                </c:pt>
                <c:pt idx="1">
                  <c:v>0</c:v>
                </c:pt>
                <c:pt idx="2">
                  <c:v>0</c:v>
                </c:pt>
                <c:pt idx="3">
                  <c:v>0</c:v>
                </c:pt>
                <c:pt idx="4">
                  <c:v>0</c:v>
                </c:pt>
                <c:pt idx="5">
                  <c:v>0</c:v>
                </c:pt>
                <c:pt idx="6">
                  <c:v>0</c:v>
                </c:pt>
                <c:pt idx="7">
                  <c:v>0</c:v>
                </c:pt>
              </c:numCache>
            </c:numRef>
          </c:yVal>
          <c:smooth val="0"/>
        </c:ser>
        <c:ser>
          <c:idx val="3"/>
          <c:order val="1"/>
          <c:tx>
            <c:strRef>
              <c:f>'{bb}Rejection'!$A$49</c:f>
              <c:strCache>
                <c:ptCount val="1"/>
                <c:pt idx="0">
                  <c:v>Jv Theoretical (m3m-2s)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'{bb}Rejection'!$B$44:$H$44</c:f>
              <c:numCache>
                <c:ptCount val="7"/>
                <c:pt idx="0">
                  <c:v>0</c:v>
                </c:pt>
                <c:pt idx="1">
                  <c:v>0</c:v>
                </c:pt>
                <c:pt idx="2">
                  <c:v>0</c:v>
                </c:pt>
                <c:pt idx="3">
                  <c:v>0</c:v>
                </c:pt>
                <c:pt idx="4">
                  <c:v>0</c:v>
                </c:pt>
                <c:pt idx="5">
                  <c:v>0</c:v>
                </c:pt>
                <c:pt idx="6">
                  <c:v>0</c:v>
                </c:pt>
              </c:numCache>
            </c:numRef>
          </c:xVal>
          <c:yVal>
            <c:numRef>
              <c:f>'{bb}Rejection'!$B$51:$H$51</c:f>
              <c:numCache>
                <c:ptCount val="7"/>
                <c:pt idx="0">
                  <c:v>0</c:v>
                </c:pt>
                <c:pt idx="1">
                  <c:v>0</c:v>
                </c:pt>
                <c:pt idx="2">
                  <c:v>0</c:v>
                </c:pt>
                <c:pt idx="3">
                  <c:v>0</c:v>
                </c:pt>
                <c:pt idx="4">
                  <c:v>0</c:v>
                </c:pt>
                <c:pt idx="5">
                  <c:v>0</c:v>
                </c:pt>
                <c:pt idx="6">
                  <c:v>0</c:v>
                </c:pt>
              </c:numCache>
            </c:numRef>
          </c:yVal>
          <c:smooth val="0"/>
        </c:ser>
        <c:ser>
          <c:idx val="4"/>
          <c:order val="2"/>
          <c:tx>
            <c:strRef>
              <c:f>'{bb}Rejection'!$A$72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008000"/>
                </a:solidFill>
              </a:ln>
            </c:spPr>
          </c:marker>
          <c:xVal>
            <c:numRef>
              <c:f>'{bb}Rejection'!$B$44:$H$44</c:f>
              <c:numCache>
                <c:ptCount val="7"/>
                <c:pt idx="0">
                  <c:v>0</c:v>
                </c:pt>
                <c:pt idx="1">
                  <c:v>0</c:v>
                </c:pt>
                <c:pt idx="2">
                  <c:v>0</c:v>
                </c:pt>
                <c:pt idx="3">
                  <c:v>0</c:v>
                </c:pt>
                <c:pt idx="4">
                  <c:v>0</c:v>
                </c:pt>
                <c:pt idx="5">
                  <c:v>0</c:v>
                </c:pt>
                <c:pt idx="6">
                  <c:v>0</c:v>
                </c:pt>
              </c:numCache>
            </c:numRef>
          </c:xVal>
          <c:yVal>
            <c:numRef>
              <c:f>'{bb}Rejection'!#REF!</c:f>
              <c:numCache>
                <c:ptCount val="1"/>
                <c:pt idx="0">
                  <c:v>1</c:v>
                </c:pt>
              </c:numCache>
            </c:numRef>
          </c:yVal>
          <c:smooth val="0"/>
        </c:ser>
        <c:axId val="13935808"/>
        <c:axId val="58313409"/>
      </c:scatterChart>
      <c:valAx>
        <c:axId val="13935808"/>
        <c:scaling>
          <c:orientation val="minMax"/>
        </c:scaling>
        <c:axPos val="b"/>
        <c:delete val="0"/>
        <c:numFmt formatCode="0" sourceLinked="0"/>
        <c:majorTickMark val="out"/>
        <c:minorTickMark val="none"/>
        <c:tickLblPos val="nextTo"/>
        <c:crossAx val="58313409"/>
        <c:crosses val="autoZero"/>
        <c:crossBetween val="midCat"/>
        <c:dispUnits/>
      </c:valAx>
      <c:valAx>
        <c:axId val="58313409"/>
        <c:scaling>
          <c:orientation val="minMax"/>
        </c:scaling>
        <c:axPos val="l"/>
        <c:majorGridlines/>
        <c:delete val="0"/>
        <c:numFmt formatCode="_(* #,##0.0_);_(* \(#,##0.0\);_(* &quot;-&quot;??_);_(@_)" sourceLinked="0"/>
        <c:majorTickMark val="out"/>
        <c:minorTickMark val="none"/>
        <c:tickLblPos val="nextTo"/>
        <c:crossAx val="13935808"/>
        <c:crosses val="autoZero"/>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45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Effect of Recirculation Rate on Pump and Energy Cost</a:t>
            </a:r>
          </a:p>
        </c:rich>
      </c:tx>
      <c:layout/>
      <c:spPr>
        <a:noFill/>
        <a:ln>
          <a:noFill/>
        </a:ln>
      </c:spPr>
    </c:title>
    <c:plotArea>
      <c:layout>
        <c:manualLayout>
          <c:xMode val="edge"/>
          <c:yMode val="edge"/>
          <c:x val="0.0635"/>
          <c:y val="0.278"/>
          <c:w val="0.87575"/>
          <c:h val="0.5995"/>
        </c:manualLayout>
      </c:layout>
      <c:scatterChart>
        <c:scatterStyle val="lineMarker"/>
        <c:varyColors val="0"/>
        <c:ser>
          <c:idx val="3"/>
          <c:order val="0"/>
          <c:tx>
            <c:strRef>
              <c:f>'{bb}Rejection'!$A$88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'{bb}Rejection'!$B$79:$I$79</c:f>
              <c:numCache>
                <c:ptCount val="8"/>
                <c:pt idx="0">
                  <c:v>0</c:v>
                </c:pt>
                <c:pt idx="1">
                  <c:v>0</c:v>
                </c:pt>
                <c:pt idx="2">
                  <c:v>0</c:v>
                </c:pt>
                <c:pt idx="3">
                  <c:v>0</c:v>
                </c:pt>
                <c:pt idx="4">
                  <c:v>0</c:v>
                </c:pt>
                <c:pt idx="5">
                  <c:v>0</c:v>
                </c:pt>
                <c:pt idx="6">
                  <c:v>0</c:v>
                </c:pt>
                <c:pt idx="7">
                  <c:v>0</c:v>
                </c:pt>
              </c:numCache>
            </c:numRef>
          </c:xVal>
          <c:yVal>
            <c:numRef>
              <c:f>'{bb}Rejection'!$B$88:$I$88</c:f>
              <c:numCache>
                <c:ptCount val="8"/>
                <c:pt idx="0">
                  <c:v>0</c:v>
                </c:pt>
                <c:pt idx="1">
                  <c:v>0</c:v>
                </c:pt>
                <c:pt idx="2">
                  <c:v>0</c:v>
                </c:pt>
                <c:pt idx="3">
                  <c:v>0</c:v>
                </c:pt>
                <c:pt idx="4">
                  <c:v>0</c:v>
                </c:pt>
                <c:pt idx="5">
                  <c:v>0</c:v>
                </c:pt>
                <c:pt idx="6">
                  <c:v>0</c:v>
                </c:pt>
                <c:pt idx="7">
                  <c:v>0</c:v>
                </c:pt>
              </c:numCache>
            </c:numRef>
          </c:yVal>
          <c:smooth val="0"/>
        </c:ser>
        <c:ser>
          <c:idx val="4"/>
          <c:order val="1"/>
          <c:tx>
            <c:strRef>
              <c:f>'{bb}Rejection'!$A$87</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008000"/>
                </a:solidFill>
              </a:ln>
            </c:spPr>
          </c:marker>
          <c:xVal>
            <c:numRef>
              <c:f>'{bb}Rejection'!$B$79:$I$79</c:f>
              <c:numCache>
                <c:ptCount val="8"/>
                <c:pt idx="0">
                  <c:v>0</c:v>
                </c:pt>
                <c:pt idx="1">
                  <c:v>0</c:v>
                </c:pt>
                <c:pt idx="2">
                  <c:v>0</c:v>
                </c:pt>
                <c:pt idx="3">
                  <c:v>0</c:v>
                </c:pt>
                <c:pt idx="4">
                  <c:v>0</c:v>
                </c:pt>
                <c:pt idx="5">
                  <c:v>0</c:v>
                </c:pt>
                <c:pt idx="6">
                  <c:v>0</c:v>
                </c:pt>
                <c:pt idx="7">
                  <c:v>0</c:v>
                </c:pt>
              </c:numCache>
            </c:numRef>
          </c:xVal>
          <c:yVal>
            <c:numRef>
              <c:f>'{bb}Rejection'!$B$87:$I$87</c:f>
              <c:numCache>
                <c:ptCount val="8"/>
                <c:pt idx="0">
                  <c:v>0</c:v>
                </c:pt>
                <c:pt idx="1">
                  <c:v>0</c:v>
                </c:pt>
                <c:pt idx="2">
                  <c:v>0</c:v>
                </c:pt>
                <c:pt idx="3">
                  <c:v>0</c:v>
                </c:pt>
                <c:pt idx="4">
                  <c:v>0</c:v>
                </c:pt>
                <c:pt idx="5">
                  <c:v>0</c:v>
                </c:pt>
                <c:pt idx="6">
                  <c:v>0</c:v>
                </c:pt>
                <c:pt idx="7">
                  <c:v>0</c:v>
                </c:pt>
              </c:numCache>
            </c:numRef>
          </c:yVal>
          <c:smooth val="0"/>
        </c:ser>
        <c:ser>
          <c:idx val="0"/>
          <c:order val="2"/>
          <c:tx>
            <c:strRef>
              <c:f>'{bb}Rejection'!$A$84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'{bb}Rejection'!$B$79:$I$79</c:f>
              <c:numCache>
                <c:ptCount val="8"/>
                <c:pt idx="0">
                  <c:v>0</c:v>
                </c:pt>
                <c:pt idx="1">
                  <c:v>0</c:v>
                </c:pt>
                <c:pt idx="2">
                  <c:v>0</c:v>
                </c:pt>
                <c:pt idx="3">
                  <c:v>0</c:v>
                </c:pt>
                <c:pt idx="4">
                  <c:v>0</c:v>
                </c:pt>
                <c:pt idx="5">
                  <c:v>0</c:v>
                </c:pt>
                <c:pt idx="6">
                  <c:v>0</c:v>
                </c:pt>
                <c:pt idx="7">
                  <c:v>0</c:v>
                </c:pt>
              </c:numCache>
            </c:numRef>
          </c:xVal>
          <c:yVal>
            <c:numRef>
              <c:f>'{bb}Rejection'!$B$84:$I$84</c:f>
              <c:numCache>
                <c:ptCount val="8"/>
                <c:pt idx="0">
                  <c:v>0</c:v>
                </c:pt>
                <c:pt idx="1">
                  <c:v>0</c:v>
                </c:pt>
                <c:pt idx="2">
                  <c:v>0</c:v>
                </c:pt>
                <c:pt idx="3">
                  <c:v>0</c:v>
                </c:pt>
                <c:pt idx="4">
                  <c:v>0</c:v>
                </c:pt>
                <c:pt idx="5">
                  <c:v>0</c:v>
                </c:pt>
                <c:pt idx="6">
                  <c:v>0</c:v>
                </c:pt>
                <c:pt idx="7">
                  <c:v>0</c:v>
                </c:pt>
              </c:numCache>
            </c:numRef>
          </c:yVal>
          <c:smooth val="0"/>
        </c:ser>
        <c:axId val="55058634"/>
        <c:axId val="25765659"/>
      </c:scatterChart>
      <c:valAx>
        <c:axId val="55058634"/>
        <c:scaling>
          <c:orientation val="minMax"/>
        </c:scaling>
        <c:axPos val="b"/>
        <c:delete val="0"/>
        <c:numFmt formatCode="0" sourceLinked="0"/>
        <c:majorTickMark val="out"/>
        <c:minorTickMark val="none"/>
        <c:tickLblPos val="nextTo"/>
        <c:crossAx val="25765659"/>
        <c:crosses val="autoZero"/>
        <c:crossBetween val="midCat"/>
        <c:dispUnits/>
      </c:valAx>
      <c:valAx>
        <c:axId val="25765659"/>
        <c:scaling>
          <c:orientation val="minMax"/>
        </c:scaling>
        <c:axPos val="l"/>
        <c:majorGridlines/>
        <c:delete val="0"/>
        <c:numFmt formatCode="0%" sourceLinked="0"/>
        <c:majorTickMark val="out"/>
        <c:minorTickMark val="none"/>
        <c:tickLblPos val="nextTo"/>
        <c:crossAx val="55058634"/>
        <c:crosses val="autoZero"/>
        <c:crossBetween val="midCat"/>
        <c:dispUnits/>
      </c:valAx>
      <c:spPr>
        <a:solidFill>
          <a:srgbClr val="C0C0C0"/>
        </a:solidFill>
        <a:ln w="12700">
          <a:solidFill>
            <a:srgbClr val="808080"/>
          </a:solidFill>
        </a:ln>
      </c:spPr>
    </c:plotArea>
    <c:legend>
      <c:legendPos val="r"/>
      <c:layout>
        <c:manualLayout>
          <c:xMode val="edge"/>
          <c:yMode val="edge"/>
          <c:x val="0.95825"/>
          <c:y val="0.418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42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t>Pressure Drop vs Diameter - Two Versions</a:t>
            </a:r>
          </a:p>
        </c:rich>
      </c:tx>
      <c:layout/>
      <c:spPr>
        <a:noFill/>
        <a:ln>
          <a:noFill/>
        </a:ln>
      </c:spPr>
    </c:title>
    <c:plotArea>
      <c:layout>
        <c:manualLayout>
          <c:xMode val="edge"/>
          <c:yMode val="edge"/>
          <c:x val="0.0515"/>
          <c:y val="0.174"/>
          <c:w val="0.91825"/>
          <c:h val="0.7185"/>
        </c:manualLayout>
      </c:layout>
      <c:scatterChart>
        <c:scatterStyle val="lineMarker"/>
        <c:varyColors val="0"/>
        <c:ser>
          <c:idx val="0"/>
          <c:order val="0"/>
          <c:tx>
            <c:v>Eq III</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'{cc}ConcOutfall'!$D$20:$D$58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'{cc}ConcOutfall'!$E$20:$E$58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ser>
          <c:idx val="1"/>
          <c:order val="1"/>
          <c:tx>
            <c:v>Alt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'{cc}ConcOutfall'!$D$20:$D$58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'{cc}ConcOutfall'!$F$20:$F$58</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30564340"/>
        <c:axId val="6643605"/>
      </c:scatterChart>
      <c:valAx>
        <c:axId val="30564340"/>
        <c:scaling>
          <c:orientation val="minMax"/>
          <c:max val="1"/>
        </c:scaling>
        <c:axPos val="b"/>
        <c:title>
          <c:tx>
            <c:rich>
              <a:bodyPr vert="horz" rot="0" anchor="ctr"/>
              <a:lstStyle/>
              <a:p>
                <a:pPr algn="ctr">
                  <a:defRPr/>
                </a:pPr>
                <a:r>
                  <a:rPr lang="en-US" cap="none" sz="1450" b="1" i="0" u="none" baseline="0"/>
                  <a:t>Diameter (m)</a:t>
                </a:r>
              </a:p>
            </c:rich>
          </c:tx>
          <c:layout/>
          <c:overlay val="0"/>
          <c:spPr>
            <a:noFill/>
            <a:ln>
              <a:noFill/>
            </a:ln>
          </c:spPr>
        </c:title>
        <c:delete val="0"/>
        <c:numFmt formatCode="0.0" sourceLinked="0"/>
        <c:majorTickMark val="out"/>
        <c:minorTickMark val="none"/>
        <c:tickLblPos val="low"/>
        <c:crossAx val="6643605"/>
        <c:crosses val="autoZero"/>
        <c:crossBetween val="midCat"/>
        <c:dispUnits/>
      </c:valAx>
      <c:valAx>
        <c:axId val="6643605"/>
        <c:scaling>
          <c:logBase val="10"/>
          <c:orientation val="minMax"/>
        </c:scaling>
        <c:axPos val="l"/>
        <c:title>
          <c:tx>
            <c:rich>
              <a:bodyPr vert="horz" rot="-5400000" anchor="ctr"/>
              <a:lstStyle/>
              <a:p>
                <a:pPr algn="ctr">
                  <a:defRPr/>
                </a:pPr>
                <a:r>
                  <a:rPr lang="en-US" cap="none" sz="1450" b="1" i="0" u="none" baseline="0"/>
                  <a:t>dP (Kpa)</a:t>
                </a:r>
              </a:p>
            </c:rich>
          </c:tx>
          <c:layout/>
          <c:overlay val="0"/>
          <c:spPr>
            <a:noFill/>
            <a:ln>
              <a:noFill/>
            </a:ln>
          </c:spPr>
        </c:title>
        <c:majorGridlines/>
        <c:delete val="0"/>
        <c:numFmt formatCode="0" sourceLinked="0"/>
        <c:majorTickMark val="out"/>
        <c:minorTickMark val="none"/>
        <c:tickLblPos val="nextTo"/>
        <c:crossAx val="30564340"/>
        <c:crosses val="autoZero"/>
        <c:crossBetween val="midCat"/>
        <c:dispUnits/>
      </c:valAx>
      <c:spPr>
        <a:solidFill>
          <a:srgbClr val="FFFFFF"/>
        </a:solidFill>
        <a:ln w="12700">
          <a:solidFill>
            <a:srgbClr val="808080"/>
          </a:solidFill>
        </a:ln>
      </c:spPr>
    </c:plotArea>
    <c:legend>
      <c:legendPos val="r"/>
      <c:layout>
        <c:manualLayout>
          <c:xMode val="edge"/>
          <c:yMode val="edge"/>
          <c:x val="0.779"/>
          <c:y val="0.23325"/>
        </c:manualLayout>
      </c:layout>
      <c:overlay val="0"/>
    </c:legend>
    <c:plotVisOnly val="1"/>
    <c:dispBlanksAs val="gap"/>
    <c:showDLblsOverMax val="0"/>
  </c:chart>
  <c:txPr>
    <a:bodyPr vert="horz" rot="0"/>
    <a:lstStyle/>
    <a:p>
      <a:pPr>
        <a:defRPr lang="en-US" cap="none" sz="12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255"/>
          <c:y val="0.215"/>
          <c:w val="0.61725"/>
          <c:h val="0.73125"/>
        </c:manualLayout>
      </c:layout>
      <c:scatterChart>
        <c:scatterStyle val="lineMarker"/>
        <c:varyColors val="0"/>
        <c:ser>
          <c:idx val="0"/>
          <c:order val="0"/>
          <c:tx>
            <c:v>gal/min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'{ff}Pumps'!$I$33:$I$39</c:f>
              <c:numCache>
                <c:ptCount val="7"/>
                <c:pt idx="0">
                  <c:v>0</c:v>
                </c:pt>
                <c:pt idx="1">
                  <c:v>0</c:v>
                </c:pt>
                <c:pt idx="2">
                  <c:v>0</c:v>
                </c:pt>
                <c:pt idx="3">
                  <c:v>0</c:v>
                </c:pt>
                <c:pt idx="4">
                  <c:v>0</c:v>
                </c:pt>
                <c:pt idx="5">
                  <c:v>0</c:v>
                </c:pt>
                <c:pt idx="6">
                  <c:v>0</c:v>
                </c:pt>
              </c:numCache>
            </c:numRef>
          </c:xVal>
          <c:yVal>
            <c:numRef>
              <c:f>'{ff}Pumps'!$J$33:$J$39</c:f>
              <c:numCache>
                <c:ptCount val="7"/>
                <c:pt idx="0">
                  <c:v>0</c:v>
                </c:pt>
                <c:pt idx="1">
                  <c:v>0</c:v>
                </c:pt>
                <c:pt idx="2">
                  <c:v>0</c:v>
                </c:pt>
                <c:pt idx="3">
                  <c:v>0</c:v>
                </c:pt>
                <c:pt idx="4">
                  <c:v>0</c:v>
                </c:pt>
                <c:pt idx="5">
                  <c:v>0</c:v>
                </c:pt>
                <c:pt idx="6">
                  <c:v>0</c:v>
                </c:pt>
              </c:numCache>
            </c:numRef>
          </c:yVal>
          <c:smooth val="0"/>
        </c:ser>
        <c:axId val="59792446"/>
        <c:axId val="1261103"/>
      </c:scatterChart>
      <c:valAx>
        <c:axId val="59792446"/>
        <c:scaling>
          <c:orientation val="minMax"/>
        </c:scaling>
        <c:axPos val="b"/>
        <c:delete val="0"/>
        <c:numFmt formatCode="General" sourceLinked="1"/>
        <c:majorTickMark val="out"/>
        <c:minorTickMark val="none"/>
        <c:tickLblPos val="nextTo"/>
        <c:crossAx val="1261103"/>
        <c:crosses val="autoZero"/>
        <c:crossBetween val="midCat"/>
        <c:dispUnits/>
      </c:valAx>
      <c:valAx>
        <c:axId val="1261103"/>
        <c:scaling>
          <c:orientation val="minMax"/>
        </c:scaling>
        <c:axPos val="l"/>
        <c:majorGridlines/>
        <c:delete val="0"/>
        <c:numFmt formatCode="General" sourceLinked="1"/>
        <c:majorTickMark val="out"/>
        <c:minorTickMark val="none"/>
        <c:tickLblPos val="nextTo"/>
        <c:crossAx val="59792446"/>
        <c:crosses val="autoZero"/>
        <c:crossBetween val="midCat"/>
        <c:dispUnits/>
      </c:valAx>
      <c:spPr>
        <a:solidFill>
          <a:srgbClr val="C0C0C0"/>
        </a:solidFill>
        <a:ln w="12700">
          <a:solidFill>
            <a:srgbClr val="808080"/>
          </a:solidFill>
        </a:ln>
      </c:spPr>
    </c:plotArea>
    <c:legend>
      <c:legendPos val="r"/>
      <c:layout>
        <c:manualLayout>
          <c:xMode val="edge"/>
          <c:yMode val="edge"/>
          <c:x val="0.681"/>
          <c:y val="0.742"/>
        </c:manualLayout>
      </c:layout>
      <c:overlay val="0"/>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'{ii}LSI'!$J$6</c:f>
              <c:strCache>
                <c:ptCount val="1"/>
                <c:pt idx="0">
                  <c:v>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og"/>
            <c:dispEq val="1"/>
            <c:dispRSqr val="1"/>
            <c:trendlineLbl>
              <c:layout>
                <c:manualLayout>
                  <c:x val="0"/>
                  <c:y val="0"/>
                </c:manualLayout>
              </c:layout>
              <c:tx>
                <c:rich>
                  <a:bodyPr vert="horz" rot="0" anchor="ctr"/>
                  <a:lstStyle/>
                  <a:p>
                    <a:pPr algn="ctr">
                      <a:defRPr/>
                    </a:pPr>
                    <a:r>
                      <a:rPr lang="en-US" cap="none" sz="1000" b="0" i="0" u="none" baseline="0"/>
                      <a:t>C(5) = 0.0377Ln(x) + 2.412
R</a:t>
                    </a:r>
                    <a:r>
                      <a:rPr lang="en-US" cap="none" sz="1000" b="0" i="0" u="none" baseline="30000"/>
                      <a:t>2</a:t>
                    </a:r>
                    <a:r>
                      <a:rPr lang="en-US" cap="none" sz="1000" b="0" i="0" u="none" baseline="0"/>
                      <a:t> = 0.9882</a:t>
                    </a:r>
                  </a:p>
                </c:rich>
              </c:tx>
              <c:numFmt formatCode="General" sourceLinked="1"/>
            </c:trendlineLbl>
          </c:trendline>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'{ii}LSI'!$J$7:$J$17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'{ii}LSI'!$K$6</c:f>
              <c:strCache>
                <c:ptCount val="1"/>
                <c:pt idx="0">
                  <c:v>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'{ii}LSI'!$K$7:$K$17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'{ii}LSI'!$L$6</c:f>
              <c:strCache>
                <c:ptCount val="1"/>
                <c:pt idx="0">
                  <c:v>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'{ii}LSI'!$L$7:$L$17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3"/>
          <c:tx>
            <c:strRef>
              <c:f>'{ii}LSI'!$M$6</c:f>
              <c:strCache>
                <c:ptCount val="1"/>
                <c:pt idx="0">
                  <c:v>20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'{ii}LSI'!$M$7:$M$17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4"/>
          <c:order val="4"/>
          <c:tx>
            <c:strRef>
              <c:f>'{ii}LSI'!$N$6</c:f>
              <c:strCache>
                <c:ptCount val="1"/>
                <c:pt idx="0">
                  <c:v>25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'{ii}LSI'!$N$7:$N$17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5"/>
          <c:order val="5"/>
          <c:tx>
            <c:strRef>
              <c:f>'{ii}LSI'!$O$6</c:f>
              <c:strCache>
                <c:ptCount val="1"/>
                <c:pt idx="0">
                  <c:v>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trendline>
            <c:trendlineType val="log"/>
            <c:dispEq val="1"/>
            <c:dispRSqr val="1"/>
            <c:trendlineLbl>
              <c:numFmt formatCode="General" sourceLinked="1"/>
            </c:trendlineLbl>
          </c:trendline>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'{ii}LSI'!$O$7:$O$17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6"/>
          <c:order val="6"/>
          <c:tx>
            <c:strRef>
              <c:f>'{ii}LSI'!$P$6</c:f>
              <c:strCache>
                <c:ptCount val="1"/>
                <c:pt idx="0">
                  <c:v>35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'{ii}LSI'!$P$7:$P$17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7"/>
          <c:order val="7"/>
          <c:tx>
            <c:strRef>
              <c:f>'{ii}LSI'!$Q$6</c:f>
              <c:strCache>
                <c:ptCount val="1"/>
                <c:pt idx="0">
                  <c:v>40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'{ii}LSI'!$Q$7:$Q$17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8"/>
          <c:order val="8"/>
          <c:tx>
            <c:strRef>
              <c:f>'{ii}LSI'!$R$6</c:f>
              <c:strCache>
                <c:ptCount val="1"/>
                <c:pt idx="0">
                  <c:v>45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trendline>
            <c:trendlineType val="log"/>
            <c:dispEq val="1"/>
            <c:dispRSqr val="1"/>
            <c:trendlineLbl>
              <c:layout>
                <c:manualLayout>
                  <c:x val="0"/>
                  <c:y val="0"/>
                </c:manualLayout>
              </c:layout>
              <c:tx>
                <c:rich>
                  <a:bodyPr vert="horz" rot="0" anchor="ctr"/>
                  <a:lstStyle/>
                  <a:p>
                    <a:pPr algn="ctr">
                      <a:defRPr/>
                    </a:pPr>
                    <a:r>
                      <a:rPr lang="en-US" cap="none" sz="1000" b="0" i="0" u="none" baseline="0"/>
                      <a:t>y = 0.0368Ln(x) + 1.5825
R</a:t>
                    </a:r>
                    <a:r>
                      <a:rPr lang="en-US" cap="none" sz="1000" b="0" i="0" u="none" baseline="30000"/>
                      <a:t>2</a:t>
                    </a:r>
                    <a:r>
                      <a:rPr lang="en-US" cap="none" sz="1000" b="0" i="0" u="none" baseline="0"/>
                      <a:t> = 0.9871</a:t>
                    </a:r>
                  </a:p>
                </c:rich>
              </c:tx>
              <c:numFmt formatCode="General" sourceLinked="1"/>
            </c:trendlineLbl>
          </c:trendline>
          <c:xVal>
            <c:numRef>
              <c:f>'{ii}LSI'!$I$7:$I$17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'{ii}LSI'!$R$7:$R$17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1349928"/>
        <c:axId val="35040489"/>
      </c:scatterChart>
      <c:valAx>
        <c:axId val="11349928"/>
        <c:scaling>
          <c:logBase val="10"/>
          <c:orientation val="minMax"/>
          <c:min val="10"/>
        </c:scaling>
        <c:axPos val="b"/>
        <c:delete val="0"/>
        <c:numFmt formatCode="General" sourceLinked="1"/>
        <c:majorTickMark val="out"/>
        <c:minorTickMark val="none"/>
        <c:tickLblPos val="low"/>
        <c:crossAx val="35040489"/>
        <c:crosses val="autoZero"/>
        <c:crossBetween val="midCat"/>
        <c:dispUnits/>
      </c:valAx>
      <c:valAx>
        <c:axId val="35040489"/>
        <c:scaling>
          <c:orientation val="minMax"/>
          <c:min val="1.1"/>
        </c:scaling>
        <c:axPos val="l"/>
        <c:majorGridlines/>
        <c:delete val="0"/>
        <c:numFmt formatCode="General" sourceLinked="1"/>
        <c:majorTickMark val="out"/>
        <c:minorTickMark val="none"/>
        <c:tickLblPos val="nextTo"/>
        <c:crossAx val="1134992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Coefficients for Calculated "C"</a:t>
            </a:r>
          </a:p>
        </c:rich>
      </c:tx>
      <c:layout/>
      <c:spPr>
        <a:noFill/>
        <a:ln>
          <a:noFill/>
        </a:ln>
      </c:spPr>
    </c:title>
    <c:plotArea>
      <c:layout>
        <c:manualLayout>
          <c:xMode val="edge"/>
          <c:yMode val="edge"/>
          <c:x val="0.058"/>
          <c:y val="0.16925"/>
          <c:w val="0.6895"/>
          <c:h val="0.6865"/>
        </c:manualLayout>
      </c:layout>
      <c:scatterChart>
        <c:scatterStyle val="lineMarker"/>
        <c:varyColors val="0"/>
        <c:ser>
          <c:idx val="1"/>
          <c:order val="1"/>
          <c:tx>
            <c:strRef>
              <c:f>'{ii}LSI'!$L$42</c:f>
              <c:strCache>
                <c:ptCount val="1"/>
                <c:pt idx="0">
                  <c:v>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1"/>
            <c:trendlineLbl>
              <c:layout>
                <c:manualLayout>
                  <c:x val="0"/>
                  <c:y val="0"/>
                </c:manualLayout>
              </c:layout>
              <c:numFmt formatCode="General"/>
            </c:trendlineLbl>
          </c:trendline>
          <c:xVal>
            <c:numRef>
              <c:f>'{ii}LSI'!$J$43:$J$51</c:f>
              <c:numCache>
                <c:ptCount val="9"/>
                <c:pt idx="0">
                  <c:v>0</c:v>
                </c:pt>
                <c:pt idx="1">
                  <c:v>0</c:v>
                </c:pt>
                <c:pt idx="2">
                  <c:v>0</c:v>
                </c:pt>
                <c:pt idx="3">
                  <c:v>0</c:v>
                </c:pt>
                <c:pt idx="4">
                  <c:v>0</c:v>
                </c:pt>
                <c:pt idx="5">
                  <c:v>0</c:v>
                </c:pt>
                <c:pt idx="6">
                  <c:v>0</c:v>
                </c:pt>
                <c:pt idx="7">
                  <c:v>0</c:v>
                </c:pt>
                <c:pt idx="8">
                  <c:v>0</c:v>
                </c:pt>
              </c:numCache>
            </c:numRef>
          </c:xVal>
          <c:yVal>
            <c:numRef>
              <c:f>'{ii}LSI'!$L$43:$L$51</c:f>
              <c:numCache>
                <c:ptCount val="9"/>
                <c:pt idx="0">
                  <c:v>0</c:v>
                </c:pt>
                <c:pt idx="1">
                  <c:v>0</c:v>
                </c:pt>
                <c:pt idx="2">
                  <c:v>0</c:v>
                </c:pt>
                <c:pt idx="3">
                  <c:v>0</c:v>
                </c:pt>
                <c:pt idx="4">
                  <c:v>0</c:v>
                </c:pt>
                <c:pt idx="5">
                  <c:v>0</c:v>
                </c:pt>
                <c:pt idx="6">
                  <c:v>0</c:v>
                </c:pt>
                <c:pt idx="7">
                  <c:v>0</c:v>
                </c:pt>
                <c:pt idx="8">
                  <c:v>0</c:v>
                </c:pt>
              </c:numCache>
            </c:numRef>
          </c:yVal>
          <c:smooth val="0"/>
        </c:ser>
        <c:axId val="46928946"/>
        <c:axId val="19707331"/>
      </c:scatterChart>
      <c:scatterChart>
        <c:scatterStyle val="lineMarker"/>
        <c:varyColors val="0"/>
        <c:ser>
          <c:idx val="0"/>
          <c:order val="0"/>
          <c:tx>
            <c:strRef>
              <c:f>'{ii}LSI'!$K$42</c:f>
              <c:strCache>
                <c:ptCount val="1"/>
                <c:pt idx="0">
                  <c:v>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'{ii}LSI'!$J$43:$J$51</c:f>
              <c:numCache>
                <c:ptCount val="9"/>
                <c:pt idx="0">
                  <c:v>0</c:v>
                </c:pt>
                <c:pt idx="1">
                  <c:v>0</c:v>
                </c:pt>
                <c:pt idx="2">
                  <c:v>0</c:v>
                </c:pt>
                <c:pt idx="3">
                  <c:v>0</c:v>
                </c:pt>
                <c:pt idx="4">
                  <c:v>0</c:v>
                </c:pt>
                <c:pt idx="5">
                  <c:v>0</c:v>
                </c:pt>
                <c:pt idx="6">
                  <c:v>0</c:v>
                </c:pt>
                <c:pt idx="7">
                  <c:v>0</c:v>
                </c:pt>
                <c:pt idx="8">
                  <c:v>0</c:v>
                </c:pt>
              </c:numCache>
            </c:numRef>
          </c:xVal>
          <c:yVal>
            <c:numRef>
              <c:f>'{ii}LSI'!$K$43:$K$51</c:f>
              <c:numCache>
                <c:ptCount val="9"/>
                <c:pt idx="0">
                  <c:v>0</c:v>
                </c:pt>
                <c:pt idx="1">
                  <c:v>0</c:v>
                </c:pt>
                <c:pt idx="2">
                  <c:v>0</c:v>
                </c:pt>
                <c:pt idx="3">
                  <c:v>0</c:v>
                </c:pt>
                <c:pt idx="4">
                  <c:v>0</c:v>
                </c:pt>
                <c:pt idx="5">
                  <c:v>0</c:v>
                </c:pt>
                <c:pt idx="6">
                  <c:v>0</c:v>
                </c:pt>
                <c:pt idx="7">
                  <c:v>0</c:v>
                </c:pt>
                <c:pt idx="8">
                  <c:v>0</c:v>
                </c:pt>
              </c:numCache>
            </c:numRef>
          </c:yVal>
          <c:smooth val="0"/>
        </c:ser>
        <c:axId val="43148252"/>
        <c:axId val="52789949"/>
      </c:scatterChart>
      <c:valAx>
        <c:axId val="46928946"/>
        <c:scaling>
          <c:orientation val="minMax"/>
        </c:scaling>
        <c:axPos val="b"/>
        <c:title>
          <c:tx>
            <c:rich>
              <a:bodyPr vert="horz" rot="0" anchor="ctr"/>
              <a:lstStyle/>
              <a:p>
                <a:pPr algn="ctr">
                  <a:defRPr/>
                </a:pPr>
                <a:r>
                  <a:rPr lang="en-US"/>
                  <a:t>Temperature</a:t>
                </a:r>
              </a:p>
            </c:rich>
          </c:tx>
          <c:layout/>
          <c:overlay val="0"/>
          <c:spPr>
            <a:noFill/>
            <a:ln>
              <a:noFill/>
            </a:ln>
          </c:spPr>
        </c:title>
        <c:delete val="0"/>
        <c:numFmt formatCode="General" sourceLinked="1"/>
        <c:majorTickMark val="out"/>
        <c:minorTickMark val="none"/>
        <c:tickLblPos val="low"/>
        <c:crossAx val="19707331"/>
        <c:crosses val="autoZero"/>
        <c:crossBetween val="midCat"/>
        <c:dispUnits/>
      </c:valAx>
      <c:valAx>
        <c:axId val="19707331"/>
        <c:scaling>
          <c:orientation val="minMax"/>
        </c:scaling>
        <c:axPos val="l"/>
        <c:title>
          <c:tx>
            <c:rich>
              <a:bodyPr vert="horz" rot="-5400000" anchor="ctr"/>
              <a:lstStyle/>
              <a:p>
                <a:pPr algn="ctr">
                  <a:defRPr/>
                </a:pPr>
                <a:r>
                  <a:rPr lang="en-US"/>
                  <a:t>B</a:t>
                </a:r>
              </a:p>
            </c:rich>
          </c:tx>
          <c:layout/>
          <c:overlay val="0"/>
          <c:spPr>
            <a:noFill/>
            <a:ln>
              <a:noFill/>
            </a:ln>
          </c:spPr>
        </c:title>
        <c:majorGridlines/>
        <c:delete val="0"/>
        <c:numFmt formatCode="General" sourceLinked="1"/>
        <c:majorTickMark val="out"/>
        <c:minorTickMark val="none"/>
        <c:tickLblPos val="nextTo"/>
        <c:crossAx val="46928946"/>
        <c:crosses val="autoZero"/>
        <c:crossBetween val="midCat"/>
        <c:dispUnits/>
      </c:valAx>
      <c:valAx>
        <c:axId val="43148252"/>
        <c:scaling>
          <c:orientation val="minMax"/>
        </c:scaling>
        <c:axPos val="b"/>
        <c:delete val="1"/>
        <c:majorTickMark val="in"/>
        <c:minorTickMark val="none"/>
        <c:tickLblPos val="nextTo"/>
        <c:crossAx val="52789949"/>
        <c:crosses val="max"/>
        <c:crossBetween val="midCat"/>
        <c:dispUnits/>
      </c:valAx>
      <c:valAx>
        <c:axId val="52789949"/>
        <c:scaling>
          <c:orientation val="minMax"/>
        </c:scaling>
        <c:axPos val="l"/>
        <c:title>
          <c:tx>
            <c:rich>
              <a:bodyPr vert="horz" rot="-5400000" anchor="ctr"/>
              <a:lstStyle/>
              <a:p>
                <a:pPr algn="ctr">
                  <a:defRPr/>
                </a:pPr>
                <a:r>
                  <a:rPr lang="en-US"/>
                  <a:t>A</a:t>
                </a:r>
              </a:p>
            </c:rich>
          </c:tx>
          <c:layout/>
          <c:overlay val="0"/>
          <c:spPr>
            <a:noFill/>
            <a:ln>
              <a:noFill/>
            </a:ln>
          </c:spPr>
        </c:title>
        <c:delete val="0"/>
        <c:numFmt formatCode="General" sourceLinked="1"/>
        <c:majorTickMark val="in"/>
        <c:minorTickMark val="none"/>
        <c:tickLblPos val="nextTo"/>
        <c:crossAx val="43148252"/>
        <c:crosses val="max"/>
        <c:crossBetween val="midCat"/>
        <c:dispUnits/>
      </c:valAx>
      <c:spPr>
        <a:solidFill>
          <a:srgbClr val="C0C0C0"/>
        </a:solidFill>
        <a:ln w="12700">
          <a:solidFill>
            <a:srgbClr val="808080"/>
          </a:solidFill>
        </a:ln>
      </c:spPr>
    </c:plotArea>
    <c:legend>
      <c:legendPos val="r"/>
      <c:layout>
        <c:manualLayout>
          <c:xMode val="edge"/>
          <c:yMode val="edge"/>
          <c:x val="0.84175"/>
          <c:y val="0.133"/>
        </c:manualLayout>
      </c:layout>
      <c:overlay val="0"/>
    </c:legend>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Pr>
                <a:bodyPr vert="horz" rot="0" anchor="ctr"/>
                <a:lstStyle/>
                <a:p>
                  <a:pPr algn="ctr">
                    <a:defRPr lang="en-US" cap="none" sz="575" b="0" i="0" u="none" baseline="0"/>
                  </a:pPr>
                </a:p>
              </c:txPr>
              <c:numFmt formatCode="General"/>
            </c:trendlineLbl>
          </c:trendline>
          <c:xVal>
            <c:strRef>
              <c:f>'{d}Cost Index'!$CW$33:$CW$38</c:f>
              <c:strCache>
                <c:ptCount val="6"/>
                <c:pt idx="0">
                  <c:v>0</c:v>
                </c:pt>
                <c:pt idx="1">
                  <c:v>0</c:v>
                </c:pt>
                <c:pt idx="2">
                  <c:v>0</c:v>
                </c:pt>
                <c:pt idx="3">
                  <c:v>0</c:v>
                </c:pt>
                <c:pt idx="4">
                  <c:v>0</c:v>
                </c:pt>
                <c:pt idx="5">
                  <c:v>0</c:v>
                </c:pt>
              </c:strCache>
            </c:strRef>
          </c:xVal>
          <c:yVal>
            <c:numRef>
              <c:f>'{d}Cost Index'!$CX$33:$CX$38</c:f>
              <c:numCache>
                <c:ptCount val="6"/>
                <c:pt idx="0">
                  <c:v>0</c:v>
                </c:pt>
                <c:pt idx="1">
                  <c:v>0</c:v>
                </c:pt>
                <c:pt idx="2">
                  <c:v>0</c:v>
                </c:pt>
                <c:pt idx="3">
                  <c:v>0</c:v>
                </c:pt>
                <c:pt idx="4">
                  <c:v>0</c:v>
                </c:pt>
                <c:pt idx="5">
                  <c:v>0</c:v>
                </c:pt>
              </c:numCache>
            </c:numRef>
          </c:yVal>
          <c:smooth val="0"/>
        </c:ser>
        <c:axId val="54648478"/>
        <c:axId val="22074255"/>
      </c:scatterChart>
      <c:valAx>
        <c:axId val="54648478"/>
        <c:scaling>
          <c:orientation val="minMax"/>
        </c:scaling>
        <c:axPos val="b"/>
        <c:delete val="0"/>
        <c:numFmt formatCode="General" sourceLinked="1"/>
        <c:majorTickMark val="out"/>
        <c:minorTickMark val="none"/>
        <c:tickLblPos val="nextTo"/>
        <c:txPr>
          <a:bodyPr/>
          <a:lstStyle/>
          <a:p>
            <a:pPr>
              <a:defRPr lang="en-US" cap="none" sz="475" b="0" i="0" u="none" baseline="0"/>
            </a:pPr>
          </a:p>
        </c:txPr>
        <c:crossAx val="22074255"/>
        <c:crosses val="autoZero"/>
        <c:crossBetween val="midCat"/>
        <c:dispUnits/>
      </c:valAx>
      <c:valAx>
        <c:axId val="22074255"/>
        <c:scaling>
          <c:orientation val="minMax"/>
        </c:scaling>
        <c:axPos val="l"/>
        <c:majorGridlines/>
        <c:delete val="0"/>
        <c:numFmt formatCode="General" sourceLinked="1"/>
        <c:majorTickMark val="out"/>
        <c:minorTickMark val="none"/>
        <c:tickLblPos val="nextTo"/>
        <c:crossAx val="5464847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5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8125"/>
          <c:w val="0.76225"/>
          <c:h val="0.8395"/>
        </c:manualLayout>
      </c:layout>
      <c:scatterChart>
        <c:scatterStyle val="lineMarker"/>
        <c:varyColors val="0"/>
        <c:ser>
          <c:idx val="0"/>
          <c:order val="0"/>
          <c:tx>
            <c:strRef>
              <c:f>'{jj}Stiff&amp;Davis'!$B$5</c:f>
              <c:strCache>
                <c:ptCount val="1"/>
                <c:pt idx="0">
                  <c:v>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4"/>
            <c:dispEq val="1"/>
            <c:dispRSqr val="1"/>
            <c:trendlineLbl>
              <c:layout>
                <c:manualLayout>
                  <c:x val="0"/>
                  <c:y val="0"/>
                </c:manualLayout>
              </c:layout>
              <c:tx>
                <c:rich>
                  <a:bodyPr vert="horz" rot="0" anchor="ctr"/>
                  <a:lstStyle/>
                  <a:p>
                    <a:pPr algn="ctr">
                      <a:defRPr/>
                    </a:pPr>
                    <a:r>
                      <a:rPr lang="en-US"/>
                      <a:t>K(0) = -0.5554x4 + 2.8557x3 - 5.3423x2 + 4.3314x + 1.5292
R2 = 0.9933</a:t>
                    </a:r>
                  </a:p>
                </c:rich>
              </c:tx>
              <c:numFmt formatCode="General" sourceLinked="1"/>
              <c:spPr>
                <a:solidFill>
                  <a:srgbClr val="C0C0C0"/>
                </a:solidFill>
              </c:spPr>
            </c:trendlineLbl>
          </c:trendline>
          <c:xVal>
            <c:numRef>
              <c:f>'{jj}Stiff&amp;Davis'!$A$7:$A$17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'{jj}Stiff&amp;Davis'!$B$7:$B$17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'{jj}Stiff&amp;Davis'!$C$5</c:f>
              <c:strCache>
                <c:ptCount val="1"/>
                <c:pt idx="0">
                  <c:v>40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'{jj}Stiff&amp;Davis'!$A$7:$A$17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'{jj}Stiff&amp;Davis'!$C$7:$C$17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'{jj}Stiff&amp;Davis'!$D$5</c:f>
              <c:strCache>
                <c:ptCount val="1"/>
                <c:pt idx="0">
                  <c:v>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'{jj}Stiff&amp;Davis'!$A$7:$A$17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'{jj}Stiff&amp;Davis'!$D$7:$D$17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3"/>
          <c:tx>
            <c:strRef>
              <c:f>'{jj}Stiff&amp;Davis'!$E$5</c:f>
              <c:strCache>
                <c:ptCount val="1"/>
                <c:pt idx="0">
                  <c:v>25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'{jj}Stiff&amp;Davis'!$A$7:$A$17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'{jj}Stiff&amp;Davis'!$E$7:$E$17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4"/>
          <c:order val="4"/>
          <c:tx>
            <c:strRef>
              <c:f>'{jj}Stiff&amp;Davis'!$F$5</c:f>
              <c:strCache>
                <c:ptCount val="1"/>
                <c:pt idx="0">
                  <c:v>20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'{jj}Stiff&amp;Davis'!$A$7:$A$17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'{jj}Stiff&amp;Davis'!$F$7:$F$17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5"/>
          <c:order val="5"/>
          <c:tx>
            <c:strRef>
              <c:f>'{jj}Stiff&amp;Davis'!$G$5</c:f>
              <c:strCache>
                <c:ptCount val="1"/>
                <c:pt idx="0">
                  <c:v>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'{jj}Stiff&amp;Davis'!$A$7:$A$17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'{jj}Stiff&amp;Davis'!$G$7:$G$17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6"/>
          <c:order val="6"/>
          <c:tx>
            <c:strRef>
              <c:f>'{jj}Stiff&amp;Davis'!$H$5</c:f>
              <c:strCache>
                <c:ptCount val="1"/>
                <c:pt idx="0">
                  <c:v>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trendline>
            <c:trendlineType val="poly"/>
            <c:order val="3"/>
            <c:dispEq val="1"/>
            <c:dispRSqr val="1"/>
            <c:trendlineLbl>
              <c:layout>
                <c:manualLayout>
                  <c:x val="0"/>
                  <c:y val="0"/>
                </c:manualLayout>
              </c:layout>
              <c:tx>
                <c:rich>
                  <a:bodyPr vert="horz" rot="0" anchor="ctr"/>
                  <a:lstStyle/>
                  <a:p>
                    <a:pPr algn="ctr">
                      <a:defRPr/>
                    </a:pPr>
                    <a:r>
                      <a:rPr lang="en-US"/>
                      <a:t>K(50) = 0.5466x3 - 2.2635x2 + 2.9032x + 2.616
R2 = 0.9681</a:t>
                    </a:r>
                  </a:p>
                </c:rich>
              </c:tx>
              <c:numFmt formatCode="General" sourceLinked="1"/>
              <c:spPr>
                <a:solidFill>
                  <a:srgbClr val="C0C0C0"/>
                </a:solidFill>
              </c:spPr>
            </c:trendlineLbl>
          </c:trendline>
          <c:xVal>
            <c:numRef>
              <c:f>'{jj}Stiff&amp;Davis'!$A$7:$A$17</c:f>
              <c:numCache>
                <c:ptCount val="11"/>
                <c:pt idx="0">
                  <c:v>0</c:v>
                </c:pt>
                <c:pt idx="1">
                  <c:v>0</c:v>
                </c:pt>
                <c:pt idx="2">
                  <c:v>0</c:v>
                </c:pt>
                <c:pt idx="3">
                  <c:v>0</c:v>
                </c:pt>
                <c:pt idx="4">
                  <c:v>0</c:v>
                </c:pt>
                <c:pt idx="5">
                  <c:v>0</c:v>
                </c:pt>
                <c:pt idx="6">
                  <c:v>0</c:v>
                </c:pt>
                <c:pt idx="7">
                  <c:v>0</c:v>
                </c:pt>
                <c:pt idx="8">
                  <c:v>0</c:v>
                </c:pt>
                <c:pt idx="9">
                  <c:v>0</c:v>
                </c:pt>
                <c:pt idx="10">
                  <c:v>0</c:v>
                </c:pt>
              </c:numCache>
            </c:numRef>
          </c:xVal>
          <c:yVal>
            <c:numRef>
              <c:f>'{jj}Stiff&amp;Davis'!$H$7:$H$17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347494"/>
        <c:axId val="48127447"/>
      </c:scatterChart>
      <c:valAx>
        <c:axId val="5347494"/>
        <c:scaling>
          <c:orientation val="minMax"/>
          <c:max val="2"/>
        </c:scaling>
        <c:axPos val="b"/>
        <c:title>
          <c:tx>
            <c:rich>
              <a:bodyPr vert="horz" rot="0" anchor="ctr"/>
              <a:lstStyle/>
              <a:p>
                <a:pPr algn="ctr">
                  <a:defRPr/>
                </a:pPr>
                <a:r>
                  <a:rPr lang="en-US"/>
                  <a:t>Ionic Strength</a:t>
                </a:r>
              </a:p>
            </c:rich>
          </c:tx>
          <c:layout/>
          <c:overlay val="0"/>
          <c:spPr>
            <a:noFill/>
            <a:ln>
              <a:noFill/>
            </a:ln>
          </c:spPr>
        </c:title>
        <c:delete val="0"/>
        <c:numFmt formatCode="General" sourceLinked="1"/>
        <c:majorTickMark val="out"/>
        <c:minorTickMark val="none"/>
        <c:tickLblPos val="nextTo"/>
        <c:crossAx val="48127447"/>
        <c:crosses val="autoZero"/>
        <c:crossBetween val="midCat"/>
        <c:dispUnits/>
        <c:majorUnit val="0.2"/>
      </c:valAx>
      <c:valAx>
        <c:axId val="48127447"/>
        <c:scaling>
          <c:orientation val="minMax"/>
        </c:scaling>
        <c:axPos val="l"/>
        <c:title>
          <c:tx>
            <c:rich>
              <a:bodyPr vert="horz" rot="-5400000" anchor="ctr"/>
              <a:lstStyle/>
              <a:p>
                <a:pPr algn="ctr">
                  <a:defRPr/>
                </a:pPr>
                <a:r>
                  <a:rPr lang="en-US"/>
                  <a:t>K</a:t>
                </a:r>
              </a:p>
            </c:rich>
          </c:tx>
          <c:layout/>
          <c:overlay val="0"/>
          <c:spPr>
            <a:noFill/>
            <a:ln>
              <a:noFill/>
            </a:ln>
          </c:spPr>
        </c:title>
        <c:majorGridlines/>
        <c:delete val="0"/>
        <c:numFmt formatCode="General" sourceLinked="1"/>
        <c:majorTickMark val="out"/>
        <c:minorTickMark val="none"/>
        <c:tickLblPos val="nextTo"/>
        <c:crossAx val="5347494"/>
        <c:crosses val="autoZero"/>
        <c:crossBetween val="midCat"/>
        <c:dispUnits/>
      </c:valAx>
      <c:spPr>
        <a:solidFill>
          <a:srgbClr val="C0C0C0"/>
        </a:solidFill>
        <a:ln w="12700">
          <a:solidFill>
            <a:srgbClr val="808080"/>
          </a:solidFill>
        </a:ln>
      </c:spPr>
    </c:plotArea>
    <c:legend>
      <c:legendPos val="r"/>
      <c:layout>
        <c:manualLayout>
          <c:xMode val="edge"/>
          <c:yMode val="edge"/>
          <c:x val="0.8075"/>
          <c:y val="0.2905"/>
        </c:manualLayout>
      </c:layout>
      <c:overlay val="0"/>
    </c:legend>
    <c:plotVisOnly val="1"/>
    <c:dispBlanksAs val="gap"/>
    <c:showDLblsOverMax val="0"/>
  </c:chart>
  <c:txPr>
    <a:bodyPr vert="horz" rot="0"/>
    <a:lstStyle/>
    <a:p>
      <a:pPr>
        <a:defRPr lang="en-US" cap="none" sz="12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'{jj}Stiff&amp;Davis'!$B$30</c:f>
              <c:strCache>
                <c:ptCount val="1"/>
                <c:pt idx="0">
                  <c:v>x3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txPr>
                <a:bodyPr vert="horz" rot="0" anchor="ctr"/>
                <a:lstStyle/>
                <a:p>
                  <a:pPr algn="ctr">
                    <a:defRPr lang="en-US" cap="none" sz="1000" b="0" i="0" u="none" baseline="0"/>
                  </a:pPr>
                </a:p>
              </c:txPr>
              <c:numFmt formatCode="General"/>
              <c:spPr>
                <a:solidFill>
                  <a:srgbClr val="C0C0C0"/>
                </a:solidFill>
              </c:spPr>
            </c:trendlineLbl>
          </c:trendline>
          <c:xVal>
            <c:numRef>
              <c:f>'{jj}Stiff&amp;Davis'!$A$31:$A$37</c:f>
              <c:numCache>
                <c:ptCount val="7"/>
                <c:pt idx="0">
                  <c:v>0</c:v>
                </c:pt>
                <c:pt idx="1">
                  <c:v>0</c:v>
                </c:pt>
                <c:pt idx="2">
                  <c:v>0</c:v>
                </c:pt>
                <c:pt idx="3">
                  <c:v>0</c:v>
                </c:pt>
                <c:pt idx="4">
                  <c:v>0</c:v>
                </c:pt>
                <c:pt idx="5">
                  <c:v>0</c:v>
                </c:pt>
                <c:pt idx="6">
                  <c:v>0</c:v>
                </c:pt>
              </c:numCache>
            </c:numRef>
          </c:xVal>
          <c:yVal>
            <c:numRef>
              <c:f>'{jj}Stiff&amp;Davis'!$B$31:$B$37</c:f>
              <c:numCache>
                <c:ptCount val="7"/>
                <c:pt idx="0">
                  <c:v>0</c:v>
                </c:pt>
                <c:pt idx="1">
                  <c:v>0</c:v>
                </c:pt>
                <c:pt idx="2">
                  <c:v>0</c:v>
                </c:pt>
                <c:pt idx="3">
                  <c:v>0</c:v>
                </c:pt>
                <c:pt idx="4">
                  <c:v>0</c:v>
                </c:pt>
                <c:pt idx="5">
                  <c:v>0</c:v>
                </c:pt>
                <c:pt idx="6">
                  <c:v>0</c:v>
                </c:pt>
              </c:numCache>
            </c:numRef>
          </c:yVal>
          <c:smooth val="0"/>
        </c:ser>
        <c:ser>
          <c:idx val="1"/>
          <c:order val="1"/>
          <c:tx>
            <c:strRef>
              <c:f>'{jj}Stiff&amp;Davis'!$C$30</c:f>
              <c:strCache>
                <c:ptCount val="1"/>
                <c:pt idx="0">
                  <c:v>x2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2"/>
            <c:dispEq val="1"/>
            <c:dispRSqr val="1"/>
            <c:trendlineLbl>
              <c:layout>
                <c:manualLayout>
                  <c:x val="0"/>
                  <c:y val="0"/>
                </c:manualLayout>
              </c:layout>
              <c:txPr>
                <a:bodyPr vert="horz" rot="0" anchor="ctr"/>
                <a:lstStyle/>
                <a:p>
                  <a:pPr algn="ctr">
                    <a:defRPr lang="en-US" cap="none" sz="1000" b="0" i="0" u="none" baseline="0"/>
                  </a:pPr>
                </a:p>
              </c:txPr>
              <c:numFmt formatCode="General"/>
              <c:spPr>
                <a:solidFill>
                  <a:srgbClr val="C0C0C0"/>
                </a:solidFill>
              </c:spPr>
            </c:trendlineLbl>
          </c:trendline>
          <c:xVal>
            <c:numRef>
              <c:f>'{jj}Stiff&amp;Davis'!$A$31:$A$37</c:f>
              <c:numCache>
                <c:ptCount val="7"/>
                <c:pt idx="0">
                  <c:v>0</c:v>
                </c:pt>
                <c:pt idx="1">
                  <c:v>0</c:v>
                </c:pt>
                <c:pt idx="2">
                  <c:v>0</c:v>
                </c:pt>
                <c:pt idx="3">
                  <c:v>0</c:v>
                </c:pt>
                <c:pt idx="4">
                  <c:v>0</c:v>
                </c:pt>
                <c:pt idx="5">
                  <c:v>0</c:v>
                </c:pt>
                <c:pt idx="6">
                  <c:v>0</c:v>
                </c:pt>
              </c:numCache>
            </c:numRef>
          </c:xVal>
          <c:yVal>
            <c:numRef>
              <c:f>'{jj}Stiff&amp;Davis'!$C$31:$C$37</c:f>
              <c:numCache>
                <c:ptCount val="7"/>
                <c:pt idx="0">
                  <c:v>0</c:v>
                </c:pt>
                <c:pt idx="1">
                  <c:v>0</c:v>
                </c:pt>
                <c:pt idx="2">
                  <c:v>0</c:v>
                </c:pt>
                <c:pt idx="3">
                  <c:v>0</c:v>
                </c:pt>
                <c:pt idx="4">
                  <c:v>0</c:v>
                </c:pt>
                <c:pt idx="5">
                  <c:v>0</c:v>
                </c:pt>
                <c:pt idx="6">
                  <c:v>0</c:v>
                </c:pt>
              </c:numCache>
            </c:numRef>
          </c:yVal>
          <c:smooth val="0"/>
        </c:ser>
        <c:ser>
          <c:idx val="2"/>
          <c:order val="2"/>
          <c:tx>
            <c:strRef>
              <c:f>'{jj}Stiff&amp;Davis'!$D$30</c:f>
              <c:strCache>
                <c:ptCount val="1"/>
                <c:pt idx="0">
                  <c:v>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poly"/>
            <c:order val="2"/>
            <c:dispEq val="1"/>
            <c:dispRSqr val="1"/>
            <c:trendlineLbl>
              <c:layout>
                <c:manualLayout>
                  <c:x val="0"/>
                  <c:y val="0"/>
                </c:manualLayout>
              </c:layout>
              <c:txPr>
                <a:bodyPr vert="horz" rot="0" anchor="ctr"/>
                <a:lstStyle/>
                <a:p>
                  <a:pPr algn="ctr">
                    <a:defRPr lang="en-US" cap="none" sz="1000" b="0" i="0" u="none" baseline="0"/>
                  </a:pPr>
                </a:p>
              </c:txPr>
              <c:numFmt formatCode="General"/>
              <c:spPr>
                <a:solidFill>
                  <a:srgbClr val="C0C0C0"/>
                </a:solidFill>
              </c:spPr>
            </c:trendlineLbl>
          </c:trendline>
          <c:xVal>
            <c:numRef>
              <c:f>'{jj}Stiff&amp;Davis'!$A$31:$A$37</c:f>
              <c:numCache>
                <c:ptCount val="7"/>
                <c:pt idx="0">
                  <c:v>0</c:v>
                </c:pt>
                <c:pt idx="1">
                  <c:v>0</c:v>
                </c:pt>
                <c:pt idx="2">
                  <c:v>0</c:v>
                </c:pt>
                <c:pt idx="3">
                  <c:v>0</c:v>
                </c:pt>
                <c:pt idx="4">
                  <c:v>0</c:v>
                </c:pt>
                <c:pt idx="5">
                  <c:v>0</c:v>
                </c:pt>
                <c:pt idx="6">
                  <c:v>0</c:v>
                </c:pt>
              </c:numCache>
            </c:numRef>
          </c:xVal>
          <c:yVal>
            <c:numRef>
              <c:f>'{jj}Stiff&amp;Davis'!$D$31:$D$37</c:f>
              <c:numCache>
                <c:ptCount val="7"/>
                <c:pt idx="0">
                  <c:v>0</c:v>
                </c:pt>
                <c:pt idx="1">
                  <c:v>0</c:v>
                </c:pt>
                <c:pt idx="2">
                  <c:v>0</c:v>
                </c:pt>
                <c:pt idx="3">
                  <c:v>0</c:v>
                </c:pt>
                <c:pt idx="4">
                  <c:v>0</c:v>
                </c:pt>
                <c:pt idx="5">
                  <c:v>0</c:v>
                </c:pt>
                <c:pt idx="6">
                  <c:v>0</c:v>
                </c:pt>
              </c:numCache>
            </c:numRef>
          </c:yVal>
          <c:smooth val="0"/>
        </c:ser>
        <c:ser>
          <c:idx val="3"/>
          <c:order val="3"/>
          <c:tx>
            <c:strRef>
              <c:f>'{jj}Stiff&amp;Davis'!$E$30</c:f>
              <c:strCache>
                <c:ptCount val="1"/>
                <c:pt idx="0">
                  <c:v>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trendline>
            <c:trendlineType val="linear"/>
            <c:dispEq val="1"/>
            <c:dispRSqr val="1"/>
            <c:trendlineLbl>
              <c:layout>
                <c:manualLayout>
                  <c:x val="0"/>
                  <c:y val="0"/>
                </c:manualLayout>
              </c:layout>
              <c:txPr>
                <a:bodyPr vert="horz" rot="0" anchor="ctr"/>
                <a:lstStyle/>
                <a:p>
                  <a:pPr algn="ctr">
                    <a:defRPr lang="en-US" cap="none" sz="1000" b="0" i="0" u="none" baseline="0"/>
                  </a:pPr>
                </a:p>
              </c:txPr>
              <c:numFmt formatCode="General"/>
              <c:spPr>
                <a:solidFill>
                  <a:srgbClr val="C0C0C0"/>
                </a:solidFill>
              </c:spPr>
            </c:trendlineLbl>
          </c:trendline>
          <c:xVal>
            <c:numRef>
              <c:f>'{jj}Stiff&amp;Davis'!$A$31:$A$37</c:f>
              <c:numCache>
                <c:ptCount val="7"/>
                <c:pt idx="0">
                  <c:v>0</c:v>
                </c:pt>
                <c:pt idx="1">
                  <c:v>0</c:v>
                </c:pt>
                <c:pt idx="2">
                  <c:v>0</c:v>
                </c:pt>
                <c:pt idx="3">
                  <c:v>0</c:v>
                </c:pt>
                <c:pt idx="4">
                  <c:v>0</c:v>
                </c:pt>
                <c:pt idx="5">
                  <c:v>0</c:v>
                </c:pt>
                <c:pt idx="6">
                  <c:v>0</c:v>
                </c:pt>
              </c:numCache>
            </c:numRef>
          </c:xVal>
          <c:yVal>
            <c:numRef>
              <c:f>'{jj}Stiff&amp;Davis'!$E$31:$E$37</c:f>
              <c:numCache>
                <c:ptCount val="7"/>
                <c:pt idx="0">
                  <c:v>0</c:v>
                </c:pt>
                <c:pt idx="1">
                  <c:v>0</c:v>
                </c:pt>
                <c:pt idx="2">
                  <c:v>0</c:v>
                </c:pt>
                <c:pt idx="3">
                  <c:v>0</c:v>
                </c:pt>
                <c:pt idx="4">
                  <c:v>0</c:v>
                </c:pt>
                <c:pt idx="5">
                  <c:v>0</c:v>
                </c:pt>
                <c:pt idx="6">
                  <c:v>0</c:v>
                </c:pt>
              </c:numCache>
            </c:numRef>
          </c:yVal>
          <c:smooth val="0"/>
        </c:ser>
        <c:axId val="30493840"/>
        <c:axId val="6009105"/>
      </c:scatterChart>
      <c:valAx>
        <c:axId val="30493840"/>
        <c:scaling>
          <c:orientation val="minMax"/>
        </c:scaling>
        <c:axPos val="b"/>
        <c:delete val="0"/>
        <c:numFmt formatCode="General" sourceLinked="1"/>
        <c:majorTickMark val="out"/>
        <c:minorTickMark val="none"/>
        <c:tickLblPos val="nextTo"/>
        <c:crossAx val="6009105"/>
        <c:crosses val="autoZero"/>
        <c:crossBetween val="midCat"/>
        <c:dispUnits/>
      </c:valAx>
      <c:valAx>
        <c:axId val="6009105"/>
        <c:scaling>
          <c:orientation val="minMax"/>
        </c:scaling>
        <c:axPos val="l"/>
        <c:majorGridlines/>
        <c:delete val="0"/>
        <c:numFmt formatCode="General" sourceLinked="1"/>
        <c:majorTickMark val="out"/>
        <c:minorTickMark val="none"/>
        <c:tickLblPos val="nextTo"/>
        <c:crossAx val="3049384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0" b="0" i="0" u="none" baseline="0"/>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Conversion of Ca and Alk to pCa and pAlk</a:t>
            </a:r>
          </a:p>
        </c:rich>
      </c:tx>
      <c:layout/>
      <c:spPr>
        <a:noFill/>
        <a:ln>
          <a:noFill/>
        </a:ln>
      </c:spPr>
    </c:title>
    <c:plotArea>
      <c:layout>
        <c:manualLayout>
          <c:xMode val="edge"/>
          <c:yMode val="edge"/>
          <c:x val="0.1455"/>
          <c:y val="0.1675"/>
          <c:w val="0.576"/>
          <c:h val="0.66625"/>
        </c:manualLayout>
      </c:layout>
      <c:scatterChart>
        <c:scatterStyle val="lineMarker"/>
        <c:varyColors val="0"/>
        <c:ser>
          <c:idx val="0"/>
          <c:order val="0"/>
          <c:tx>
            <c:v>Alk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og"/>
            <c:dispEq val="1"/>
            <c:dispRSqr val="0"/>
            <c:trendlineLbl>
              <c:layout>
                <c:manualLayout>
                  <c:x val="0"/>
                  <c:y val="0"/>
                </c:manualLayout>
              </c:layout>
              <c:tx>
                <c:rich>
                  <a:bodyPr vert="horz" rot="0" anchor="ctr"/>
                  <a:lstStyle/>
                  <a:p>
                    <a:pPr algn="ctr">
                      <a:defRPr/>
                    </a:pPr>
                    <a:r>
                      <a:rPr lang="en-US"/>
                      <a:t>pAlk = -0.4452Ln(x) + 4.7833</a:t>
                    </a:r>
                  </a:p>
                </c:rich>
              </c:tx>
              <c:numFmt formatCode="General" sourceLinked="1"/>
            </c:trendlineLbl>
          </c:trendline>
          <c:xVal>
            <c:numRef>
              <c:f>'{jj}Stiff&amp;Davis'!$W$7:$W$11</c:f>
              <c:numCache>
                <c:ptCount val="5"/>
                <c:pt idx="0">
                  <c:v>0</c:v>
                </c:pt>
                <c:pt idx="1">
                  <c:v>0</c:v>
                </c:pt>
                <c:pt idx="2">
                  <c:v>0</c:v>
                </c:pt>
                <c:pt idx="3">
                  <c:v>0</c:v>
                </c:pt>
                <c:pt idx="4">
                  <c:v>0</c:v>
                </c:pt>
              </c:numCache>
            </c:numRef>
          </c:xVal>
          <c:yVal>
            <c:numRef>
              <c:f>'{jj}Stiff&amp;Davis'!$V$7:$V$11</c:f>
              <c:numCache>
                <c:ptCount val="5"/>
                <c:pt idx="0">
                  <c:v>0</c:v>
                </c:pt>
                <c:pt idx="1">
                  <c:v>0</c:v>
                </c:pt>
                <c:pt idx="2">
                  <c:v>0</c:v>
                </c:pt>
                <c:pt idx="3">
                  <c:v>0</c:v>
                </c:pt>
                <c:pt idx="4">
                  <c:v>0</c:v>
                </c:pt>
              </c:numCache>
            </c:numRef>
          </c:yVal>
          <c:smooth val="0"/>
        </c:ser>
        <c:ser>
          <c:idx val="1"/>
          <c:order val="1"/>
          <c:tx>
            <c:v>Ca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og"/>
            <c:dispEq val="1"/>
            <c:dispRSqr val="1"/>
            <c:trendlineLbl>
              <c:layout>
                <c:manualLayout>
                  <c:x val="0"/>
                  <c:y val="0"/>
                </c:manualLayout>
              </c:layout>
              <c:tx>
                <c:rich>
                  <a:bodyPr vert="horz" rot="0" anchor="ctr"/>
                  <a:lstStyle/>
                  <a:p>
                    <a:pPr algn="ctr">
                      <a:defRPr/>
                    </a:pPr>
                    <a:r>
                      <a:rPr lang="en-US"/>
                      <a:t>pCa = -0.4343Ln(x) + 5</a:t>
                    </a:r>
                  </a:p>
                </c:rich>
              </c:tx>
              <c:numFmt formatCode="General" sourceLinked="1"/>
            </c:trendlineLbl>
          </c:trendline>
          <c:xVal>
            <c:numRef>
              <c:f>'{jj}Stiff&amp;Davis'!$W$7:$W$11</c:f>
              <c:numCache>
                <c:ptCount val="5"/>
                <c:pt idx="0">
                  <c:v>0</c:v>
                </c:pt>
                <c:pt idx="1">
                  <c:v>0</c:v>
                </c:pt>
                <c:pt idx="2">
                  <c:v>0</c:v>
                </c:pt>
                <c:pt idx="3">
                  <c:v>0</c:v>
                </c:pt>
                <c:pt idx="4">
                  <c:v>0</c:v>
                </c:pt>
              </c:numCache>
            </c:numRef>
          </c:xVal>
          <c:yVal>
            <c:numRef>
              <c:f>'{jj}Stiff&amp;Davis'!$U$7:$U$11</c:f>
              <c:numCache>
                <c:ptCount val="5"/>
                <c:pt idx="0">
                  <c:v>0</c:v>
                </c:pt>
                <c:pt idx="1">
                  <c:v>0</c:v>
                </c:pt>
                <c:pt idx="2">
                  <c:v>0</c:v>
                </c:pt>
                <c:pt idx="3">
                  <c:v>0</c:v>
                </c:pt>
                <c:pt idx="4">
                  <c:v>0</c:v>
                </c:pt>
              </c:numCache>
            </c:numRef>
          </c:yVal>
          <c:smooth val="0"/>
        </c:ser>
        <c:axId val="54081946"/>
        <c:axId val="16975467"/>
      </c:scatterChart>
      <c:valAx>
        <c:axId val="54081946"/>
        <c:scaling>
          <c:logBase val="10"/>
          <c:orientation val="minMax"/>
        </c:scaling>
        <c:axPos val="b"/>
        <c:title>
          <c:tx>
            <c:rich>
              <a:bodyPr vert="horz" rot="0" anchor="ctr"/>
              <a:lstStyle/>
              <a:p>
                <a:pPr algn="ctr">
                  <a:defRPr/>
                </a:pPr>
                <a:r>
                  <a:rPr lang="en-US"/>
                  <a:t>Ca and Alk as mg/L CaCO3</a:t>
                </a:r>
              </a:p>
            </c:rich>
          </c:tx>
          <c:layout/>
          <c:overlay val="0"/>
          <c:spPr>
            <a:noFill/>
            <a:ln>
              <a:noFill/>
            </a:ln>
          </c:spPr>
        </c:title>
        <c:delete val="0"/>
        <c:numFmt formatCode="General" sourceLinked="1"/>
        <c:majorTickMark val="out"/>
        <c:minorTickMark val="none"/>
        <c:tickLblPos val="nextTo"/>
        <c:crossAx val="16975467"/>
        <c:crosses val="autoZero"/>
        <c:crossBetween val="midCat"/>
        <c:dispUnits/>
      </c:valAx>
      <c:valAx>
        <c:axId val="16975467"/>
        <c:scaling>
          <c:orientation val="minMax"/>
        </c:scaling>
        <c:axPos val="l"/>
        <c:title>
          <c:tx>
            <c:rich>
              <a:bodyPr vert="horz" rot="-5400000" anchor="ctr"/>
              <a:lstStyle/>
              <a:p>
                <a:pPr algn="ctr">
                  <a:defRPr/>
                </a:pPr>
                <a:r>
                  <a:rPr lang="en-US"/>
                  <a:t>pCa and pAlk</a:t>
                </a:r>
              </a:p>
            </c:rich>
          </c:tx>
          <c:layout/>
          <c:overlay val="0"/>
          <c:spPr>
            <a:noFill/>
            <a:ln>
              <a:noFill/>
            </a:ln>
          </c:spPr>
        </c:title>
        <c:majorGridlines/>
        <c:delete val="0"/>
        <c:numFmt formatCode="General" sourceLinked="1"/>
        <c:majorTickMark val="out"/>
        <c:minorTickMark val="none"/>
        <c:tickLblPos val="nextTo"/>
        <c:crossAx val="5408194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pH vs Alk/CO</a:t>
            </a:r>
            <a:r>
              <a:rPr lang="en-US" cap="none" sz="1000" b="0" i="0" u="none" baseline="-25000"/>
              <a:t>2</a:t>
            </a:r>
          </a:p>
        </c:rich>
      </c:tx>
      <c:layout/>
      <c:spPr>
        <a:noFill/>
        <a:ln>
          <a:noFill/>
        </a:ln>
      </c:spPr>
    </c:title>
    <c:plotArea>
      <c:layout/>
      <c:scatterChart>
        <c:scatterStyle val="lineMarker"/>
        <c:varyColors val="0"/>
        <c:ser>
          <c:idx val="0"/>
          <c:order val="0"/>
          <c:tx>
            <c:strRef>
              <c:f>'{jj}Stiff&amp;Davis'!$Z$8</c:f>
              <c:strCache>
                <c:ptCount val="1"/>
                <c:pt idx="0">
                  <c:v>pH of Water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og"/>
            <c:forward val="900"/>
            <c:dispEq val="1"/>
            <c:dispRSqr val="1"/>
            <c:trendlineLbl>
              <c:layout>
                <c:manualLayout>
                  <c:x val="0"/>
                  <c:y val="0"/>
                </c:manualLayout>
              </c:layout>
              <c:numFmt formatCode="General"/>
              <c:spPr>
                <a:ln w="3175">
                  <a:solidFill/>
                </a:ln>
              </c:spPr>
            </c:trendlineLbl>
          </c:trendline>
          <c:xVal>
            <c:numRef>
              <c:f>'{jj}Stiff&amp;Davis'!$AA$9:$AA$25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'{jj}Stiff&amp;Davis'!$Z$9:$Z$25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18561476"/>
        <c:axId val="32835557"/>
      </c:scatterChart>
      <c:valAx>
        <c:axId val="18561476"/>
        <c:scaling>
          <c:logBase val="10"/>
          <c:orientation val="minMax"/>
        </c:scaling>
        <c:axPos val="b"/>
        <c:title>
          <c:tx>
            <c:rich>
              <a:bodyPr vert="horz" rot="0" anchor="ctr"/>
              <a:lstStyle/>
              <a:p>
                <a:pPr algn="ctr">
                  <a:defRPr/>
                </a:pPr>
                <a:r>
                  <a:rPr lang="en-US" cap="none" sz="1000" b="1" i="0" u="none" baseline="0"/>
                  <a:t>MO Alk/CO</a:t>
                </a:r>
                <a:r>
                  <a:rPr lang="en-US" cap="none" sz="1000" b="1" i="0" u="none" baseline="-25000"/>
                  <a:t>2</a:t>
                </a:r>
              </a:p>
            </c:rich>
          </c:tx>
          <c:layout/>
          <c:overlay val="0"/>
          <c:spPr>
            <a:noFill/>
            <a:ln>
              <a:noFill/>
            </a:ln>
          </c:spPr>
        </c:title>
        <c:delete val="0"/>
        <c:numFmt formatCode="General" sourceLinked="1"/>
        <c:majorTickMark val="out"/>
        <c:minorTickMark val="none"/>
        <c:tickLblPos val="nextTo"/>
        <c:crossAx val="32835557"/>
        <c:crosses val="autoZero"/>
        <c:crossBetween val="midCat"/>
        <c:dispUnits/>
      </c:valAx>
      <c:valAx>
        <c:axId val="32835557"/>
        <c:scaling>
          <c:orientation val="minMax"/>
        </c:scaling>
        <c:axPos val="l"/>
        <c:title>
          <c:tx>
            <c:rich>
              <a:bodyPr vert="horz" rot="-5400000" anchor="ctr"/>
              <a:lstStyle/>
              <a:p>
                <a:pPr algn="ctr">
                  <a:defRPr/>
                </a:pPr>
                <a:r>
                  <a:rPr lang="en-US" cap="none" sz="1000" b="1" i="0" u="none" baseline="0"/>
                  <a:t>pH of Water</a:t>
                </a:r>
              </a:p>
            </c:rich>
          </c:tx>
          <c:layout/>
          <c:overlay val="0"/>
          <c:spPr>
            <a:noFill/>
            <a:ln>
              <a:noFill/>
            </a:ln>
          </c:spPr>
        </c:title>
        <c:majorGridlines/>
        <c:delete val="0"/>
        <c:numFmt formatCode="General" sourceLinked="1"/>
        <c:majorTickMark val="out"/>
        <c:minorTickMark val="none"/>
        <c:tickLblPos val="low"/>
        <c:crossAx val="1856147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'{d}Cost Index'!$CW$35:$CW$37</c:f>
              <c:strCache>
                <c:ptCount val="3"/>
                <c:pt idx="0">
                  <c:v>0</c:v>
                </c:pt>
                <c:pt idx="1">
                  <c:v>0</c:v>
                </c:pt>
                <c:pt idx="2">
                  <c:v>0</c:v>
                </c:pt>
              </c:strCache>
            </c:strRef>
          </c:xVal>
          <c:yVal>
            <c:numRef>
              <c:f>'{d}Cost Index'!$CX$35:$CX$37</c:f>
              <c:numCache>
                <c:ptCount val="3"/>
                <c:pt idx="0">
                  <c:v>0</c:v>
                </c:pt>
                <c:pt idx="1">
                  <c:v>0</c:v>
                </c:pt>
                <c:pt idx="2">
                  <c:v>0</c:v>
                </c:pt>
              </c:numCache>
            </c:numRef>
          </c:yVal>
          <c:smooth val="1"/>
        </c:ser>
        <c:axId val="64450568"/>
        <c:axId val="43184201"/>
      </c:scatterChart>
      <c:valAx>
        <c:axId val="64450568"/>
        <c:scaling>
          <c:orientation val="minMax"/>
        </c:scaling>
        <c:axPos val="b"/>
        <c:delete val="0"/>
        <c:numFmt formatCode="General" sourceLinked="1"/>
        <c:majorTickMark val="out"/>
        <c:minorTickMark val="none"/>
        <c:tickLblPos val="nextTo"/>
        <c:crossAx val="43184201"/>
        <c:crosses val="autoZero"/>
        <c:crossBetween val="midCat"/>
        <c:dispUnits/>
      </c:valAx>
      <c:valAx>
        <c:axId val="43184201"/>
        <c:scaling>
          <c:orientation val="minMax"/>
        </c:scaling>
        <c:axPos val="l"/>
        <c:majorGridlines/>
        <c:delete val="0"/>
        <c:numFmt formatCode="General" sourceLinked="1"/>
        <c:majorTickMark val="out"/>
        <c:minorTickMark val="none"/>
        <c:tickLblPos val="nextTo"/>
        <c:crossAx val="6445056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Construction Cost of Recarbonation Basins 1979 $</a:t>
            </a:r>
          </a:p>
        </c:rich>
      </c:tx>
      <c:layout/>
      <c:spPr>
        <a:noFill/>
        <a:ln>
          <a:noFill/>
        </a:ln>
      </c:spPr>
    </c:title>
    <c:plotArea>
      <c:layout/>
      <c:scatterChart>
        <c:scatterStyle val="lineMarker"/>
        <c:varyColors val="0"/>
        <c:ser>
          <c:idx val="0"/>
          <c:order val="0"/>
          <c:tx>
            <c:strRef>
              <c:f>'{h}CO2g'!$A$17</c:f>
              <c:strCache>
                <c:ptCount val="1"/>
                <c:pt idx="0">
                  <c:v>  Total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forward val="2000"/>
            <c:dispEq val="1"/>
            <c:dispRSqr val="1"/>
            <c:trendlineLbl>
              <c:layout>
                <c:manualLayout>
                  <c:x val="0"/>
                  <c:y val="0"/>
                </c:manualLayout>
              </c:layout>
              <c:tx>
                <c:rich>
                  <a:bodyPr vert="horz" rot="0" anchor="ctr"/>
                  <a:lstStyle/>
                  <a:p>
                    <a:pPr algn="ctr">
                      <a:defRPr/>
                    </a:pPr>
                    <a:r>
                      <a:rPr lang="en-US" cap="none" sz="1000" b="0" i="0" u="none" baseline="0"/>
                      <a:t>$ = -6E-06x</a:t>
                    </a:r>
                    <a:r>
                      <a:rPr lang="en-US" cap="none" sz="1000" b="0" i="0" u="none" baseline="30000"/>
                      <a:t>2</a:t>
                    </a:r>
                    <a:r>
                      <a:rPr lang="en-US" cap="none" sz="1000" b="0" i="0" u="none" baseline="0"/>
                      <a:t> + 2.5753x + 7900.2
R</a:t>
                    </a:r>
                    <a:r>
                      <a:rPr lang="en-US" cap="none" sz="1000" b="0" i="0" u="none" baseline="30000"/>
                      <a:t>2</a:t>
                    </a:r>
                    <a:r>
                      <a:rPr lang="en-US" cap="none" sz="1000" b="0" i="0" u="none" baseline="0"/>
                      <a:t> = 0.9981</a:t>
                    </a:r>
                  </a:p>
                </c:rich>
              </c:tx>
              <c:numFmt formatCode="General" sourceLinked="1"/>
            </c:trendlineLbl>
          </c:trendline>
          <c:xVal>
            <c:numRef>
              <c:f>'{h}CO2g'!$B$9:$H$9</c:f>
              <c:numCache>
                <c:ptCount val="7"/>
                <c:pt idx="0">
                  <c:v>0</c:v>
                </c:pt>
                <c:pt idx="1">
                  <c:v>0</c:v>
                </c:pt>
                <c:pt idx="2">
                  <c:v>0</c:v>
                </c:pt>
                <c:pt idx="3">
                  <c:v>0</c:v>
                </c:pt>
                <c:pt idx="4">
                  <c:v>0</c:v>
                </c:pt>
                <c:pt idx="5">
                  <c:v>0</c:v>
                </c:pt>
                <c:pt idx="6">
                  <c:v>0</c:v>
                </c:pt>
              </c:numCache>
            </c:numRef>
          </c:xVal>
          <c:yVal>
            <c:numRef>
              <c:f>'{h}CO2g'!$B$17:$H$17</c:f>
              <c:numCache>
                <c:ptCount val="7"/>
                <c:pt idx="0">
                  <c:v>0</c:v>
                </c:pt>
                <c:pt idx="1">
                  <c:v>0</c:v>
                </c:pt>
                <c:pt idx="2">
                  <c:v>0</c:v>
                </c:pt>
                <c:pt idx="3">
                  <c:v>0</c:v>
                </c:pt>
                <c:pt idx="4">
                  <c:v>0</c:v>
                </c:pt>
                <c:pt idx="5">
                  <c:v>0</c:v>
                </c:pt>
                <c:pt idx="6">
                  <c:v>0</c:v>
                </c:pt>
              </c:numCache>
            </c:numRef>
          </c:yVal>
          <c:smooth val="0"/>
        </c:ser>
        <c:axId val="53113490"/>
        <c:axId val="8259363"/>
      </c:scatterChart>
      <c:valAx>
        <c:axId val="53113490"/>
        <c:scaling>
          <c:orientation val="minMax"/>
          <c:max val="3000"/>
        </c:scaling>
        <c:axPos val="b"/>
        <c:title>
          <c:tx>
            <c:rich>
              <a:bodyPr vert="horz" rot="0" anchor="ctr"/>
              <a:lstStyle/>
              <a:p>
                <a:pPr algn="ctr">
                  <a:defRPr/>
                </a:pPr>
                <a:r>
                  <a:rPr lang="en-US" cap="none" sz="1000" b="0" i="0" u="none" baseline="0"/>
                  <a:t>Volume - Cubic Meters</a:t>
                </a:r>
              </a:p>
            </c:rich>
          </c:tx>
          <c:layout/>
          <c:overlay val="0"/>
          <c:spPr>
            <a:noFill/>
            <a:ln>
              <a:noFill/>
            </a:ln>
          </c:spPr>
        </c:title>
        <c:delete val="0"/>
        <c:numFmt formatCode="General" sourceLinked="1"/>
        <c:majorTickMark val="out"/>
        <c:minorTickMark val="none"/>
        <c:tickLblPos val="nextTo"/>
        <c:crossAx val="8259363"/>
        <c:crosses val="autoZero"/>
        <c:crossBetween val="midCat"/>
        <c:dispUnits/>
      </c:valAx>
      <c:valAx>
        <c:axId val="8259363"/>
        <c:scaling>
          <c:orientation val="minMax"/>
        </c:scaling>
        <c:axPos val="l"/>
        <c:title>
          <c:tx>
            <c:rich>
              <a:bodyPr vert="horz" rot="-5400000" anchor="ctr"/>
              <a:lstStyle/>
              <a:p>
                <a:pPr algn="ctr">
                  <a:defRPr/>
                </a:pPr>
                <a:r>
                  <a:rPr lang="en-US"/>
                  <a:t>1979 $</a:t>
                </a:r>
              </a:p>
            </c:rich>
          </c:tx>
          <c:layout/>
          <c:overlay val="0"/>
          <c:spPr>
            <a:noFill/>
            <a:ln>
              <a:noFill/>
            </a:ln>
          </c:spPr>
        </c:title>
        <c:majorGridlines/>
        <c:delete val="0"/>
        <c:numFmt formatCode="General" sourceLinked="1"/>
        <c:majorTickMark val="out"/>
        <c:minorTickMark val="none"/>
        <c:tickLblPos val="nextTo"/>
        <c:crossAx val="5311349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Construction Cost of Recarbonation - Liquid CO2 as a CO2 source</a:t>
            </a:r>
          </a:p>
        </c:rich>
      </c:tx>
      <c:layout/>
      <c:spPr>
        <a:noFill/>
        <a:ln>
          <a:noFill/>
        </a:ln>
      </c:spPr>
    </c:title>
    <c:plotArea>
      <c:layout/>
      <c:scatterChart>
        <c:scatterStyle val="lineMarker"/>
        <c:varyColors val="0"/>
        <c:ser>
          <c:idx val="0"/>
          <c:order val="0"/>
          <c:tx>
            <c:strRef>
              <c:f>'{h}CO2g'!$A$56</c:f>
              <c:strCache>
                <c:ptCount val="1"/>
                <c:pt idx="0">
                  <c:v>  Total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exp"/>
            <c:dispEq val="1"/>
            <c:dispRSqr val="1"/>
            <c:trendlineLbl>
              <c:layout>
                <c:manualLayout>
                  <c:x val="0"/>
                  <c:y val="0"/>
                </c:manualLayout>
              </c:layout>
              <c:numFmt formatCode="General"/>
            </c:trendlineLbl>
          </c:trendline>
          <c:xVal>
            <c:numRef>
              <c:f>'{h}CO2g'!$B$49:$G$49</c:f>
              <c:numCache>
                <c:ptCount val="6"/>
                <c:pt idx="0">
                  <c:v>0</c:v>
                </c:pt>
                <c:pt idx="1">
                  <c:v>0</c:v>
                </c:pt>
                <c:pt idx="2">
                  <c:v>0</c:v>
                </c:pt>
                <c:pt idx="3">
                  <c:v>0</c:v>
                </c:pt>
                <c:pt idx="4">
                  <c:v>0</c:v>
                </c:pt>
                <c:pt idx="5">
                  <c:v>0</c:v>
                </c:pt>
              </c:numCache>
            </c:numRef>
          </c:xVal>
          <c:yVal>
            <c:numRef>
              <c:f>'{h}CO2g'!$B$56:$G$56</c:f>
              <c:numCache>
                <c:ptCount val="6"/>
                <c:pt idx="0">
                  <c:v>0</c:v>
                </c:pt>
                <c:pt idx="1">
                  <c:v>0</c:v>
                </c:pt>
                <c:pt idx="2">
                  <c:v>0</c:v>
                </c:pt>
                <c:pt idx="3">
                  <c:v>0</c:v>
                </c:pt>
                <c:pt idx="4">
                  <c:v>0</c:v>
                </c:pt>
                <c:pt idx="5">
                  <c:v>0</c:v>
                </c:pt>
              </c:numCache>
            </c:numRef>
          </c:yVal>
          <c:smooth val="0"/>
        </c:ser>
        <c:axId val="7225404"/>
        <c:axId val="65028637"/>
      </c:scatterChart>
      <c:valAx>
        <c:axId val="7225404"/>
        <c:scaling>
          <c:orientation val="minMax"/>
        </c:scaling>
        <c:axPos val="b"/>
        <c:title>
          <c:tx>
            <c:rich>
              <a:bodyPr vert="horz" rot="0" anchor="ctr"/>
              <a:lstStyle/>
              <a:p>
                <a:pPr algn="ctr">
                  <a:defRPr/>
                </a:pPr>
                <a:r>
                  <a:rPr lang="en-US" cap="none" sz="1000" b="0" i="0" u="none" baseline="0"/>
                  <a:t>Installed Capacity (kg/day)</a:t>
                </a:r>
              </a:p>
            </c:rich>
          </c:tx>
          <c:layout/>
          <c:overlay val="0"/>
          <c:spPr>
            <a:noFill/>
            <a:ln>
              <a:noFill/>
            </a:ln>
          </c:spPr>
        </c:title>
        <c:delete val="0"/>
        <c:numFmt formatCode="General" sourceLinked="1"/>
        <c:majorTickMark val="out"/>
        <c:minorTickMark val="none"/>
        <c:tickLblPos val="nextTo"/>
        <c:crossAx val="65028637"/>
        <c:crosses val="autoZero"/>
        <c:crossBetween val="midCat"/>
        <c:dispUnits/>
      </c:valAx>
      <c:valAx>
        <c:axId val="65028637"/>
        <c:scaling>
          <c:orientation val="minMax"/>
        </c:scaling>
        <c:axPos val="l"/>
        <c:title>
          <c:tx>
            <c:rich>
              <a:bodyPr vert="horz" rot="-5400000" anchor="ctr"/>
              <a:lstStyle/>
              <a:p>
                <a:pPr algn="ctr">
                  <a:defRPr/>
                </a:pPr>
                <a:r>
                  <a:rPr lang="en-US" cap="none" sz="1000" b="0" i="0" u="none" baseline="0"/>
                  <a:t>Construction Cost 1978$</a:t>
                </a:r>
              </a:p>
            </c:rich>
          </c:tx>
          <c:layout/>
          <c:overlay val="0"/>
          <c:spPr>
            <a:noFill/>
            <a:ln>
              <a:noFill/>
            </a:ln>
          </c:spPr>
        </c:title>
        <c:majorGridlines/>
        <c:delete val="0"/>
        <c:numFmt formatCode="General" sourceLinked="1"/>
        <c:majorTickMark val="out"/>
        <c:minorTickMark val="none"/>
        <c:tickLblPos val="nextTo"/>
        <c:crossAx val="72254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Operation &amp; Maintenance of Recarbonation - Liquid CO2 as a CO2 source</a:t>
            </a:r>
          </a:p>
        </c:rich>
      </c:tx>
      <c:layout/>
      <c:spPr>
        <a:noFill/>
        <a:ln>
          <a:noFill/>
        </a:ln>
      </c:spPr>
    </c:title>
    <c:plotArea>
      <c:layout/>
      <c:scatterChart>
        <c:scatterStyle val="lineMarker"/>
        <c:varyColors val="0"/>
        <c:ser>
          <c:idx val="0"/>
          <c:order val="0"/>
          <c:tx>
            <c:strRef>
              <c:f>'{h}CO2g'!$A$90</c:f>
              <c:strCache>
                <c:ptCount val="1"/>
                <c:pt idx="0">
                  <c:v>Total Cost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'{h}CO2g'!$B$86:$G$86</c:f>
              <c:numCache>
                <c:ptCount val="6"/>
                <c:pt idx="0">
                  <c:v>0</c:v>
                </c:pt>
                <c:pt idx="1">
                  <c:v>0</c:v>
                </c:pt>
                <c:pt idx="2">
                  <c:v>0</c:v>
                </c:pt>
                <c:pt idx="3">
                  <c:v>0</c:v>
                </c:pt>
                <c:pt idx="4">
                  <c:v>0</c:v>
                </c:pt>
                <c:pt idx="5">
                  <c:v>0</c:v>
                </c:pt>
              </c:numCache>
            </c:numRef>
          </c:xVal>
          <c:yVal>
            <c:numRef>
              <c:f>'{h}CO2g'!$B$90:$G$90</c:f>
              <c:numCache>
                <c:ptCount val="6"/>
                <c:pt idx="0">
                  <c:v>0</c:v>
                </c:pt>
                <c:pt idx="1">
                  <c:v>0</c:v>
                </c:pt>
                <c:pt idx="2">
                  <c:v>0</c:v>
                </c:pt>
                <c:pt idx="3">
                  <c:v>0</c:v>
                </c:pt>
                <c:pt idx="4">
                  <c:v>0</c:v>
                </c:pt>
                <c:pt idx="5">
                  <c:v>0</c:v>
                </c:pt>
              </c:numCache>
            </c:numRef>
          </c:yVal>
          <c:smooth val="0"/>
        </c:ser>
        <c:axId val="48386822"/>
        <c:axId val="32828215"/>
      </c:scatterChart>
      <c:valAx>
        <c:axId val="48386822"/>
        <c:scaling>
          <c:orientation val="minMax"/>
        </c:scaling>
        <c:axPos val="b"/>
        <c:title>
          <c:tx>
            <c:rich>
              <a:bodyPr vert="horz" rot="0" anchor="ctr"/>
              <a:lstStyle/>
              <a:p>
                <a:pPr algn="ctr">
                  <a:defRPr/>
                </a:pPr>
                <a:r>
                  <a:rPr lang="en-US" cap="none" sz="1000" b="0" i="0" u="none" baseline="0"/>
                  <a:t>Installed Capacity (kg/day)</a:t>
                </a:r>
              </a:p>
            </c:rich>
          </c:tx>
          <c:layout/>
          <c:overlay val="0"/>
          <c:spPr>
            <a:noFill/>
            <a:ln>
              <a:noFill/>
            </a:ln>
          </c:spPr>
        </c:title>
        <c:delete val="0"/>
        <c:numFmt formatCode="General" sourceLinked="1"/>
        <c:majorTickMark val="out"/>
        <c:minorTickMark val="none"/>
        <c:tickLblPos val="nextTo"/>
        <c:crossAx val="32828215"/>
        <c:crosses val="autoZero"/>
        <c:crossBetween val="midCat"/>
        <c:dispUnits/>
      </c:valAx>
      <c:valAx>
        <c:axId val="32828215"/>
        <c:scaling>
          <c:orientation val="minMax"/>
        </c:scaling>
        <c:axPos val="l"/>
        <c:title>
          <c:tx>
            <c:rich>
              <a:bodyPr vert="horz" rot="-5400000" anchor="ctr"/>
              <a:lstStyle/>
              <a:p>
                <a:pPr algn="ctr">
                  <a:defRPr/>
                </a:pPr>
                <a:r>
                  <a:rPr lang="en-US"/>
                  <a:t>Construction Cost 1979$</a:t>
                </a:r>
              </a:p>
            </c:rich>
          </c:tx>
          <c:layout/>
          <c:overlay val="0"/>
          <c:spPr>
            <a:noFill/>
            <a:ln>
              <a:noFill/>
            </a:ln>
          </c:spPr>
        </c:title>
        <c:majorGridlines/>
        <c:delete val="0"/>
        <c:numFmt formatCode="General" sourceLinked="1"/>
        <c:majorTickMark val="out"/>
        <c:minorTickMark val="none"/>
        <c:tickLblPos val="nextTo"/>
        <c:crossAx val="483868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Construction Cost for Chloramine Disinfection at Different Dosage Rates</a:t>
            </a:r>
          </a:p>
        </c:rich>
      </c:tx>
      <c:layout>
        <c:manualLayout>
          <c:xMode val="factor"/>
          <c:yMode val="factor"/>
          <c:x val="0.027"/>
          <c:y val="-0.01975"/>
        </c:manualLayout>
      </c:layout>
      <c:spPr>
        <a:noFill/>
        <a:ln>
          <a:noFill/>
        </a:ln>
      </c:spPr>
    </c:title>
    <c:plotArea>
      <c:layout>
        <c:manualLayout>
          <c:xMode val="edge"/>
          <c:yMode val="edge"/>
          <c:x val="0.0825"/>
          <c:y val="0.16175"/>
          <c:w val="0.9145"/>
          <c:h val="0.628"/>
        </c:manualLayout>
      </c:layout>
      <c:scatterChart>
        <c:scatterStyle val="lineMarker"/>
        <c:varyColors val="0"/>
        <c:ser>
          <c:idx val="0"/>
          <c:order val="0"/>
          <c:tx>
            <c:strRef>
              <c:f>'{o}NHCL'!$P$10</c:f>
              <c:strCache>
                <c:ptCount val="1"/>
                <c:pt idx="0">
                  <c:v>20 mg/L Cl2+5 mg/L Ammonia</c:v>
                </c:pt>
              </c:strCache>
            </c:strRef>
          </c:tx>
          <c:extLst>
            <c:ext xmlns:c14="http://schemas.microsoft.com/office/drawing/2007/8/2/chart" uri="{6F2FDCE9-48DA-4B69-8628-5D25D57E5C99}">
              <c14:invertSolidFillFmt>
                <c14:spPr>
                  <a:solidFill>
                    <a:srgbClr val="000000"/>
                  </a:solidFill>
                </c14:spPr>
              </c14:invertSolidFillFmt>
            </c:ext>
          </c:extLst>
          <c:xVal>
            <c:numRef>
              <c:f>'{o}NHCL'!$O$11:$O$21</c:f>
              <c:numCache>
                <c:ptCount val="11"/>
                <c:pt idx="0">
                  <c:v>0</c:v>
                </c:pt>
                <c:pt idx="1">
                  <c:v>0</c:v>
                </c:pt>
                <c:pt idx="2">
                  <c:v>0</c:v>
                </c:pt>
                <c:pt idx="3">
                  <c:v>0</c:v>
                </c:pt>
                <c:pt idx="4">
                  <c:v>0</c:v>
                </c:pt>
                <c:pt idx="5">
                  <c:v>0</c:v>
                </c:pt>
                <c:pt idx="6">
                  <c:v>0</c:v>
                </c:pt>
                <c:pt idx="7">
                  <c:v>0</c:v>
                </c:pt>
                <c:pt idx="8">
                  <c:v>0</c:v>
                </c:pt>
                <c:pt idx="9">
                  <c:v>0</c:v>
                </c:pt>
                <c:pt idx="10">
                  <c:v>0</c:v>
                </c:pt>
              </c:numCache>
            </c:numRef>
          </c:xVal>
          <c:yVal>
            <c:numRef>
              <c:f>'{o}NHCL'!$P$11:$P$21</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'{o}NHCL'!$R$10</c:f>
              <c:strCache>
                <c:ptCount val="1"/>
                <c:pt idx="0">
                  <c:v>10mg/L Cl2 +2.5 mg/L Ammonia</c:v>
                </c:pt>
              </c:strCache>
            </c:strRef>
          </c:tx>
          <c:extLst>
            <c:ext xmlns:c14="http://schemas.microsoft.com/office/drawing/2007/8/2/chart" uri="{6F2FDCE9-48DA-4B69-8628-5D25D57E5C99}">
              <c14:invertSolidFillFmt>
                <c14:spPr>
                  <a:solidFill>
                    <a:srgbClr val="000000"/>
                  </a:solidFill>
                </c14:spPr>
              </c14:invertSolidFillFmt>
            </c:ext>
          </c:extLst>
          <c:xVal>
            <c:numRef>
              <c:f>'{o}NHCL'!$O$11:$O$21</c:f>
              <c:numCache>
                <c:ptCount val="11"/>
                <c:pt idx="0">
                  <c:v>0</c:v>
                </c:pt>
                <c:pt idx="1">
                  <c:v>0</c:v>
                </c:pt>
                <c:pt idx="2">
                  <c:v>0</c:v>
                </c:pt>
                <c:pt idx="3">
                  <c:v>0</c:v>
                </c:pt>
                <c:pt idx="4">
                  <c:v>0</c:v>
                </c:pt>
                <c:pt idx="5">
                  <c:v>0</c:v>
                </c:pt>
                <c:pt idx="6">
                  <c:v>0</c:v>
                </c:pt>
                <c:pt idx="7">
                  <c:v>0</c:v>
                </c:pt>
                <c:pt idx="8">
                  <c:v>0</c:v>
                </c:pt>
                <c:pt idx="9">
                  <c:v>0</c:v>
                </c:pt>
                <c:pt idx="10">
                  <c:v>0</c:v>
                </c:pt>
              </c:numCache>
            </c:numRef>
          </c:xVal>
          <c:yVal>
            <c:numRef>
              <c:f>'{o}NHCL'!$R$11:$R$21</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27018480"/>
        <c:axId val="41839729"/>
      </c:scatterChart>
      <c:valAx>
        <c:axId val="27018480"/>
        <c:scaling>
          <c:orientation val="minMax"/>
          <c:max val="1200"/>
        </c:scaling>
        <c:axPos val="b"/>
        <c:title>
          <c:tx>
            <c:rich>
              <a:bodyPr vert="horz" rot="0" anchor="ctr"/>
              <a:lstStyle/>
              <a:p>
                <a:pPr algn="ctr">
                  <a:defRPr/>
                </a:pPr>
                <a:r>
                  <a:rPr lang="en-US" cap="none" sz="1000" b="1" i="0" u="none" baseline="0"/>
                  <a:t>Volume Treated (L/sec)</a:t>
                </a:r>
              </a:p>
            </c:rich>
          </c:tx>
          <c:layout>
            <c:manualLayout>
              <c:xMode val="factor"/>
              <c:yMode val="factor"/>
              <c:x val="0.00175"/>
              <c:y val="0.001"/>
            </c:manualLayout>
          </c:layout>
          <c:overlay val="0"/>
          <c:spPr>
            <a:noFill/>
            <a:ln>
              <a:noFill/>
            </a:ln>
          </c:spPr>
        </c:title>
        <c:delete val="0"/>
        <c:numFmt formatCode="General" sourceLinked="1"/>
        <c:majorTickMark val="out"/>
        <c:minorTickMark val="none"/>
        <c:tickLblPos val="nextTo"/>
        <c:crossAx val="41839729"/>
        <c:crosses val="autoZero"/>
        <c:crossBetween val="midCat"/>
        <c:dispUnits/>
      </c:valAx>
      <c:valAx>
        <c:axId val="41839729"/>
        <c:scaling>
          <c:orientation val="minMax"/>
        </c:scaling>
        <c:axPos val="l"/>
        <c:title>
          <c:tx>
            <c:rich>
              <a:bodyPr vert="horz" rot="-5400000" anchor="ctr"/>
              <a:lstStyle/>
              <a:p>
                <a:pPr algn="ctr">
                  <a:defRPr/>
                </a:pPr>
                <a:r>
                  <a:rPr lang="en-US" cap="none" sz="1000" b="1" i="0" u="none" baseline="0"/>
                  <a:t>Cost 
(1999 $/1000)</a:t>
                </a:r>
              </a:p>
            </c:rich>
          </c:tx>
          <c:layout/>
          <c:overlay val="0"/>
          <c:spPr>
            <a:noFill/>
            <a:ln>
              <a:noFill/>
            </a:ln>
          </c:spPr>
        </c:title>
        <c:delete val="0"/>
        <c:numFmt formatCode="#,##0" sourceLinked="0"/>
        <c:majorTickMark val="out"/>
        <c:minorTickMark val="none"/>
        <c:tickLblPos val="nextTo"/>
        <c:crossAx val="27018480"/>
        <c:crosses val="autoZero"/>
        <c:crossBetween val="midCat"/>
        <c:dispUnits/>
      </c:valAx>
      <c:spPr>
        <a:noFill/>
        <a:ln>
          <a:noFill/>
        </a:ln>
      </c:spPr>
    </c:plotArea>
    <c:legend>
      <c:legendPos val="b"/>
      <c:layout>
        <c:manualLayout>
          <c:xMode val="edge"/>
          <c:yMode val="edge"/>
          <c:x val="0.15325"/>
          <c:y val="0.9122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O&amp;M Cost for Chloramine Disinfection at Different Dosage Rates</a:t>
            </a:r>
          </a:p>
        </c:rich>
      </c:tx>
      <c:layout>
        <c:manualLayout>
          <c:xMode val="factor"/>
          <c:yMode val="factor"/>
          <c:x val="0.027"/>
          <c:y val="-0.01975"/>
        </c:manualLayout>
      </c:layout>
      <c:spPr>
        <a:noFill/>
        <a:ln>
          <a:noFill/>
        </a:ln>
      </c:spPr>
    </c:title>
    <c:plotArea>
      <c:layout>
        <c:manualLayout>
          <c:xMode val="edge"/>
          <c:yMode val="edge"/>
          <c:x val="0.09125"/>
          <c:y val="0.1495"/>
          <c:w val="0.9055"/>
          <c:h val="0.6525"/>
        </c:manualLayout>
      </c:layout>
      <c:scatterChart>
        <c:scatterStyle val="lineMarker"/>
        <c:varyColors val="0"/>
        <c:ser>
          <c:idx val="1"/>
          <c:order val="0"/>
          <c:tx>
            <c:strRef>
              <c:f>'{o}NHCL'!$P$10</c:f>
              <c:strCache>
                <c:ptCount val="1"/>
                <c:pt idx="0">
                  <c:v>20 mg/L Cl2+5 mg/L Ammonia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'{o}NHCL'!$O$11:$O$21</c:f>
              <c:numCache>
                <c:ptCount val="11"/>
                <c:pt idx="0">
                  <c:v>0</c:v>
                </c:pt>
                <c:pt idx="1">
                  <c:v>0</c:v>
                </c:pt>
                <c:pt idx="2">
                  <c:v>0</c:v>
                </c:pt>
                <c:pt idx="3">
                  <c:v>0</c:v>
                </c:pt>
                <c:pt idx="4">
                  <c:v>0</c:v>
                </c:pt>
                <c:pt idx="5">
                  <c:v>0</c:v>
                </c:pt>
                <c:pt idx="6">
                  <c:v>0</c:v>
                </c:pt>
                <c:pt idx="7">
                  <c:v>0</c:v>
                </c:pt>
                <c:pt idx="8">
                  <c:v>0</c:v>
                </c:pt>
                <c:pt idx="9">
                  <c:v>0</c:v>
                </c:pt>
                <c:pt idx="10">
                  <c:v>0</c:v>
                </c:pt>
              </c:numCache>
            </c:numRef>
          </c:xVal>
          <c:yVal>
            <c:numRef>
              <c:f>'{o}NHCL'!$Q$11:$Q$21</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1"/>
          <c:tx>
            <c:strRef>
              <c:f>'{o}NHCL'!$R$10</c:f>
              <c:strCache>
                <c:ptCount val="1"/>
                <c:pt idx="0">
                  <c:v>10mg/L Cl2 +2.5 mg/L Ammonia</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'{o}NHCL'!$O$11:$O$21</c:f>
              <c:numCache>
                <c:ptCount val="11"/>
                <c:pt idx="0">
                  <c:v>0</c:v>
                </c:pt>
                <c:pt idx="1">
                  <c:v>0</c:v>
                </c:pt>
                <c:pt idx="2">
                  <c:v>0</c:v>
                </c:pt>
                <c:pt idx="3">
                  <c:v>0</c:v>
                </c:pt>
                <c:pt idx="4">
                  <c:v>0</c:v>
                </c:pt>
                <c:pt idx="5">
                  <c:v>0</c:v>
                </c:pt>
                <c:pt idx="6">
                  <c:v>0</c:v>
                </c:pt>
                <c:pt idx="7">
                  <c:v>0</c:v>
                </c:pt>
                <c:pt idx="8">
                  <c:v>0</c:v>
                </c:pt>
                <c:pt idx="9">
                  <c:v>0</c:v>
                </c:pt>
                <c:pt idx="10">
                  <c:v>0</c:v>
                </c:pt>
              </c:numCache>
            </c:numRef>
          </c:xVal>
          <c:yVal>
            <c:numRef>
              <c:f>'{o}NHCL'!$S$11:$S$21</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41013242"/>
        <c:axId val="33574859"/>
      </c:scatterChart>
      <c:valAx>
        <c:axId val="41013242"/>
        <c:scaling>
          <c:orientation val="minMax"/>
          <c:max val="1200"/>
        </c:scaling>
        <c:axPos val="b"/>
        <c:title>
          <c:tx>
            <c:rich>
              <a:bodyPr vert="horz" rot="0" anchor="ctr"/>
              <a:lstStyle/>
              <a:p>
                <a:pPr algn="ctr">
                  <a:defRPr/>
                </a:pPr>
                <a:r>
                  <a:rPr lang="en-US" cap="none" sz="1000" b="1" i="0" u="none" baseline="0"/>
                  <a:t>Volume Treated (L/sec)</a:t>
                </a:r>
              </a:p>
            </c:rich>
          </c:tx>
          <c:layout>
            <c:manualLayout>
              <c:xMode val="factor"/>
              <c:yMode val="factor"/>
              <c:x val="0.00175"/>
              <c:y val="0.001"/>
            </c:manualLayout>
          </c:layout>
          <c:overlay val="0"/>
          <c:spPr>
            <a:noFill/>
            <a:ln>
              <a:noFill/>
            </a:ln>
          </c:spPr>
        </c:title>
        <c:delete val="0"/>
        <c:numFmt formatCode="General" sourceLinked="1"/>
        <c:majorTickMark val="out"/>
        <c:minorTickMark val="none"/>
        <c:tickLblPos val="nextTo"/>
        <c:crossAx val="33574859"/>
        <c:crosses val="autoZero"/>
        <c:crossBetween val="midCat"/>
        <c:dispUnits/>
      </c:valAx>
      <c:valAx>
        <c:axId val="33574859"/>
        <c:scaling>
          <c:orientation val="minMax"/>
        </c:scaling>
        <c:axPos val="l"/>
        <c:title>
          <c:tx>
            <c:rich>
              <a:bodyPr vert="horz" rot="-5400000" anchor="ctr"/>
              <a:lstStyle/>
              <a:p>
                <a:pPr algn="ctr">
                  <a:defRPr/>
                </a:pPr>
                <a:r>
                  <a:rPr lang="en-US" cap="none" sz="1000" b="1" i="0" u="none" baseline="0"/>
                  <a:t>Cost per Year
(1999 $/1000)</a:t>
                </a:r>
              </a:p>
            </c:rich>
          </c:tx>
          <c:layout/>
          <c:overlay val="0"/>
          <c:spPr>
            <a:noFill/>
            <a:ln>
              <a:noFill/>
            </a:ln>
          </c:spPr>
        </c:title>
        <c:delete val="0"/>
        <c:numFmt formatCode="#,##0" sourceLinked="0"/>
        <c:majorTickMark val="out"/>
        <c:minorTickMark val="none"/>
        <c:tickLblPos val="nextTo"/>
        <c:crossAx val="41013242"/>
        <c:crosses val="autoZero"/>
        <c:crossBetween val="midCat"/>
        <c:dispUnits/>
      </c:valAx>
      <c:spPr>
        <a:noFill/>
        <a:ln>
          <a:noFill/>
        </a:ln>
      </c:spPr>
    </c:plotArea>
    <c:legend>
      <c:legendPos val="b"/>
      <c:layout>
        <c:manualLayout>
          <c:xMode val="edge"/>
          <c:yMode val="edge"/>
          <c:x val="0.1085"/>
          <c:y val="0.920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Construction Cost for Clearwell Below Ground Storage
</a:t>
            </a:r>
          </a:p>
        </c:rich>
      </c:tx>
      <c:layout>
        <c:manualLayout>
          <c:xMode val="factor"/>
          <c:yMode val="factor"/>
          <c:x val="0.05975"/>
          <c:y val="-0.0215"/>
        </c:manualLayout>
      </c:layout>
      <c:spPr>
        <a:noFill/>
        <a:ln>
          <a:noFill/>
        </a:ln>
      </c:spPr>
    </c:title>
    <c:plotArea>
      <c:layout>
        <c:manualLayout>
          <c:xMode val="edge"/>
          <c:yMode val="edge"/>
          <c:x val="0.0635"/>
          <c:y val="0.13175"/>
          <c:w val="0.9365"/>
          <c:h val="0.6725"/>
        </c:manualLayout>
      </c:layout>
      <c:scatterChart>
        <c:scatterStyle val="lineMarker"/>
        <c:varyColors val="0"/>
        <c:ser>
          <c:idx val="0"/>
          <c:order val="0"/>
          <c:tx>
            <c:strRef>
              <c:f>'{v}Clearwell'!$M$10</c:f>
              <c:strCache>
                <c:ptCount val="1"/>
                <c:pt idx="0">
                  <c:v>Below Ground CC</c:v>
                </c:pt>
              </c:strCache>
            </c:strRef>
          </c:tx>
          <c:extLst>
            <c:ext xmlns:c14="http://schemas.microsoft.com/office/drawing/2007/8/2/chart" uri="{6F2FDCE9-48DA-4B69-8628-5D25D57E5C99}">
              <c14:invertSolidFillFmt>
                <c14:spPr>
                  <a:solidFill>
                    <a:srgbClr val="000000"/>
                  </a:solidFill>
                </c14:spPr>
              </c14:invertSolidFillFmt>
            </c:ext>
          </c:extLst>
          <c:xVal>
            <c:numRef>
              <c:f>'{v}Clearwell'!$L$11:$L$26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'{v}Clearwell'!$M$11:$M$26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ser>
        <c:axId val="33738276"/>
        <c:axId val="35209029"/>
      </c:scatterChart>
      <c:valAx>
        <c:axId val="33738276"/>
        <c:scaling>
          <c:orientation val="minMax"/>
          <c:max val="1200"/>
        </c:scaling>
        <c:axPos val="b"/>
        <c:title>
          <c:tx>
            <c:rich>
              <a:bodyPr vert="horz" rot="0" anchor="ctr"/>
              <a:lstStyle/>
              <a:p>
                <a:pPr algn="ctr">
                  <a:defRPr/>
                </a:pPr>
                <a:r>
                  <a:rPr lang="en-US" cap="none" sz="800" b="1" i="0" u="none" baseline="0"/>
                  <a:t>Capacity (m</a:t>
                </a:r>
                <a:r>
                  <a:rPr lang="en-US" cap="none" sz="800" b="1" i="0" u="none" baseline="30000"/>
                  <a:t>3</a:t>
                </a:r>
                <a:r>
                  <a:rPr lang="en-US" cap="none" sz="800" b="1" i="0" u="none" baseline="0"/>
                  <a:t>)</a:t>
                </a:r>
              </a:p>
            </c:rich>
          </c:tx>
          <c:layout>
            <c:manualLayout>
              <c:xMode val="factor"/>
              <c:yMode val="factor"/>
              <c:x val="0.0065"/>
              <c:y val="-0.00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pPr>
          </a:p>
        </c:txPr>
        <c:crossAx val="35209029"/>
        <c:crosses val="autoZero"/>
        <c:crossBetween val="midCat"/>
        <c:dispUnits/>
      </c:valAx>
      <c:valAx>
        <c:axId val="35209029"/>
        <c:scaling>
          <c:orientation val="minMax"/>
        </c:scaling>
        <c:axPos val="l"/>
        <c:title>
          <c:tx>
            <c:rich>
              <a:bodyPr vert="horz" rot="-5400000" anchor="ctr"/>
              <a:lstStyle/>
              <a:p>
                <a:pPr algn="ctr">
                  <a:defRPr/>
                </a:pPr>
                <a:r>
                  <a:rPr lang="en-US" cap="none" sz="800" b="1" i="0" u="none" baseline="0"/>
                  <a:t>Construction Cost (1999 in $1000)</a:t>
                </a:r>
              </a:p>
            </c:rich>
          </c:tx>
          <c:layout>
            <c:manualLayout>
              <c:xMode val="factor"/>
              <c:yMode val="factor"/>
              <c:x val="-0.02975"/>
              <c:y val="0"/>
            </c:manualLayout>
          </c:layout>
          <c:overlay val="0"/>
          <c:spPr>
            <a:noFill/>
            <a:ln>
              <a:noFill/>
            </a:ln>
          </c:spPr>
        </c:title>
        <c:delete val="0"/>
        <c:numFmt formatCode="#,##0;-#,##0" sourceLinked="0"/>
        <c:majorTickMark val="out"/>
        <c:minorTickMark val="none"/>
        <c:tickLblPos val="nextTo"/>
        <c:txPr>
          <a:bodyPr/>
          <a:lstStyle/>
          <a:p>
            <a:pPr>
              <a:defRPr lang="en-US" cap="none" sz="800" b="0" i="0" u="none" baseline="0"/>
            </a:pPr>
          </a:p>
        </c:txPr>
        <c:crossAx val="33738276"/>
        <c:crosses val="autoZero"/>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6.emf" /><Relationship Id="rId3"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1828800</xdr:colOff>
      <xdr:row>0</xdr:row>
      <xdr:rowOff>152400</xdr:rowOff>
    </xdr:from>
    <xdr:to>
      <xdr:col>0</xdr:col>
      <xdr:colOff>3438525</xdr:colOff>
      <xdr:row>0</xdr:row>
      <xdr:rowOff>876300</xdr:rowOff>
    </xdr:to>
    <xdr:pic>
      <xdr:nvPicPr>
        <xdr:cNvPr id="1" name="Picture 3"/>
        <xdr:cNvPicPr preferRelativeResize="1">
          <a:picLocks noChangeAspect="1"/>
        </xdr:cNvPicPr>
      </xdr:nvPicPr>
      <xdr:blipFill>
        <a:blip r:embed="rId1"/>
        <a:stretch>
          <a:fillRect/>
        </a:stretch>
      </xdr:blipFill>
      <xdr:spPr>
        <a:xfrm>
          <a:off x="1828800" y="152400"/>
          <a:ext cx="1609725"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15</xdr:row>
      <xdr:rowOff>9525</xdr:rowOff>
    </xdr:from>
    <xdr:to>
      <xdr:col>13</xdr:col>
      <xdr:colOff>542925</xdr:colOff>
      <xdr:row>37</xdr:row>
      <xdr:rowOff>19050</xdr:rowOff>
    </xdr:to>
    <xdr:graphicFrame>
      <xdr:nvGraphicFramePr>
        <xdr:cNvPr id="1" name="Shape 31745"/>
        <xdr:cNvGraphicFramePr/>
      </xdr:nvGraphicFramePr>
      <xdr:xfrm>
        <a:off x="6029325" y="2600325"/>
        <a:ext cx="4524375" cy="3629025"/>
      </xdr:xfrm>
      <a:graphic>
        <a:graphicData uri="http://schemas.openxmlformats.org/drawingml/2006/chart">
          <c:chart xmlns:c="http://schemas.openxmlformats.org/drawingml/2006/chart" r:id="rId1"/>
        </a:graphicData>
      </a:graphic>
    </xdr:graphicFrame>
    <xdr:clientData/>
  </xdr:twoCellAnchor>
  <xdr:twoCellAnchor>
    <xdr:from>
      <xdr:col>4</xdr:col>
      <xdr:colOff>771525</xdr:colOff>
      <xdr:row>1</xdr:row>
      <xdr:rowOff>171450</xdr:rowOff>
    </xdr:from>
    <xdr:to>
      <xdr:col>9</xdr:col>
      <xdr:colOff>0</xdr:colOff>
      <xdr:row>14</xdr:row>
      <xdr:rowOff>123825</xdr:rowOff>
    </xdr:to>
    <xdr:sp>
      <xdr:nvSpPr>
        <xdr:cNvPr id="2" name="TextBox 12"/>
        <xdr:cNvSpPr txBox="1">
          <a:spLocks noChangeArrowheads="1"/>
        </xdr:cNvSpPr>
      </xdr:nvSpPr>
      <xdr:spPr>
        <a:xfrm>
          <a:off x="5086350" y="371475"/>
          <a:ext cx="2486025"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MS Sans Serif"/>
              <a:ea typeface="MS Sans Serif"/>
              <a:cs typeface="MS Sans Serif"/>
            </a:rPr>
            <a:t>What is purpose of graph?
Show dp or diameter as a function of the other
Used for predicting optimum pipe diameter.
Two equations, one simpler (Darcy-Wisebeck) given to calculate dP, depending on pipe diameter size.
The other eqn which is used to calculate dP is Hazen Williams with HDPE pipe, Cf = 145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32</xdr:row>
      <xdr:rowOff>0</xdr:rowOff>
    </xdr:from>
    <xdr:to>
      <xdr:col>16</xdr:col>
      <xdr:colOff>0</xdr:colOff>
      <xdr:row>43</xdr:row>
      <xdr:rowOff>76200</xdr:rowOff>
    </xdr:to>
    <xdr:graphicFrame>
      <xdr:nvGraphicFramePr>
        <xdr:cNvPr id="1" name="Shape 28673"/>
        <xdr:cNvGraphicFramePr/>
      </xdr:nvGraphicFramePr>
      <xdr:xfrm>
        <a:off x="10306050" y="5514975"/>
        <a:ext cx="3819525" cy="18573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247650</xdr:colOff>
      <xdr:row>5</xdr:row>
      <xdr:rowOff>9525</xdr:rowOff>
    </xdr:from>
    <xdr:to>
      <xdr:col>27</xdr:col>
      <xdr:colOff>333375</xdr:colOff>
      <xdr:row>26</xdr:row>
      <xdr:rowOff>152400</xdr:rowOff>
    </xdr:to>
    <xdr:graphicFrame>
      <xdr:nvGraphicFramePr>
        <xdr:cNvPr id="1" name="Shape 27650"/>
        <xdr:cNvGraphicFramePr/>
      </xdr:nvGraphicFramePr>
      <xdr:xfrm>
        <a:off x="14601825" y="952500"/>
        <a:ext cx="5572125" cy="3695700"/>
      </xdr:xfrm>
      <a:graphic>
        <a:graphicData uri="http://schemas.openxmlformats.org/drawingml/2006/chart">
          <c:chart xmlns:c="http://schemas.openxmlformats.org/drawingml/2006/chart" r:id="rId1"/>
        </a:graphicData>
      </a:graphic>
    </xdr:graphicFrame>
    <xdr:clientData/>
  </xdr:twoCellAnchor>
  <xdr:twoCellAnchor>
    <xdr:from>
      <xdr:col>13</xdr:col>
      <xdr:colOff>533400</xdr:colOff>
      <xdr:row>39</xdr:row>
      <xdr:rowOff>142875</xdr:rowOff>
    </xdr:from>
    <xdr:to>
      <xdr:col>24</xdr:col>
      <xdr:colOff>476250</xdr:colOff>
      <xdr:row>54</xdr:row>
      <xdr:rowOff>104775</xdr:rowOff>
    </xdr:to>
    <xdr:graphicFrame>
      <xdr:nvGraphicFramePr>
        <xdr:cNvPr id="2" name="Shape 27651"/>
        <xdr:cNvGraphicFramePr/>
      </xdr:nvGraphicFramePr>
      <xdr:xfrm>
        <a:off x="11839575" y="6924675"/>
        <a:ext cx="6648450" cy="27336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cdr:x>
      <cdr:y>0.0965</cdr:y>
    </cdr:from>
    <cdr:to>
      <cdr:x>0.4805</cdr:x>
      <cdr:y>0.139</cdr:y>
    </cdr:to>
    <cdr:sp>
      <cdr:nvSpPr>
        <cdr:cNvPr id="1" name="Shape 26625"/>
        <cdr:cNvSpPr>
          <a:spLocks/>
        </cdr:cNvSpPr>
      </cdr:nvSpPr>
      <cdr:spPr>
        <a:xfrm flipH="1">
          <a:off x="2667000" y="323850"/>
          <a:ext cx="323850" cy="142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0.3475</cdr:x>
      <cdr:y>0.244</cdr:y>
    </cdr:from>
    <cdr:to>
      <cdr:x>0.428</cdr:x>
      <cdr:y>0.27125</cdr:y>
    </cdr:to>
    <cdr:sp>
      <cdr:nvSpPr>
        <cdr:cNvPr id="2" name="Shape 26626"/>
        <cdr:cNvSpPr>
          <a:spLocks/>
        </cdr:cNvSpPr>
      </cdr:nvSpPr>
      <cdr:spPr>
        <a:xfrm flipH="1">
          <a:off x="2162175" y="819150"/>
          <a:ext cx="504825" cy="95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0.36225</cdr:x>
      <cdr:y>0.3665</cdr:y>
    </cdr:from>
    <cdr:to>
      <cdr:x>0.45175</cdr:x>
      <cdr:y>0.42375</cdr:y>
    </cdr:to>
    <cdr:sp>
      <cdr:nvSpPr>
        <cdr:cNvPr id="3" name="Shape 26627"/>
        <cdr:cNvSpPr>
          <a:spLocks/>
        </cdr:cNvSpPr>
      </cdr:nvSpPr>
      <cdr:spPr>
        <a:xfrm>
          <a:off x="2257425" y="1238250"/>
          <a:ext cx="561975"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0.24675</cdr:x>
      <cdr:y>0.68075</cdr:y>
    </cdr:from>
    <cdr:to>
      <cdr:x>0.2725</cdr:x>
      <cdr:y>0.74525</cdr:y>
    </cdr:to>
    <cdr:sp>
      <cdr:nvSpPr>
        <cdr:cNvPr id="4" name="Shape 26628"/>
        <cdr:cNvSpPr>
          <a:spLocks/>
        </cdr:cNvSpPr>
      </cdr:nvSpPr>
      <cdr:spPr>
        <a:xfrm flipH="1">
          <a:off x="1533525" y="2295525"/>
          <a:ext cx="161925"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4</xdr:row>
      <xdr:rowOff>19050</xdr:rowOff>
    </xdr:from>
    <xdr:to>
      <xdr:col>17</xdr:col>
      <xdr:colOff>171450</xdr:colOff>
      <xdr:row>25</xdr:row>
      <xdr:rowOff>76200</xdr:rowOff>
    </xdr:to>
    <xdr:graphicFrame>
      <xdr:nvGraphicFramePr>
        <xdr:cNvPr id="1" name="Shape 24577"/>
        <xdr:cNvGraphicFramePr/>
      </xdr:nvGraphicFramePr>
      <xdr:xfrm>
        <a:off x="7067550" y="781050"/>
        <a:ext cx="5334000" cy="3495675"/>
      </xdr:xfrm>
      <a:graphic>
        <a:graphicData uri="http://schemas.openxmlformats.org/drawingml/2006/chart">
          <c:chart xmlns:c="http://schemas.openxmlformats.org/drawingml/2006/chart" r:id="rId1"/>
        </a:graphicData>
      </a:graphic>
    </xdr:graphicFrame>
    <xdr:clientData/>
  </xdr:twoCellAnchor>
  <xdr:twoCellAnchor>
    <xdr:from>
      <xdr:col>6</xdr:col>
      <xdr:colOff>228600</xdr:colOff>
      <xdr:row>28</xdr:row>
      <xdr:rowOff>19050</xdr:rowOff>
    </xdr:from>
    <xdr:to>
      <xdr:col>16</xdr:col>
      <xdr:colOff>381000</xdr:colOff>
      <xdr:row>49</xdr:row>
      <xdr:rowOff>0</xdr:rowOff>
    </xdr:to>
    <xdr:graphicFrame>
      <xdr:nvGraphicFramePr>
        <xdr:cNvPr id="2" name="Shape 24578"/>
        <xdr:cNvGraphicFramePr/>
      </xdr:nvGraphicFramePr>
      <xdr:xfrm>
        <a:off x="5753100" y="4724400"/>
        <a:ext cx="6248400" cy="3381375"/>
      </xdr:xfrm>
      <a:graphic>
        <a:graphicData uri="http://schemas.openxmlformats.org/drawingml/2006/chart">
          <c:chart xmlns:c="http://schemas.openxmlformats.org/drawingml/2006/chart" r:id="rId2"/>
        </a:graphicData>
      </a:graphic>
    </xdr:graphicFrame>
    <xdr:clientData/>
  </xdr:twoCellAnchor>
  <xdr:twoCellAnchor>
    <xdr:from>
      <xdr:col>18</xdr:col>
      <xdr:colOff>333375</xdr:colOff>
      <xdr:row>18</xdr:row>
      <xdr:rowOff>57150</xdr:rowOff>
    </xdr:from>
    <xdr:to>
      <xdr:col>25</xdr:col>
      <xdr:colOff>19050</xdr:colOff>
      <xdr:row>33</xdr:row>
      <xdr:rowOff>28575</xdr:rowOff>
    </xdr:to>
    <xdr:graphicFrame>
      <xdr:nvGraphicFramePr>
        <xdr:cNvPr id="3" name="Shape 24583"/>
        <xdr:cNvGraphicFramePr/>
      </xdr:nvGraphicFramePr>
      <xdr:xfrm>
        <a:off x="13173075" y="3124200"/>
        <a:ext cx="3952875" cy="2419350"/>
      </xdr:xfrm>
      <a:graphic>
        <a:graphicData uri="http://schemas.openxmlformats.org/drawingml/2006/chart">
          <c:chart xmlns:c="http://schemas.openxmlformats.org/drawingml/2006/chart" r:id="rId3"/>
        </a:graphicData>
      </a:graphic>
    </xdr:graphicFrame>
    <xdr:clientData/>
  </xdr:twoCellAnchor>
  <xdr:twoCellAnchor>
    <xdr:from>
      <xdr:col>27</xdr:col>
      <xdr:colOff>95250</xdr:colOff>
      <xdr:row>8</xdr:row>
      <xdr:rowOff>95250</xdr:rowOff>
    </xdr:from>
    <xdr:to>
      <xdr:col>33</xdr:col>
      <xdr:colOff>38100</xdr:colOff>
      <xdr:row>24</xdr:row>
      <xdr:rowOff>47625</xdr:rowOff>
    </xdr:to>
    <xdr:graphicFrame>
      <xdr:nvGraphicFramePr>
        <xdr:cNvPr id="4" name="Shape 24585"/>
        <xdr:cNvGraphicFramePr/>
      </xdr:nvGraphicFramePr>
      <xdr:xfrm>
        <a:off x="18840450" y="1543050"/>
        <a:ext cx="3600450" cy="25431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31</xdr:row>
      <xdr:rowOff>95250</xdr:rowOff>
    </xdr:from>
    <xdr:to>
      <xdr:col>1</xdr:col>
      <xdr:colOff>400050</xdr:colOff>
      <xdr:row>33</xdr:row>
      <xdr:rowOff>85725</xdr:rowOff>
    </xdr:to>
    <xdr:sp>
      <xdr:nvSpPr>
        <xdr:cNvPr id="1" name="TextBox 2"/>
        <xdr:cNvSpPr txBox="1">
          <a:spLocks noChangeArrowheads="1"/>
        </xdr:cNvSpPr>
      </xdr:nvSpPr>
      <xdr:spPr>
        <a:xfrm>
          <a:off x="114300" y="5153025"/>
          <a:ext cx="895350" cy="314325"/>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Intake Pipe</a:t>
          </a:r>
        </a:p>
      </xdr:txBody>
    </xdr:sp>
    <xdr:clientData/>
  </xdr:twoCellAnchor>
  <xdr:twoCellAnchor>
    <xdr:from>
      <xdr:col>8</xdr:col>
      <xdr:colOff>76200</xdr:colOff>
      <xdr:row>19</xdr:row>
      <xdr:rowOff>133350</xdr:rowOff>
    </xdr:from>
    <xdr:to>
      <xdr:col>10</xdr:col>
      <xdr:colOff>28575</xdr:colOff>
      <xdr:row>21</xdr:row>
      <xdr:rowOff>104775</xdr:rowOff>
    </xdr:to>
    <xdr:sp>
      <xdr:nvSpPr>
        <xdr:cNvPr id="2" name="TextBox 3"/>
        <xdr:cNvSpPr txBox="1">
          <a:spLocks noChangeArrowheads="1"/>
        </xdr:cNvSpPr>
      </xdr:nvSpPr>
      <xdr:spPr>
        <a:xfrm>
          <a:off x="4953000" y="3248025"/>
          <a:ext cx="1171575" cy="295275"/>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Rapid Mix Tank</a:t>
          </a:r>
        </a:p>
      </xdr:txBody>
    </xdr:sp>
    <xdr:clientData/>
  </xdr:twoCellAnchor>
  <xdr:twoCellAnchor>
    <xdr:from>
      <xdr:col>10</xdr:col>
      <xdr:colOff>571500</xdr:colOff>
      <xdr:row>19</xdr:row>
      <xdr:rowOff>152400</xdr:rowOff>
    </xdr:from>
    <xdr:to>
      <xdr:col>12</xdr:col>
      <xdr:colOff>257175</xdr:colOff>
      <xdr:row>21</xdr:row>
      <xdr:rowOff>95250</xdr:rowOff>
    </xdr:to>
    <xdr:sp>
      <xdr:nvSpPr>
        <xdr:cNvPr id="3" name="TextBox 4"/>
        <xdr:cNvSpPr txBox="1">
          <a:spLocks noChangeArrowheads="1"/>
        </xdr:cNvSpPr>
      </xdr:nvSpPr>
      <xdr:spPr>
        <a:xfrm>
          <a:off x="6667500" y="3267075"/>
          <a:ext cx="904875" cy="266700"/>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UFSCC</a:t>
          </a:r>
        </a:p>
      </xdr:txBody>
    </xdr:sp>
    <xdr:clientData/>
  </xdr:twoCellAnchor>
  <xdr:twoCellAnchor>
    <xdr:from>
      <xdr:col>13</xdr:col>
      <xdr:colOff>19050</xdr:colOff>
      <xdr:row>19</xdr:row>
      <xdr:rowOff>133350</xdr:rowOff>
    </xdr:from>
    <xdr:to>
      <xdr:col>14</xdr:col>
      <xdr:colOff>390525</xdr:colOff>
      <xdr:row>21</xdr:row>
      <xdr:rowOff>95250</xdr:rowOff>
    </xdr:to>
    <xdr:sp>
      <xdr:nvSpPr>
        <xdr:cNvPr id="4" name="TextBox 5"/>
        <xdr:cNvSpPr txBox="1">
          <a:spLocks noChangeArrowheads="1"/>
        </xdr:cNvSpPr>
      </xdr:nvSpPr>
      <xdr:spPr>
        <a:xfrm>
          <a:off x="7943850" y="3248025"/>
          <a:ext cx="981075" cy="285750"/>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Gravity Filter</a:t>
          </a:r>
        </a:p>
      </xdr:txBody>
    </xdr:sp>
    <xdr:clientData/>
  </xdr:twoCellAnchor>
  <xdr:twoCellAnchor>
    <xdr:from>
      <xdr:col>13</xdr:col>
      <xdr:colOff>57150</xdr:colOff>
      <xdr:row>10</xdr:row>
      <xdr:rowOff>95250</xdr:rowOff>
    </xdr:from>
    <xdr:to>
      <xdr:col>14</xdr:col>
      <xdr:colOff>400050</xdr:colOff>
      <xdr:row>12</xdr:row>
      <xdr:rowOff>76200</xdr:rowOff>
    </xdr:to>
    <xdr:sp>
      <xdr:nvSpPr>
        <xdr:cNvPr id="5" name="TextBox 6"/>
        <xdr:cNvSpPr txBox="1">
          <a:spLocks noChangeArrowheads="1"/>
        </xdr:cNvSpPr>
      </xdr:nvSpPr>
      <xdr:spPr>
        <a:xfrm>
          <a:off x="7981950" y="1752600"/>
          <a:ext cx="952500" cy="304800"/>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MF</a:t>
          </a:r>
        </a:p>
      </xdr:txBody>
    </xdr:sp>
    <xdr:clientData/>
  </xdr:twoCellAnchor>
  <xdr:twoCellAnchor>
    <xdr:from>
      <xdr:col>13</xdr:col>
      <xdr:colOff>38100</xdr:colOff>
      <xdr:row>15</xdr:row>
      <xdr:rowOff>19050</xdr:rowOff>
    </xdr:from>
    <xdr:to>
      <xdr:col>14</xdr:col>
      <xdr:colOff>400050</xdr:colOff>
      <xdr:row>16</xdr:row>
      <xdr:rowOff>123825</xdr:rowOff>
    </xdr:to>
    <xdr:sp>
      <xdr:nvSpPr>
        <xdr:cNvPr id="6" name="TextBox 7"/>
        <xdr:cNvSpPr txBox="1">
          <a:spLocks noChangeArrowheads="1"/>
        </xdr:cNvSpPr>
      </xdr:nvSpPr>
      <xdr:spPr>
        <a:xfrm>
          <a:off x="7962900" y="2486025"/>
          <a:ext cx="971550" cy="266700"/>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UF</a:t>
          </a:r>
        </a:p>
      </xdr:txBody>
    </xdr:sp>
    <xdr:clientData/>
  </xdr:twoCellAnchor>
  <xdr:twoCellAnchor>
    <xdr:from>
      <xdr:col>22</xdr:col>
      <xdr:colOff>457200</xdr:colOff>
      <xdr:row>12</xdr:row>
      <xdr:rowOff>133350</xdr:rowOff>
    </xdr:from>
    <xdr:to>
      <xdr:col>24</xdr:col>
      <xdr:colOff>85725</xdr:colOff>
      <xdr:row>14</xdr:row>
      <xdr:rowOff>95250</xdr:rowOff>
    </xdr:to>
    <xdr:sp>
      <xdr:nvSpPr>
        <xdr:cNvPr id="7" name="TextBox 8"/>
        <xdr:cNvSpPr txBox="1">
          <a:spLocks noChangeArrowheads="1"/>
        </xdr:cNvSpPr>
      </xdr:nvSpPr>
      <xdr:spPr>
        <a:xfrm>
          <a:off x="13868400" y="2114550"/>
          <a:ext cx="847725" cy="285750"/>
        </a:xfrm>
        <a:prstGeom prst="rect">
          <a:avLst/>
        </a:prstGeom>
        <a:solidFill>
          <a:srgbClr val="FFFFFF"/>
        </a:solidFill>
        <a:ln w="25400" cmpd="sng">
          <a:solidFill>
            <a:srgbClr val="008000"/>
          </a:solidFill>
          <a:headEnd type="none"/>
          <a:tailEnd type="none"/>
        </a:ln>
      </xdr:spPr>
      <xdr:txBody>
        <a:bodyPr vertOverflow="clip" wrap="square"/>
        <a:p>
          <a:pPr algn="l">
            <a:defRPr/>
          </a:pPr>
          <a:r>
            <a:rPr lang="en-US" cap="none" sz="1000" b="1" i="0" u="none" baseline="0">
              <a:latin typeface="MS Sans Serif"/>
              <a:ea typeface="MS Sans Serif"/>
              <a:cs typeface="MS Sans Serif"/>
            </a:rPr>
            <a:t>NF/RO</a:t>
          </a:r>
        </a:p>
      </xdr:txBody>
    </xdr:sp>
    <xdr:clientData/>
  </xdr:twoCellAnchor>
  <xdr:twoCellAnchor>
    <xdr:from>
      <xdr:col>0</xdr:col>
      <xdr:colOff>114300</xdr:colOff>
      <xdr:row>34</xdr:row>
      <xdr:rowOff>66675</xdr:rowOff>
    </xdr:from>
    <xdr:to>
      <xdr:col>2</xdr:col>
      <xdr:colOff>85725</xdr:colOff>
      <xdr:row>34</xdr:row>
      <xdr:rowOff>66675</xdr:rowOff>
    </xdr:to>
    <xdr:sp>
      <xdr:nvSpPr>
        <xdr:cNvPr id="8" name="Line 1"/>
        <xdr:cNvSpPr>
          <a:spLocks/>
        </xdr:cNvSpPr>
      </xdr:nvSpPr>
      <xdr:spPr>
        <a:xfrm>
          <a:off x="114300" y="5610225"/>
          <a:ext cx="11906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22</xdr:col>
      <xdr:colOff>447675</xdr:colOff>
      <xdr:row>17</xdr:row>
      <xdr:rowOff>76200</xdr:rowOff>
    </xdr:from>
    <xdr:to>
      <xdr:col>24</xdr:col>
      <xdr:colOff>85725</xdr:colOff>
      <xdr:row>19</xdr:row>
      <xdr:rowOff>38100</xdr:rowOff>
    </xdr:to>
    <xdr:sp>
      <xdr:nvSpPr>
        <xdr:cNvPr id="9" name="TextBox 9"/>
        <xdr:cNvSpPr txBox="1">
          <a:spLocks noChangeArrowheads="1"/>
        </xdr:cNvSpPr>
      </xdr:nvSpPr>
      <xdr:spPr>
        <a:xfrm>
          <a:off x="13858875" y="2867025"/>
          <a:ext cx="857250" cy="285750"/>
        </a:xfrm>
        <a:prstGeom prst="rect">
          <a:avLst/>
        </a:prstGeom>
        <a:solidFill>
          <a:srgbClr val="FFFFFF"/>
        </a:solidFill>
        <a:ln w="25400" cmpd="sng">
          <a:solidFill>
            <a:srgbClr val="008000"/>
          </a:solidFill>
          <a:headEnd type="none"/>
          <a:tailEnd type="none"/>
        </a:ln>
      </xdr:spPr>
      <xdr:txBody>
        <a:bodyPr vertOverflow="clip" wrap="square"/>
        <a:p>
          <a:pPr algn="l">
            <a:defRPr/>
          </a:pPr>
          <a:r>
            <a:rPr lang="en-US" cap="none" sz="1000" b="1" i="0" u="none" baseline="0">
              <a:latin typeface="MS Sans Serif"/>
              <a:ea typeface="MS Sans Serif"/>
              <a:cs typeface="MS Sans Serif"/>
            </a:rPr>
            <a:t>ED</a:t>
          </a:r>
        </a:p>
      </xdr:txBody>
    </xdr:sp>
    <xdr:clientData/>
  </xdr:twoCellAnchor>
  <xdr:twoCellAnchor>
    <xdr:from>
      <xdr:col>22</xdr:col>
      <xdr:colOff>447675</xdr:colOff>
      <xdr:row>22</xdr:row>
      <xdr:rowOff>38100</xdr:rowOff>
    </xdr:from>
    <xdr:to>
      <xdr:col>24</xdr:col>
      <xdr:colOff>66675</xdr:colOff>
      <xdr:row>23</xdr:row>
      <xdr:rowOff>133350</xdr:rowOff>
    </xdr:to>
    <xdr:sp>
      <xdr:nvSpPr>
        <xdr:cNvPr id="10" name="TextBox 10"/>
        <xdr:cNvSpPr txBox="1">
          <a:spLocks noChangeArrowheads="1"/>
        </xdr:cNvSpPr>
      </xdr:nvSpPr>
      <xdr:spPr>
        <a:xfrm>
          <a:off x="13858875" y="3638550"/>
          <a:ext cx="838200" cy="257175"/>
        </a:xfrm>
        <a:prstGeom prst="rect">
          <a:avLst/>
        </a:prstGeom>
        <a:solidFill>
          <a:srgbClr val="FFFFFF"/>
        </a:solidFill>
        <a:ln w="25400" cmpd="sng">
          <a:solidFill>
            <a:srgbClr val="008000"/>
          </a:solidFill>
          <a:headEnd type="none"/>
          <a:tailEnd type="none"/>
        </a:ln>
      </xdr:spPr>
      <xdr:txBody>
        <a:bodyPr vertOverflow="clip" wrap="square"/>
        <a:p>
          <a:pPr algn="l">
            <a:defRPr/>
          </a:pPr>
          <a:r>
            <a:rPr lang="en-US" cap="none" sz="1000" b="1" i="0" u="none" baseline="0">
              <a:latin typeface="MS Sans Serif"/>
              <a:ea typeface="MS Sans Serif"/>
              <a:cs typeface="MS Sans Serif"/>
            </a:rPr>
            <a:t>IX</a:t>
          </a:r>
        </a:p>
      </xdr:txBody>
    </xdr:sp>
    <xdr:clientData/>
  </xdr:twoCellAnchor>
  <xdr:twoCellAnchor>
    <xdr:from>
      <xdr:col>5</xdr:col>
      <xdr:colOff>47625</xdr:colOff>
      <xdr:row>16</xdr:row>
      <xdr:rowOff>28575</xdr:rowOff>
    </xdr:from>
    <xdr:to>
      <xdr:col>7</xdr:col>
      <xdr:colOff>209550</xdr:colOff>
      <xdr:row>16</xdr:row>
      <xdr:rowOff>28575</xdr:rowOff>
    </xdr:to>
    <xdr:sp>
      <xdr:nvSpPr>
        <xdr:cNvPr id="11" name="Line 11"/>
        <xdr:cNvSpPr>
          <a:spLocks/>
        </xdr:cNvSpPr>
      </xdr:nvSpPr>
      <xdr:spPr>
        <a:xfrm>
          <a:off x="3095625" y="2657475"/>
          <a:ext cx="13811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38100</xdr:colOff>
      <xdr:row>26</xdr:row>
      <xdr:rowOff>19050</xdr:rowOff>
    </xdr:from>
    <xdr:to>
      <xdr:col>10</xdr:col>
      <xdr:colOff>19050</xdr:colOff>
      <xdr:row>36</xdr:row>
      <xdr:rowOff>9525</xdr:rowOff>
    </xdr:to>
    <xdr:sp>
      <xdr:nvSpPr>
        <xdr:cNvPr id="12" name="TextBox 12"/>
        <xdr:cNvSpPr txBox="1">
          <a:spLocks noChangeArrowheads="1"/>
        </xdr:cNvSpPr>
      </xdr:nvSpPr>
      <xdr:spPr>
        <a:xfrm>
          <a:off x="4914900" y="4267200"/>
          <a:ext cx="1200150" cy="1609725"/>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sng" baseline="0">
              <a:latin typeface="MS Sans Serif"/>
              <a:ea typeface="MS Sans Serif"/>
              <a:cs typeface="MS Sans Serif"/>
            </a:rPr>
            <a:t>Coagulant</a:t>
          </a:r>
          <a:r>
            <a:rPr lang="en-US" cap="none" sz="1000" b="1" i="0" u="none" baseline="0">
              <a:latin typeface="MS Sans Serif"/>
              <a:ea typeface="MS Sans Serif"/>
              <a:cs typeface="MS Sans Serif"/>
            </a:rPr>
            <a:t>
-Ferric Chloride
-Ferric Sulfate
-Alum (dru)
-Alum (liquid)
</a:t>
          </a:r>
          <a:r>
            <a:rPr lang="en-US" cap="none" sz="1000" b="1" i="0" u="sng" baseline="0">
              <a:latin typeface="MS Sans Serif"/>
              <a:ea typeface="MS Sans Serif"/>
              <a:cs typeface="MS Sans Serif"/>
            </a:rPr>
            <a:t>Coagulant Aid</a:t>
          </a:r>
          <a:r>
            <a:rPr lang="en-US" cap="none" sz="1000" b="1" i="0" u="none" baseline="0">
              <a:latin typeface="MS Sans Serif"/>
              <a:ea typeface="MS Sans Serif"/>
              <a:cs typeface="MS Sans Serif"/>
            </a:rPr>
            <a:t>
-PolyElectrolyte
-PACl</a:t>
          </a:r>
        </a:p>
      </xdr:txBody>
    </xdr:sp>
    <xdr:clientData/>
  </xdr:twoCellAnchor>
  <xdr:twoCellAnchor>
    <xdr:from>
      <xdr:col>9</xdr:col>
      <xdr:colOff>9525</xdr:colOff>
      <xdr:row>22</xdr:row>
      <xdr:rowOff>0</xdr:rowOff>
    </xdr:from>
    <xdr:to>
      <xdr:col>9</xdr:col>
      <xdr:colOff>9525</xdr:colOff>
      <xdr:row>25</xdr:row>
      <xdr:rowOff>142875</xdr:rowOff>
    </xdr:to>
    <xdr:sp>
      <xdr:nvSpPr>
        <xdr:cNvPr id="13" name="Line 13"/>
        <xdr:cNvSpPr>
          <a:spLocks/>
        </xdr:cNvSpPr>
      </xdr:nvSpPr>
      <xdr:spPr>
        <a:xfrm flipV="1">
          <a:off x="5495925" y="3600450"/>
          <a:ext cx="0" cy="628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38100</xdr:colOff>
      <xdr:row>20</xdr:row>
      <xdr:rowOff>95250</xdr:rowOff>
    </xdr:from>
    <xdr:to>
      <xdr:col>10</xdr:col>
      <xdr:colOff>581025</xdr:colOff>
      <xdr:row>20</xdr:row>
      <xdr:rowOff>95250</xdr:rowOff>
    </xdr:to>
    <xdr:sp>
      <xdr:nvSpPr>
        <xdr:cNvPr id="14" name="Line 23"/>
        <xdr:cNvSpPr>
          <a:spLocks/>
        </xdr:cNvSpPr>
      </xdr:nvSpPr>
      <xdr:spPr>
        <a:xfrm>
          <a:off x="6134100" y="3371850"/>
          <a:ext cx="5429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12</xdr:col>
      <xdr:colOff>266700</xdr:colOff>
      <xdr:row>20</xdr:row>
      <xdr:rowOff>95250</xdr:rowOff>
    </xdr:from>
    <xdr:to>
      <xdr:col>12</xdr:col>
      <xdr:colOff>600075</xdr:colOff>
      <xdr:row>20</xdr:row>
      <xdr:rowOff>95250</xdr:rowOff>
    </xdr:to>
    <xdr:sp>
      <xdr:nvSpPr>
        <xdr:cNvPr id="15" name="Line 25"/>
        <xdr:cNvSpPr>
          <a:spLocks/>
        </xdr:cNvSpPr>
      </xdr:nvSpPr>
      <xdr:spPr>
        <a:xfrm>
          <a:off x="7581900" y="3371850"/>
          <a:ext cx="33337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7</xdr:col>
      <xdr:colOff>257175</xdr:colOff>
      <xdr:row>11</xdr:row>
      <xdr:rowOff>85725</xdr:rowOff>
    </xdr:from>
    <xdr:to>
      <xdr:col>13</xdr:col>
      <xdr:colOff>47625</xdr:colOff>
      <xdr:row>11</xdr:row>
      <xdr:rowOff>85725</xdr:rowOff>
    </xdr:to>
    <xdr:sp>
      <xdr:nvSpPr>
        <xdr:cNvPr id="16" name="Line 26"/>
        <xdr:cNvSpPr>
          <a:spLocks/>
        </xdr:cNvSpPr>
      </xdr:nvSpPr>
      <xdr:spPr>
        <a:xfrm flipV="1">
          <a:off x="4524375" y="1905000"/>
          <a:ext cx="34480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371475</xdr:colOff>
      <xdr:row>20</xdr:row>
      <xdr:rowOff>76200</xdr:rowOff>
    </xdr:from>
    <xdr:to>
      <xdr:col>15</xdr:col>
      <xdr:colOff>95250</xdr:colOff>
      <xdr:row>20</xdr:row>
      <xdr:rowOff>76200</xdr:rowOff>
    </xdr:to>
    <xdr:sp>
      <xdr:nvSpPr>
        <xdr:cNvPr id="17" name="Line 27"/>
        <xdr:cNvSpPr>
          <a:spLocks/>
        </xdr:cNvSpPr>
      </xdr:nvSpPr>
      <xdr:spPr>
        <a:xfrm flipV="1">
          <a:off x="8905875" y="3352800"/>
          <a:ext cx="33337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7</xdr:col>
      <xdr:colOff>228600</xdr:colOff>
      <xdr:row>16</xdr:row>
      <xdr:rowOff>47625</xdr:rowOff>
    </xdr:from>
    <xdr:to>
      <xdr:col>13</xdr:col>
      <xdr:colOff>9525</xdr:colOff>
      <xdr:row>16</xdr:row>
      <xdr:rowOff>66675</xdr:rowOff>
    </xdr:to>
    <xdr:sp>
      <xdr:nvSpPr>
        <xdr:cNvPr id="18" name="Line 28"/>
        <xdr:cNvSpPr>
          <a:spLocks/>
        </xdr:cNvSpPr>
      </xdr:nvSpPr>
      <xdr:spPr>
        <a:xfrm flipV="1">
          <a:off x="4495800" y="2676525"/>
          <a:ext cx="3438525" cy="190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19</xdr:col>
      <xdr:colOff>257175</xdr:colOff>
      <xdr:row>18</xdr:row>
      <xdr:rowOff>19050</xdr:rowOff>
    </xdr:from>
    <xdr:to>
      <xdr:col>22</xdr:col>
      <xdr:colOff>428625</xdr:colOff>
      <xdr:row>18</xdr:row>
      <xdr:rowOff>19050</xdr:rowOff>
    </xdr:to>
    <xdr:sp>
      <xdr:nvSpPr>
        <xdr:cNvPr id="19" name="Line 30"/>
        <xdr:cNvSpPr>
          <a:spLocks/>
        </xdr:cNvSpPr>
      </xdr:nvSpPr>
      <xdr:spPr>
        <a:xfrm>
          <a:off x="11839575" y="2971800"/>
          <a:ext cx="20002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24</xdr:col>
      <xdr:colOff>85725</xdr:colOff>
      <xdr:row>13</xdr:row>
      <xdr:rowOff>47625</xdr:rowOff>
    </xdr:from>
    <xdr:to>
      <xdr:col>25</xdr:col>
      <xdr:colOff>438150</xdr:colOff>
      <xdr:row>13</xdr:row>
      <xdr:rowOff>47625</xdr:rowOff>
    </xdr:to>
    <xdr:sp>
      <xdr:nvSpPr>
        <xdr:cNvPr id="20" name="Line 31"/>
        <xdr:cNvSpPr>
          <a:spLocks/>
        </xdr:cNvSpPr>
      </xdr:nvSpPr>
      <xdr:spPr>
        <a:xfrm flipV="1">
          <a:off x="14716125" y="2190750"/>
          <a:ext cx="9620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19</xdr:col>
      <xdr:colOff>228600</xdr:colOff>
      <xdr:row>13</xdr:row>
      <xdr:rowOff>47625</xdr:rowOff>
    </xdr:from>
    <xdr:to>
      <xdr:col>22</xdr:col>
      <xdr:colOff>447675</xdr:colOff>
      <xdr:row>13</xdr:row>
      <xdr:rowOff>47625</xdr:rowOff>
    </xdr:to>
    <xdr:sp>
      <xdr:nvSpPr>
        <xdr:cNvPr id="21" name="Line 32"/>
        <xdr:cNvSpPr>
          <a:spLocks/>
        </xdr:cNvSpPr>
      </xdr:nvSpPr>
      <xdr:spPr>
        <a:xfrm>
          <a:off x="11811000" y="2190750"/>
          <a:ext cx="204787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400050</xdr:colOff>
      <xdr:row>15</xdr:row>
      <xdr:rowOff>133350</xdr:rowOff>
    </xdr:from>
    <xdr:to>
      <xdr:col>15</xdr:col>
      <xdr:colOff>76200</xdr:colOff>
      <xdr:row>15</xdr:row>
      <xdr:rowOff>142875</xdr:rowOff>
    </xdr:to>
    <xdr:sp>
      <xdr:nvSpPr>
        <xdr:cNvPr id="22" name="Line 33"/>
        <xdr:cNvSpPr>
          <a:spLocks/>
        </xdr:cNvSpPr>
      </xdr:nvSpPr>
      <xdr:spPr>
        <a:xfrm>
          <a:off x="8934450" y="2600325"/>
          <a:ext cx="285750" cy="9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390525</xdr:colOff>
      <xdr:row>11</xdr:row>
      <xdr:rowOff>57150</xdr:rowOff>
    </xdr:from>
    <xdr:to>
      <xdr:col>15</xdr:col>
      <xdr:colOff>104775</xdr:colOff>
      <xdr:row>11</xdr:row>
      <xdr:rowOff>57150</xdr:rowOff>
    </xdr:to>
    <xdr:sp>
      <xdr:nvSpPr>
        <xdr:cNvPr id="23" name="Line 34"/>
        <xdr:cNvSpPr>
          <a:spLocks/>
        </xdr:cNvSpPr>
      </xdr:nvSpPr>
      <xdr:spPr>
        <a:xfrm>
          <a:off x="8924925" y="1876425"/>
          <a:ext cx="3238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13</xdr:col>
      <xdr:colOff>533400</xdr:colOff>
      <xdr:row>7</xdr:row>
      <xdr:rowOff>9525</xdr:rowOff>
    </xdr:from>
    <xdr:to>
      <xdr:col>13</xdr:col>
      <xdr:colOff>533400</xdr:colOff>
      <xdr:row>10</xdr:row>
      <xdr:rowOff>66675</xdr:rowOff>
    </xdr:to>
    <xdr:sp>
      <xdr:nvSpPr>
        <xdr:cNvPr id="24" name="Line 36"/>
        <xdr:cNvSpPr>
          <a:spLocks/>
        </xdr:cNvSpPr>
      </xdr:nvSpPr>
      <xdr:spPr>
        <a:xfrm flipV="1">
          <a:off x="8458200" y="1181100"/>
          <a:ext cx="0" cy="542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19</xdr:col>
      <xdr:colOff>238125</xdr:colOff>
      <xdr:row>22</xdr:row>
      <xdr:rowOff>142875</xdr:rowOff>
    </xdr:from>
    <xdr:to>
      <xdr:col>22</xdr:col>
      <xdr:colOff>438150</xdr:colOff>
      <xdr:row>22</xdr:row>
      <xdr:rowOff>152400</xdr:rowOff>
    </xdr:to>
    <xdr:sp>
      <xdr:nvSpPr>
        <xdr:cNvPr id="25" name="Line 37"/>
        <xdr:cNvSpPr>
          <a:spLocks/>
        </xdr:cNvSpPr>
      </xdr:nvSpPr>
      <xdr:spPr>
        <a:xfrm>
          <a:off x="11820525" y="3743325"/>
          <a:ext cx="2028825" cy="9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12</xdr:col>
      <xdr:colOff>495300</xdr:colOff>
      <xdr:row>4</xdr:row>
      <xdr:rowOff>85725</xdr:rowOff>
    </xdr:from>
    <xdr:to>
      <xdr:col>15</xdr:col>
      <xdr:colOff>0</xdr:colOff>
      <xdr:row>7</xdr:row>
      <xdr:rowOff>9525</xdr:rowOff>
    </xdr:to>
    <xdr:sp>
      <xdr:nvSpPr>
        <xdr:cNvPr id="26" name="TextBox 38"/>
        <xdr:cNvSpPr txBox="1">
          <a:spLocks noChangeArrowheads="1"/>
        </xdr:cNvSpPr>
      </xdr:nvSpPr>
      <xdr:spPr>
        <a:xfrm>
          <a:off x="7810500" y="771525"/>
          <a:ext cx="1333500" cy="409575"/>
        </a:xfrm>
        <a:prstGeom prst="rect">
          <a:avLst/>
        </a:prstGeom>
        <a:solidFill>
          <a:srgbClr val="CC99FF"/>
        </a:solidFill>
        <a:ln w="25400" cmpd="sng">
          <a:solidFill>
            <a:srgbClr val="000000"/>
          </a:solidFill>
          <a:headEnd type="none"/>
          <a:tailEnd type="none"/>
        </a:ln>
      </xdr:spPr>
      <xdr:txBody>
        <a:bodyPr vertOverflow="clip" wrap="square"/>
        <a:p>
          <a:pPr algn="ctr">
            <a:defRPr/>
          </a:pPr>
          <a:r>
            <a:rPr lang="en-US" cap="none" sz="1000" b="1" i="0" u="none" baseline="0">
              <a:latin typeface="MS Sans Serif"/>
              <a:ea typeface="MS Sans Serif"/>
              <a:cs typeface="MS Sans Serif"/>
            </a:rPr>
            <a:t>Concentrate Outfall</a:t>
          </a:r>
        </a:p>
      </xdr:txBody>
    </xdr:sp>
    <xdr:clientData/>
  </xdr:twoCellAnchor>
  <xdr:twoCellAnchor>
    <xdr:from>
      <xdr:col>23</xdr:col>
      <xdr:colOff>581025</xdr:colOff>
      <xdr:row>7</xdr:row>
      <xdr:rowOff>66675</xdr:rowOff>
    </xdr:from>
    <xdr:to>
      <xdr:col>23</xdr:col>
      <xdr:colOff>590550</xdr:colOff>
      <xdr:row>12</xdr:row>
      <xdr:rowOff>114300</xdr:rowOff>
    </xdr:to>
    <xdr:sp>
      <xdr:nvSpPr>
        <xdr:cNvPr id="27" name="Line 39"/>
        <xdr:cNvSpPr>
          <a:spLocks/>
        </xdr:cNvSpPr>
      </xdr:nvSpPr>
      <xdr:spPr>
        <a:xfrm flipV="1">
          <a:off x="14601825" y="1238250"/>
          <a:ext cx="9525" cy="8572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23</xdr:col>
      <xdr:colOff>314325</xdr:colOff>
      <xdr:row>4</xdr:row>
      <xdr:rowOff>19050</xdr:rowOff>
    </xdr:from>
    <xdr:to>
      <xdr:col>26</xdr:col>
      <xdr:colOff>28575</xdr:colOff>
      <xdr:row>7</xdr:row>
      <xdr:rowOff>66675</xdr:rowOff>
    </xdr:to>
    <xdr:sp>
      <xdr:nvSpPr>
        <xdr:cNvPr id="28" name="TextBox 40"/>
        <xdr:cNvSpPr txBox="1">
          <a:spLocks noChangeArrowheads="1"/>
        </xdr:cNvSpPr>
      </xdr:nvSpPr>
      <xdr:spPr>
        <a:xfrm>
          <a:off x="14335125" y="704850"/>
          <a:ext cx="1543050" cy="533400"/>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sng" baseline="0">
              <a:latin typeface="MS Sans Serif"/>
              <a:ea typeface="MS Sans Serif"/>
              <a:cs typeface="MS Sans Serif"/>
            </a:rPr>
            <a:t>Concentrate Disposal</a:t>
          </a:r>
          <a:r>
            <a:rPr lang="en-US" cap="none" sz="1000" b="1" i="0" u="none" baseline="0">
              <a:latin typeface="MS Sans Serif"/>
              <a:ea typeface="MS Sans Serif"/>
              <a:cs typeface="MS Sans Serif"/>
            </a:rPr>
            <a:t>
- Outfall
- Evap. Ponds
</a:t>
          </a:r>
        </a:p>
      </xdr:txBody>
    </xdr:sp>
    <xdr:clientData/>
  </xdr:twoCellAnchor>
  <xdr:twoCellAnchor>
    <xdr:from>
      <xdr:col>24</xdr:col>
      <xdr:colOff>114300</xdr:colOff>
      <xdr:row>18</xdr:row>
      <xdr:rowOff>28575</xdr:rowOff>
    </xdr:from>
    <xdr:to>
      <xdr:col>25</xdr:col>
      <xdr:colOff>476250</xdr:colOff>
      <xdr:row>18</xdr:row>
      <xdr:rowOff>28575</xdr:rowOff>
    </xdr:to>
    <xdr:sp>
      <xdr:nvSpPr>
        <xdr:cNvPr id="29" name="Line 46"/>
        <xdr:cNvSpPr>
          <a:spLocks/>
        </xdr:cNvSpPr>
      </xdr:nvSpPr>
      <xdr:spPr>
        <a:xfrm>
          <a:off x="14744700" y="2981325"/>
          <a:ext cx="9715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24</xdr:col>
      <xdr:colOff>85725</xdr:colOff>
      <xdr:row>22</xdr:row>
      <xdr:rowOff>133350</xdr:rowOff>
    </xdr:from>
    <xdr:to>
      <xdr:col>25</xdr:col>
      <xdr:colOff>466725</xdr:colOff>
      <xdr:row>22</xdr:row>
      <xdr:rowOff>133350</xdr:rowOff>
    </xdr:to>
    <xdr:sp>
      <xdr:nvSpPr>
        <xdr:cNvPr id="30" name="Line 47"/>
        <xdr:cNvSpPr>
          <a:spLocks/>
        </xdr:cNvSpPr>
      </xdr:nvSpPr>
      <xdr:spPr>
        <a:xfrm flipV="1">
          <a:off x="14716125" y="3733800"/>
          <a:ext cx="9906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25</xdr:col>
      <xdr:colOff>457200</xdr:colOff>
      <xdr:row>18</xdr:row>
      <xdr:rowOff>9525</xdr:rowOff>
    </xdr:from>
    <xdr:to>
      <xdr:col>32</xdr:col>
      <xdr:colOff>428625</xdr:colOff>
      <xdr:row>18</xdr:row>
      <xdr:rowOff>9525</xdr:rowOff>
    </xdr:to>
    <xdr:sp>
      <xdr:nvSpPr>
        <xdr:cNvPr id="31" name="Line 49"/>
        <xdr:cNvSpPr>
          <a:spLocks/>
        </xdr:cNvSpPr>
      </xdr:nvSpPr>
      <xdr:spPr>
        <a:xfrm>
          <a:off x="15697200" y="2962275"/>
          <a:ext cx="42386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20</xdr:col>
      <xdr:colOff>600075</xdr:colOff>
      <xdr:row>4</xdr:row>
      <xdr:rowOff>0</xdr:rowOff>
    </xdr:from>
    <xdr:to>
      <xdr:col>23</xdr:col>
      <xdr:colOff>9525</xdr:colOff>
      <xdr:row>9</xdr:row>
      <xdr:rowOff>38100</xdr:rowOff>
    </xdr:to>
    <xdr:sp>
      <xdr:nvSpPr>
        <xdr:cNvPr id="32" name="TextBox 50"/>
        <xdr:cNvSpPr txBox="1">
          <a:spLocks noChangeArrowheads="1"/>
        </xdr:cNvSpPr>
      </xdr:nvSpPr>
      <xdr:spPr>
        <a:xfrm>
          <a:off x="12792075" y="685800"/>
          <a:ext cx="1238250" cy="847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latin typeface="MS Sans Serif"/>
              <a:ea typeface="MS Sans Serif"/>
              <a:cs typeface="MS Sans Serif"/>
            </a:rPr>
            <a:t>Dechlorination</a:t>
          </a:r>
          <a:r>
            <a:rPr lang="en-US" cap="none" sz="1000" b="1" i="0" u="none" baseline="0">
              <a:latin typeface="MS Sans Serif"/>
              <a:ea typeface="MS Sans Serif"/>
              <a:cs typeface="MS Sans Serif"/>
            </a:rPr>
            <a:t>
-Sodium Bisulfite
-Sodium Sulfite
-Sulfer Dioxide</a:t>
          </a:r>
        </a:p>
      </xdr:txBody>
    </xdr:sp>
    <xdr:clientData/>
  </xdr:twoCellAnchor>
  <xdr:twoCellAnchor>
    <xdr:from>
      <xdr:col>22</xdr:col>
      <xdr:colOff>76200</xdr:colOff>
      <xdr:row>9</xdr:row>
      <xdr:rowOff>28575</xdr:rowOff>
    </xdr:from>
    <xdr:to>
      <xdr:col>22</xdr:col>
      <xdr:colOff>76200</xdr:colOff>
      <xdr:row>13</xdr:row>
      <xdr:rowOff>28575</xdr:rowOff>
    </xdr:to>
    <xdr:sp>
      <xdr:nvSpPr>
        <xdr:cNvPr id="33" name="Line 51"/>
        <xdr:cNvSpPr>
          <a:spLocks/>
        </xdr:cNvSpPr>
      </xdr:nvSpPr>
      <xdr:spPr>
        <a:xfrm flipH="1">
          <a:off x="13487400" y="1524000"/>
          <a:ext cx="0" cy="647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314325</xdr:colOff>
      <xdr:row>20</xdr:row>
      <xdr:rowOff>114300</xdr:rowOff>
    </xdr:from>
    <xdr:to>
      <xdr:col>6</xdr:col>
      <xdr:colOff>409575</xdr:colOff>
      <xdr:row>27</xdr:row>
      <xdr:rowOff>104775</xdr:rowOff>
    </xdr:to>
    <xdr:sp>
      <xdr:nvSpPr>
        <xdr:cNvPr id="34" name="TextBox 54"/>
        <xdr:cNvSpPr txBox="1">
          <a:spLocks noChangeArrowheads="1"/>
        </xdr:cNvSpPr>
      </xdr:nvSpPr>
      <xdr:spPr>
        <a:xfrm>
          <a:off x="2143125" y="3390900"/>
          <a:ext cx="1924050" cy="1123950"/>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sng" baseline="0">
              <a:latin typeface="MS Sans Serif"/>
              <a:ea typeface="MS Sans Serif"/>
              <a:cs typeface="MS Sans Serif"/>
            </a:rPr>
            <a:t>Chemicals
</a:t>
          </a:r>
          <a:r>
            <a:rPr lang="en-US" cap="none" sz="1000" b="1" i="0" u="none" baseline="0">
              <a:latin typeface="MS Sans Serif"/>
              <a:ea typeface="MS Sans Serif"/>
              <a:cs typeface="MS Sans Serif"/>
            </a:rPr>
            <a:t>-Cl</a:t>
          </a:r>
          <a:r>
            <a:rPr lang="en-US" cap="none" sz="1000" b="1" i="0" u="none" baseline="-25000">
              <a:latin typeface="MS Sans Serif"/>
              <a:ea typeface="MS Sans Serif"/>
              <a:cs typeface="MS Sans Serif"/>
            </a:rPr>
            <a:t>2</a:t>
          </a:r>
          <a:r>
            <a:rPr lang="en-US" cap="none" sz="1000" b="1" i="0" u="none" baseline="0">
              <a:latin typeface="MS Sans Serif"/>
              <a:ea typeface="MS Sans Serif"/>
              <a:cs typeface="MS Sans Serif"/>
            </a:rPr>
            <a:t>
-Ozone
-Potassium Permanganate
-Acid
-Lime
</a:t>
          </a:r>
        </a:p>
      </xdr:txBody>
    </xdr:sp>
    <xdr:clientData/>
  </xdr:twoCellAnchor>
  <xdr:twoCellAnchor>
    <xdr:from>
      <xdr:col>34</xdr:col>
      <xdr:colOff>533400</xdr:colOff>
      <xdr:row>33</xdr:row>
      <xdr:rowOff>142875</xdr:rowOff>
    </xdr:from>
    <xdr:to>
      <xdr:col>37</xdr:col>
      <xdr:colOff>561975</xdr:colOff>
      <xdr:row>33</xdr:row>
      <xdr:rowOff>152400</xdr:rowOff>
    </xdr:to>
    <xdr:sp>
      <xdr:nvSpPr>
        <xdr:cNvPr id="35" name="Line 55"/>
        <xdr:cNvSpPr>
          <a:spLocks/>
        </xdr:cNvSpPr>
      </xdr:nvSpPr>
      <xdr:spPr>
        <a:xfrm>
          <a:off x="21259800" y="5524500"/>
          <a:ext cx="1857375" cy="9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29</xdr:col>
      <xdr:colOff>285750</xdr:colOff>
      <xdr:row>23</xdr:row>
      <xdr:rowOff>38100</xdr:rowOff>
    </xdr:from>
    <xdr:to>
      <xdr:col>31</xdr:col>
      <xdr:colOff>342900</xdr:colOff>
      <xdr:row>28</xdr:row>
      <xdr:rowOff>142875</xdr:rowOff>
    </xdr:to>
    <xdr:sp>
      <xdr:nvSpPr>
        <xdr:cNvPr id="36" name="TextBox 56"/>
        <xdr:cNvSpPr txBox="1">
          <a:spLocks noChangeArrowheads="1"/>
        </xdr:cNvSpPr>
      </xdr:nvSpPr>
      <xdr:spPr>
        <a:xfrm>
          <a:off x="17964150" y="3800475"/>
          <a:ext cx="1276350" cy="9144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latin typeface="MS Sans Serif"/>
              <a:ea typeface="MS Sans Serif"/>
              <a:cs typeface="MS Sans Serif"/>
            </a:rPr>
            <a:t>Disinfection
</a:t>
          </a:r>
          <a:r>
            <a:rPr lang="en-US" cap="none" sz="1000" b="1" i="0" u="none" baseline="0">
              <a:solidFill>
                <a:srgbClr val="CC99FF"/>
              </a:solidFill>
              <a:latin typeface="MS Sans Serif"/>
              <a:ea typeface="MS Sans Serif"/>
              <a:cs typeface="MS Sans Serif"/>
            </a:rPr>
            <a:t>-Cl</a:t>
          </a:r>
          <a:r>
            <a:rPr lang="en-US" cap="none" sz="1000" b="1" i="0" u="none" baseline="-25000">
              <a:solidFill>
                <a:srgbClr val="CC99FF"/>
              </a:solidFill>
              <a:latin typeface="MS Sans Serif"/>
              <a:ea typeface="MS Sans Serif"/>
              <a:cs typeface="MS Sans Serif"/>
            </a:rPr>
            <a:t>2</a:t>
          </a:r>
          <a:r>
            <a:rPr lang="en-US" cap="none" sz="1000" b="1" i="0" u="none" baseline="0">
              <a:solidFill>
                <a:srgbClr val="CC99FF"/>
              </a:solidFill>
              <a:latin typeface="MS Sans Serif"/>
              <a:ea typeface="MS Sans Serif"/>
              <a:cs typeface="MS Sans Serif"/>
            </a:rPr>
            <a:t>
-Ozone
-Chlorine Dioxide
-Chloramines</a:t>
          </a:r>
          <a:r>
            <a:rPr lang="en-US" cap="none" sz="1000" b="1" i="0" u="none" baseline="0">
              <a:latin typeface="MS Sans Serif"/>
              <a:ea typeface="MS Sans Serif"/>
              <a:cs typeface="MS Sans Serif"/>
            </a:rPr>
            <a:t>
</a:t>
          </a:r>
        </a:p>
      </xdr:txBody>
    </xdr:sp>
    <xdr:clientData/>
  </xdr:twoCellAnchor>
  <xdr:twoCellAnchor>
    <xdr:from>
      <xdr:col>6</xdr:col>
      <xdr:colOff>19050</xdr:colOff>
      <xdr:row>16</xdr:row>
      <xdr:rowOff>38100</xdr:rowOff>
    </xdr:from>
    <xdr:to>
      <xdr:col>6</xdr:col>
      <xdr:colOff>19050</xdr:colOff>
      <xdr:row>20</xdr:row>
      <xdr:rowOff>123825</xdr:rowOff>
    </xdr:to>
    <xdr:sp>
      <xdr:nvSpPr>
        <xdr:cNvPr id="37" name="Line 57"/>
        <xdr:cNvSpPr>
          <a:spLocks/>
        </xdr:cNvSpPr>
      </xdr:nvSpPr>
      <xdr:spPr>
        <a:xfrm flipV="1">
          <a:off x="3676650" y="2667000"/>
          <a:ext cx="0" cy="733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352425</xdr:colOff>
      <xdr:row>15</xdr:row>
      <xdr:rowOff>38100</xdr:rowOff>
    </xdr:from>
    <xdr:to>
      <xdr:col>4</xdr:col>
      <xdr:colOff>28575</xdr:colOff>
      <xdr:row>17</xdr:row>
      <xdr:rowOff>28575</xdr:rowOff>
    </xdr:to>
    <xdr:sp>
      <xdr:nvSpPr>
        <xdr:cNvPr id="38" name="TextBox 58"/>
        <xdr:cNvSpPr txBox="1">
          <a:spLocks noChangeArrowheads="1"/>
        </xdr:cNvSpPr>
      </xdr:nvSpPr>
      <xdr:spPr>
        <a:xfrm>
          <a:off x="1571625" y="2505075"/>
          <a:ext cx="895350" cy="314325"/>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Air Stripping</a:t>
          </a:r>
        </a:p>
      </xdr:txBody>
    </xdr:sp>
    <xdr:clientData/>
  </xdr:twoCellAnchor>
  <xdr:twoCellAnchor>
    <xdr:from>
      <xdr:col>4</xdr:col>
      <xdr:colOff>28575</xdr:colOff>
      <xdr:row>16</xdr:row>
      <xdr:rowOff>38100</xdr:rowOff>
    </xdr:from>
    <xdr:to>
      <xdr:col>4</xdr:col>
      <xdr:colOff>581025</xdr:colOff>
      <xdr:row>16</xdr:row>
      <xdr:rowOff>38100</xdr:rowOff>
    </xdr:to>
    <xdr:sp>
      <xdr:nvSpPr>
        <xdr:cNvPr id="39" name="Line 59"/>
        <xdr:cNvSpPr>
          <a:spLocks/>
        </xdr:cNvSpPr>
      </xdr:nvSpPr>
      <xdr:spPr>
        <a:xfrm>
          <a:off x="2466975" y="2667000"/>
          <a:ext cx="5524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19</xdr:col>
      <xdr:colOff>228600</xdr:colOff>
      <xdr:row>13</xdr:row>
      <xdr:rowOff>66675</xdr:rowOff>
    </xdr:from>
    <xdr:to>
      <xdr:col>19</xdr:col>
      <xdr:colOff>228600</xdr:colOff>
      <xdr:row>22</xdr:row>
      <xdr:rowOff>152400</xdr:rowOff>
    </xdr:to>
    <xdr:sp>
      <xdr:nvSpPr>
        <xdr:cNvPr id="40" name="Line 60"/>
        <xdr:cNvSpPr>
          <a:spLocks/>
        </xdr:cNvSpPr>
      </xdr:nvSpPr>
      <xdr:spPr>
        <a:xfrm flipH="1">
          <a:off x="11811000" y="2209800"/>
          <a:ext cx="0" cy="15430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7</xdr:col>
      <xdr:colOff>247650</xdr:colOff>
      <xdr:row>20</xdr:row>
      <xdr:rowOff>123825</xdr:rowOff>
    </xdr:from>
    <xdr:to>
      <xdr:col>8</xdr:col>
      <xdr:colOff>57150</xdr:colOff>
      <xdr:row>20</xdr:row>
      <xdr:rowOff>123825</xdr:rowOff>
    </xdr:to>
    <xdr:sp>
      <xdr:nvSpPr>
        <xdr:cNvPr id="41" name="Line 62"/>
        <xdr:cNvSpPr>
          <a:spLocks/>
        </xdr:cNvSpPr>
      </xdr:nvSpPr>
      <xdr:spPr>
        <a:xfrm flipV="1">
          <a:off x="4514850" y="3400425"/>
          <a:ext cx="4191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104775</xdr:colOff>
      <xdr:row>52</xdr:row>
      <xdr:rowOff>76200</xdr:rowOff>
    </xdr:from>
    <xdr:to>
      <xdr:col>10</xdr:col>
      <xdr:colOff>57150</xdr:colOff>
      <xdr:row>54</xdr:row>
      <xdr:rowOff>47625</xdr:rowOff>
    </xdr:to>
    <xdr:sp>
      <xdr:nvSpPr>
        <xdr:cNvPr id="42" name="TextBox 63"/>
        <xdr:cNvSpPr txBox="1">
          <a:spLocks noChangeArrowheads="1"/>
        </xdr:cNvSpPr>
      </xdr:nvSpPr>
      <xdr:spPr>
        <a:xfrm>
          <a:off x="4981575" y="8534400"/>
          <a:ext cx="1171575" cy="2952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none" baseline="0">
              <a:latin typeface="MS Sans Serif"/>
              <a:ea typeface="MS Sans Serif"/>
              <a:cs typeface="MS Sans Serif"/>
            </a:rPr>
            <a:t>Rapid Mix Tank</a:t>
          </a:r>
        </a:p>
      </xdr:txBody>
    </xdr:sp>
    <xdr:clientData/>
  </xdr:twoCellAnchor>
  <xdr:twoCellAnchor>
    <xdr:from>
      <xdr:col>10</xdr:col>
      <xdr:colOff>600075</xdr:colOff>
      <xdr:row>52</xdr:row>
      <xdr:rowOff>95250</xdr:rowOff>
    </xdr:from>
    <xdr:to>
      <xdr:col>12</xdr:col>
      <xdr:colOff>285750</xdr:colOff>
      <xdr:row>54</xdr:row>
      <xdr:rowOff>38100</xdr:rowOff>
    </xdr:to>
    <xdr:sp>
      <xdr:nvSpPr>
        <xdr:cNvPr id="43" name="TextBox 64"/>
        <xdr:cNvSpPr txBox="1">
          <a:spLocks noChangeArrowheads="1"/>
        </xdr:cNvSpPr>
      </xdr:nvSpPr>
      <xdr:spPr>
        <a:xfrm>
          <a:off x="6696075" y="8553450"/>
          <a:ext cx="904875" cy="266700"/>
        </a:xfrm>
        <a:prstGeom prst="rect">
          <a:avLst/>
        </a:prstGeom>
        <a:solidFill>
          <a:srgbClr val="FFFFFF"/>
        </a:solidFill>
        <a:ln w="25400" cmpd="sng">
          <a:solidFill>
            <a:srgbClr val="008000"/>
          </a:solidFill>
          <a:headEnd type="none"/>
          <a:tailEnd type="none"/>
        </a:ln>
      </xdr:spPr>
      <xdr:txBody>
        <a:bodyPr vertOverflow="clip" wrap="square"/>
        <a:p>
          <a:pPr algn="l">
            <a:defRPr/>
          </a:pPr>
          <a:r>
            <a:rPr lang="en-US" cap="none" sz="1000" b="1" i="0" u="none" baseline="0">
              <a:latin typeface="MS Sans Serif"/>
              <a:ea typeface="MS Sans Serif"/>
              <a:cs typeface="MS Sans Serif"/>
            </a:rPr>
            <a:t>UFSCC</a:t>
          </a:r>
        </a:p>
      </xdr:txBody>
    </xdr:sp>
    <xdr:clientData/>
  </xdr:twoCellAnchor>
  <xdr:twoCellAnchor>
    <xdr:from>
      <xdr:col>13</xdr:col>
      <xdr:colOff>57150</xdr:colOff>
      <xdr:row>52</xdr:row>
      <xdr:rowOff>76200</xdr:rowOff>
    </xdr:from>
    <xdr:to>
      <xdr:col>14</xdr:col>
      <xdr:colOff>428625</xdr:colOff>
      <xdr:row>54</xdr:row>
      <xdr:rowOff>38100</xdr:rowOff>
    </xdr:to>
    <xdr:sp>
      <xdr:nvSpPr>
        <xdr:cNvPr id="44" name="TextBox 65"/>
        <xdr:cNvSpPr txBox="1">
          <a:spLocks noChangeArrowheads="1"/>
        </xdr:cNvSpPr>
      </xdr:nvSpPr>
      <xdr:spPr>
        <a:xfrm>
          <a:off x="7981950" y="8534400"/>
          <a:ext cx="981075" cy="285750"/>
        </a:xfrm>
        <a:prstGeom prst="rect">
          <a:avLst/>
        </a:prstGeom>
        <a:solidFill>
          <a:srgbClr val="FFFFFF"/>
        </a:solidFill>
        <a:ln w="25400" cmpd="sng">
          <a:solidFill>
            <a:srgbClr val="008000"/>
          </a:solidFill>
          <a:headEnd type="none"/>
          <a:tailEnd type="none"/>
        </a:ln>
      </xdr:spPr>
      <xdr:txBody>
        <a:bodyPr vertOverflow="clip" wrap="square"/>
        <a:p>
          <a:pPr algn="l">
            <a:defRPr/>
          </a:pPr>
          <a:r>
            <a:rPr lang="en-US" cap="none" sz="1000" b="1" i="0" u="none" baseline="0">
              <a:latin typeface="MS Sans Serif"/>
              <a:ea typeface="MS Sans Serif"/>
              <a:cs typeface="MS Sans Serif"/>
            </a:rPr>
            <a:t>Gravity Filter</a:t>
          </a:r>
        </a:p>
      </xdr:txBody>
    </xdr:sp>
    <xdr:clientData/>
  </xdr:twoCellAnchor>
  <xdr:twoCellAnchor>
    <xdr:from>
      <xdr:col>13</xdr:col>
      <xdr:colOff>95250</xdr:colOff>
      <xdr:row>43</xdr:row>
      <xdr:rowOff>38100</xdr:rowOff>
    </xdr:from>
    <xdr:to>
      <xdr:col>14</xdr:col>
      <xdr:colOff>438150</xdr:colOff>
      <xdr:row>45</xdr:row>
      <xdr:rowOff>19050</xdr:rowOff>
    </xdr:to>
    <xdr:sp>
      <xdr:nvSpPr>
        <xdr:cNvPr id="45" name="TextBox 66"/>
        <xdr:cNvSpPr txBox="1">
          <a:spLocks noChangeArrowheads="1"/>
        </xdr:cNvSpPr>
      </xdr:nvSpPr>
      <xdr:spPr>
        <a:xfrm>
          <a:off x="8020050" y="7038975"/>
          <a:ext cx="952500" cy="304800"/>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MF</a:t>
          </a:r>
        </a:p>
      </xdr:txBody>
    </xdr:sp>
    <xdr:clientData/>
  </xdr:twoCellAnchor>
  <xdr:twoCellAnchor>
    <xdr:from>
      <xdr:col>13</xdr:col>
      <xdr:colOff>76200</xdr:colOff>
      <xdr:row>47</xdr:row>
      <xdr:rowOff>123825</xdr:rowOff>
    </xdr:from>
    <xdr:to>
      <xdr:col>14</xdr:col>
      <xdr:colOff>438150</xdr:colOff>
      <xdr:row>49</xdr:row>
      <xdr:rowOff>66675</xdr:rowOff>
    </xdr:to>
    <xdr:sp>
      <xdr:nvSpPr>
        <xdr:cNvPr id="46" name="TextBox 67"/>
        <xdr:cNvSpPr txBox="1">
          <a:spLocks noChangeArrowheads="1"/>
        </xdr:cNvSpPr>
      </xdr:nvSpPr>
      <xdr:spPr>
        <a:xfrm>
          <a:off x="8001000" y="7772400"/>
          <a:ext cx="971550" cy="266700"/>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UF</a:t>
          </a:r>
        </a:p>
      </xdr:txBody>
    </xdr:sp>
    <xdr:clientData/>
  </xdr:twoCellAnchor>
  <xdr:twoCellAnchor>
    <xdr:from>
      <xdr:col>8</xdr:col>
      <xdr:colOff>85725</xdr:colOff>
      <xdr:row>58</xdr:row>
      <xdr:rowOff>133350</xdr:rowOff>
    </xdr:from>
    <xdr:to>
      <xdr:col>10</xdr:col>
      <xdr:colOff>66675</xdr:colOff>
      <xdr:row>69</xdr:row>
      <xdr:rowOff>38100</xdr:rowOff>
    </xdr:to>
    <xdr:sp>
      <xdr:nvSpPr>
        <xdr:cNvPr id="47" name="TextBox 68"/>
        <xdr:cNvSpPr txBox="1">
          <a:spLocks noChangeArrowheads="1"/>
        </xdr:cNvSpPr>
      </xdr:nvSpPr>
      <xdr:spPr>
        <a:xfrm>
          <a:off x="4962525" y="9563100"/>
          <a:ext cx="1200150" cy="16859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latin typeface="MS Sans Serif"/>
              <a:ea typeface="MS Sans Serif"/>
              <a:cs typeface="MS Sans Serif"/>
            </a:rPr>
            <a:t>Coagulant</a:t>
          </a:r>
          <a:r>
            <a:rPr lang="en-US" cap="none" sz="1000" b="1" i="0" u="none" baseline="0">
              <a:latin typeface="MS Sans Serif"/>
              <a:ea typeface="MS Sans Serif"/>
              <a:cs typeface="MS Sans Serif"/>
            </a:rPr>
            <a:t>
-Ferric Chloride
-Ferric Sulfate
-Alum (dry)
-Alum (liquid)
-PACl
-Lime
</a:t>
          </a:r>
          <a:r>
            <a:rPr lang="en-US" cap="none" sz="1000" b="1" i="0" u="sng" baseline="0">
              <a:latin typeface="MS Sans Serif"/>
              <a:ea typeface="MS Sans Serif"/>
              <a:cs typeface="MS Sans Serif"/>
            </a:rPr>
            <a:t>Coagulant Aid</a:t>
          </a:r>
          <a:r>
            <a:rPr lang="en-US" cap="none" sz="1000" b="1" i="0" u="none" baseline="0">
              <a:latin typeface="MS Sans Serif"/>
              <a:ea typeface="MS Sans Serif"/>
              <a:cs typeface="MS Sans Serif"/>
            </a:rPr>
            <a:t>
</a:t>
          </a:r>
          <a:r>
            <a:rPr lang="en-US" cap="none" sz="1000" b="1" i="0" u="none" baseline="0">
              <a:solidFill>
                <a:srgbClr val="CC99FF"/>
              </a:solidFill>
              <a:latin typeface="MS Sans Serif"/>
              <a:ea typeface="MS Sans Serif"/>
              <a:cs typeface="MS Sans Serif"/>
            </a:rPr>
            <a:t>-PolyElectrolyte
</a:t>
          </a:r>
        </a:p>
      </xdr:txBody>
    </xdr:sp>
    <xdr:clientData/>
  </xdr:twoCellAnchor>
  <xdr:twoCellAnchor>
    <xdr:from>
      <xdr:col>9</xdr:col>
      <xdr:colOff>38100</xdr:colOff>
      <xdr:row>54</xdr:row>
      <xdr:rowOff>104775</xdr:rowOff>
    </xdr:from>
    <xdr:to>
      <xdr:col>9</xdr:col>
      <xdr:colOff>38100</xdr:colOff>
      <xdr:row>58</xdr:row>
      <xdr:rowOff>85725</xdr:rowOff>
    </xdr:to>
    <xdr:sp>
      <xdr:nvSpPr>
        <xdr:cNvPr id="48" name="Line 69"/>
        <xdr:cNvSpPr>
          <a:spLocks/>
        </xdr:cNvSpPr>
      </xdr:nvSpPr>
      <xdr:spPr>
        <a:xfrm flipV="1">
          <a:off x="5524500" y="8886825"/>
          <a:ext cx="0" cy="628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66675</xdr:colOff>
      <xdr:row>53</xdr:row>
      <xdr:rowOff>38100</xdr:rowOff>
    </xdr:from>
    <xdr:to>
      <xdr:col>11</xdr:col>
      <xdr:colOff>0</xdr:colOff>
      <xdr:row>53</xdr:row>
      <xdr:rowOff>38100</xdr:rowOff>
    </xdr:to>
    <xdr:sp>
      <xdr:nvSpPr>
        <xdr:cNvPr id="49" name="Line 70"/>
        <xdr:cNvSpPr>
          <a:spLocks/>
        </xdr:cNvSpPr>
      </xdr:nvSpPr>
      <xdr:spPr>
        <a:xfrm>
          <a:off x="6162675" y="8658225"/>
          <a:ext cx="5429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12</xdr:col>
      <xdr:colOff>304800</xdr:colOff>
      <xdr:row>53</xdr:row>
      <xdr:rowOff>9525</xdr:rowOff>
    </xdr:from>
    <xdr:to>
      <xdr:col>13</xdr:col>
      <xdr:colOff>38100</xdr:colOff>
      <xdr:row>53</xdr:row>
      <xdr:rowOff>19050</xdr:rowOff>
    </xdr:to>
    <xdr:sp>
      <xdr:nvSpPr>
        <xdr:cNvPr id="50" name="Line 71"/>
        <xdr:cNvSpPr>
          <a:spLocks/>
        </xdr:cNvSpPr>
      </xdr:nvSpPr>
      <xdr:spPr>
        <a:xfrm>
          <a:off x="7620000" y="8629650"/>
          <a:ext cx="342900" cy="9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44</xdr:row>
      <xdr:rowOff>19050</xdr:rowOff>
    </xdr:from>
    <xdr:to>
      <xdr:col>13</xdr:col>
      <xdr:colOff>95250</xdr:colOff>
      <xdr:row>44</xdr:row>
      <xdr:rowOff>28575</xdr:rowOff>
    </xdr:to>
    <xdr:sp>
      <xdr:nvSpPr>
        <xdr:cNvPr id="51" name="Line 72"/>
        <xdr:cNvSpPr>
          <a:spLocks/>
        </xdr:cNvSpPr>
      </xdr:nvSpPr>
      <xdr:spPr>
        <a:xfrm flipV="1">
          <a:off x="4552950" y="7181850"/>
          <a:ext cx="3467100" cy="9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438150</xdr:colOff>
      <xdr:row>52</xdr:row>
      <xdr:rowOff>152400</xdr:rowOff>
    </xdr:from>
    <xdr:to>
      <xdr:col>15</xdr:col>
      <xdr:colOff>276225</xdr:colOff>
      <xdr:row>53</xdr:row>
      <xdr:rowOff>0</xdr:rowOff>
    </xdr:to>
    <xdr:sp>
      <xdr:nvSpPr>
        <xdr:cNvPr id="52" name="Line 73"/>
        <xdr:cNvSpPr>
          <a:spLocks/>
        </xdr:cNvSpPr>
      </xdr:nvSpPr>
      <xdr:spPr>
        <a:xfrm flipV="1">
          <a:off x="8972550" y="8610600"/>
          <a:ext cx="447675" cy="9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7</xdr:col>
      <xdr:colOff>314325</xdr:colOff>
      <xdr:row>48</xdr:row>
      <xdr:rowOff>142875</xdr:rowOff>
    </xdr:from>
    <xdr:to>
      <xdr:col>13</xdr:col>
      <xdr:colOff>57150</xdr:colOff>
      <xdr:row>48</xdr:row>
      <xdr:rowOff>142875</xdr:rowOff>
    </xdr:to>
    <xdr:sp>
      <xdr:nvSpPr>
        <xdr:cNvPr id="53" name="Line 74"/>
        <xdr:cNvSpPr>
          <a:spLocks/>
        </xdr:cNvSpPr>
      </xdr:nvSpPr>
      <xdr:spPr>
        <a:xfrm>
          <a:off x="4581525" y="7953375"/>
          <a:ext cx="34004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457200</xdr:colOff>
      <xdr:row>48</xdr:row>
      <xdr:rowOff>85725</xdr:rowOff>
    </xdr:from>
    <xdr:to>
      <xdr:col>15</xdr:col>
      <xdr:colOff>247650</xdr:colOff>
      <xdr:row>48</xdr:row>
      <xdr:rowOff>95250</xdr:rowOff>
    </xdr:to>
    <xdr:sp>
      <xdr:nvSpPr>
        <xdr:cNvPr id="54" name="Line 75"/>
        <xdr:cNvSpPr>
          <a:spLocks/>
        </xdr:cNvSpPr>
      </xdr:nvSpPr>
      <xdr:spPr>
        <a:xfrm>
          <a:off x="8991600" y="7896225"/>
          <a:ext cx="400050" cy="9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457200</xdr:colOff>
      <xdr:row>44</xdr:row>
      <xdr:rowOff>9525</xdr:rowOff>
    </xdr:from>
    <xdr:to>
      <xdr:col>15</xdr:col>
      <xdr:colOff>266700</xdr:colOff>
      <xdr:row>44</xdr:row>
      <xdr:rowOff>9525</xdr:rowOff>
    </xdr:to>
    <xdr:sp>
      <xdr:nvSpPr>
        <xdr:cNvPr id="55" name="Line 76"/>
        <xdr:cNvSpPr>
          <a:spLocks/>
        </xdr:cNvSpPr>
      </xdr:nvSpPr>
      <xdr:spPr>
        <a:xfrm>
          <a:off x="8991600" y="7172325"/>
          <a:ext cx="4191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13</xdr:col>
      <xdr:colOff>571500</xdr:colOff>
      <xdr:row>39</xdr:row>
      <xdr:rowOff>114300</xdr:rowOff>
    </xdr:from>
    <xdr:to>
      <xdr:col>13</xdr:col>
      <xdr:colOff>571500</xdr:colOff>
      <xdr:row>43</xdr:row>
      <xdr:rowOff>9525</xdr:rowOff>
    </xdr:to>
    <xdr:sp>
      <xdr:nvSpPr>
        <xdr:cNvPr id="56" name="Line 77"/>
        <xdr:cNvSpPr>
          <a:spLocks/>
        </xdr:cNvSpPr>
      </xdr:nvSpPr>
      <xdr:spPr>
        <a:xfrm flipV="1">
          <a:off x="8496300" y="6467475"/>
          <a:ext cx="0" cy="542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12</xdr:col>
      <xdr:colOff>533400</xdr:colOff>
      <xdr:row>37</xdr:row>
      <xdr:rowOff>76200</xdr:rowOff>
    </xdr:from>
    <xdr:to>
      <xdr:col>15</xdr:col>
      <xdr:colOff>38100</xdr:colOff>
      <xdr:row>39</xdr:row>
      <xdr:rowOff>114300</xdr:rowOff>
    </xdr:to>
    <xdr:sp>
      <xdr:nvSpPr>
        <xdr:cNvPr id="57" name="TextBox 78"/>
        <xdr:cNvSpPr txBox="1">
          <a:spLocks noChangeArrowheads="1"/>
        </xdr:cNvSpPr>
      </xdr:nvSpPr>
      <xdr:spPr>
        <a:xfrm>
          <a:off x="7848600" y="6105525"/>
          <a:ext cx="1333500" cy="361950"/>
        </a:xfrm>
        <a:prstGeom prst="rect">
          <a:avLst/>
        </a:prstGeom>
        <a:solidFill>
          <a:srgbClr val="CC99FF"/>
        </a:solidFill>
        <a:ln w="25400" cmpd="sng">
          <a:solidFill>
            <a:srgbClr val="000000"/>
          </a:solidFill>
          <a:headEnd type="none"/>
          <a:tailEnd type="none"/>
        </a:ln>
      </xdr:spPr>
      <xdr:txBody>
        <a:bodyPr vertOverflow="clip" wrap="square"/>
        <a:p>
          <a:pPr algn="ctr">
            <a:defRPr/>
          </a:pPr>
          <a:r>
            <a:rPr lang="en-US" cap="none" sz="1000" b="1" i="0" u="none" baseline="0">
              <a:latin typeface="MS Sans Serif"/>
              <a:ea typeface="MS Sans Serif"/>
              <a:cs typeface="MS Sans Serif"/>
            </a:rPr>
            <a:t>Concentrate Outfall</a:t>
          </a:r>
        </a:p>
      </xdr:txBody>
    </xdr:sp>
    <xdr:clientData/>
  </xdr:twoCellAnchor>
  <xdr:twoCellAnchor>
    <xdr:from>
      <xdr:col>7</xdr:col>
      <xdr:colOff>276225</xdr:colOff>
      <xdr:row>53</xdr:row>
      <xdr:rowOff>66675</xdr:rowOff>
    </xdr:from>
    <xdr:to>
      <xdr:col>8</xdr:col>
      <xdr:colOff>85725</xdr:colOff>
      <xdr:row>53</xdr:row>
      <xdr:rowOff>66675</xdr:rowOff>
    </xdr:to>
    <xdr:sp>
      <xdr:nvSpPr>
        <xdr:cNvPr id="58" name="Line 79"/>
        <xdr:cNvSpPr>
          <a:spLocks/>
        </xdr:cNvSpPr>
      </xdr:nvSpPr>
      <xdr:spPr>
        <a:xfrm flipV="1">
          <a:off x="4543425" y="8686800"/>
          <a:ext cx="4191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504825</xdr:colOff>
      <xdr:row>1</xdr:row>
      <xdr:rowOff>76200</xdr:rowOff>
    </xdr:from>
    <xdr:to>
      <xdr:col>7</xdr:col>
      <xdr:colOff>76200</xdr:colOff>
      <xdr:row>2</xdr:row>
      <xdr:rowOff>142875</xdr:rowOff>
    </xdr:to>
    <xdr:sp>
      <xdr:nvSpPr>
        <xdr:cNvPr id="59" name="TextBox 81"/>
        <xdr:cNvSpPr txBox="1">
          <a:spLocks noChangeArrowheads="1"/>
        </xdr:cNvSpPr>
      </xdr:nvSpPr>
      <xdr:spPr>
        <a:xfrm>
          <a:off x="1114425" y="276225"/>
          <a:ext cx="3228975" cy="228600"/>
        </a:xfrm>
        <a:prstGeom prst="rect">
          <a:avLst/>
        </a:prstGeom>
        <a:solidFill>
          <a:srgbClr val="FFFFFF"/>
        </a:solidFill>
        <a:ln w="25400" cmpd="sng">
          <a:noFill/>
        </a:ln>
      </xdr:spPr>
      <xdr:txBody>
        <a:bodyPr vertOverflow="clip" wrap="square"/>
        <a:p>
          <a:pPr algn="ctr">
            <a:defRPr/>
          </a:pPr>
          <a:r>
            <a:rPr lang="en-US" cap="none" sz="1000" b="1" i="0" u="none" baseline="0">
              <a:latin typeface="MS Sans Serif"/>
              <a:ea typeface="MS Sans Serif"/>
              <a:cs typeface="MS Sans Serif"/>
            </a:rPr>
            <a:t>Pre-Treatment</a:t>
          </a:r>
        </a:p>
      </xdr:txBody>
    </xdr:sp>
    <xdr:clientData/>
  </xdr:twoCellAnchor>
  <xdr:twoCellAnchor>
    <xdr:from>
      <xdr:col>0</xdr:col>
      <xdr:colOff>47625</xdr:colOff>
      <xdr:row>1</xdr:row>
      <xdr:rowOff>76200</xdr:rowOff>
    </xdr:from>
    <xdr:to>
      <xdr:col>1</xdr:col>
      <xdr:colOff>476250</xdr:colOff>
      <xdr:row>3</xdr:row>
      <xdr:rowOff>0</xdr:rowOff>
    </xdr:to>
    <xdr:sp>
      <xdr:nvSpPr>
        <xdr:cNvPr id="60" name="TextBox 83"/>
        <xdr:cNvSpPr txBox="1">
          <a:spLocks noChangeArrowheads="1"/>
        </xdr:cNvSpPr>
      </xdr:nvSpPr>
      <xdr:spPr>
        <a:xfrm>
          <a:off x="47625" y="276225"/>
          <a:ext cx="1038225" cy="247650"/>
        </a:xfrm>
        <a:prstGeom prst="rect">
          <a:avLst/>
        </a:prstGeom>
        <a:solidFill>
          <a:srgbClr val="FFFFFF"/>
        </a:solidFill>
        <a:ln w="25400" cmpd="sng">
          <a:noFill/>
        </a:ln>
      </xdr:spPr>
      <xdr:txBody>
        <a:bodyPr vertOverflow="clip" wrap="square"/>
        <a:p>
          <a:pPr algn="ctr">
            <a:defRPr/>
          </a:pPr>
          <a:r>
            <a:rPr lang="en-US" cap="none" sz="1000" b="1" i="0" u="none" baseline="0">
              <a:latin typeface="MS Sans Serif"/>
              <a:ea typeface="MS Sans Serif"/>
              <a:cs typeface="MS Sans Serif"/>
            </a:rPr>
            <a:t>Intake</a:t>
          </a:r>
        </a:p>
      </xdr:txBody>
    </xdr:sp>
    <xdr:clientData/>
  </xdr:twoCellAnchor>
  <xdr:twoCellAnchor>
    <xdr:from>
      <xdr:col>7</xdr:col>
      <xdr:colOff>66675</xdr:colOff>
      <xdr:row>1</xdr:row>
      <xdr:rowOff>85725</xdr:rowOff>
    </xdr:from>
    <xdr:to>
      <xdr:col>15</xdr:col>
      <xdr:colOff>419100</xdr:colOff>
      <xdr:row>2</xdr:row>
      <xdr:rowOff>152400</xdr:rowOff>
    </xdr:to>
    <xdr:sp>
      <xdr:nvSpPr>
        <xdr:cNvPr id="61" name="TextBox 84"/>
        <xdr:cNvSpPr txBox="1">
          <a:spLocks noChangeArrowheads="1"/>
        </xdr:cNvSpPr>
      </xdr:nvSpPr>
      <xdr:spPr>
        <a:xfrm>
          <a:off x="4333875" y="285750"/>
          <a:ext cx="5229225" cy="228600"/>
        </a:xfrm>
        <a:prstGeom prst="rect">
          <a:avLst/>
        </a:prstGeom>
        <a:solidFill>
          <a:srgbClr val="FFFFFF"/>
        </a:solidFill>
        <a:ln w="25400" cmpd="sng">
          <a:noFill/>
        </a:ln>
      </xdr:spPr>
      <xdr:txBody>
        <a:bodyPr vertOverflow="clip" wrap="square"/>
        <a:p>
          <a:pPr algn="ctr">
            <a:defRPr/>
          </a:pPr>
          <a:r>
            <a:rPr lang="en-US" cap="none" sz="1000" b="1" i="0" u="none" baseline="0">
              <a:latin typeface="MS Sans Serif"/>
              <a:ea typeface="MS Sans Serif"/>
              <a:cs typeface="MS Sans Serif"/>
            </a:rPr>
            <a:t>Primary Treatment</a:t>
          </a:r>
        </a:p>
      </xdr:txBody>
    </xdr:sp>
    <xdr:clientData/>
  </xdr:twoCellAnchor>
  <xdr:twoCellAnchor>
    <xdr:from>
      <xdr:col>25</xdr:col>
      <xdr:colOff>457200</xdr:colOff>
      <xdr:row>13</xdr:row>
      <xdr:rowOff>38100</xdr:rowOff>
    </xdr:from>
    <xdr:to>
      <xdr:col>25</xdr:col>
      <xdr:colOff>466725</xdr:colOff>
      <xdr:row>22</xdr:row>
      <xdr:rowOff>133350</xdr:rowOff>
    </xdr:to>
    <xdr:sp>
      <xdr:nvSpPr>
        <xdr:cNvPr id="62" name="Line 86"/>
        <xdr:cNvSpPr>
          <a:spLocks/>
        </xdr:cNvSpPr>
      </xdr:nvSpPr>
      <xdr:spPr>
        <a:xfrm>
          <a:off x="15697200" y="2181225"/>
          <a:ext cx="9525" cy="15525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15</xdr:col>
      <xdr:colOff>276225</xdr:colOff>
      <xdr:row>48</xdr:row>
      <xdr:rowOff>66675</xdr:rowOff>
    </xdr:from>
    <xdr:to>
      <xdr:col>32</xdr:col>
      <xdr:colOff>428625</xdr:colOff>
      <xdr:row>48</xdr:row>
      <xdr:rowOff>76200</xdr:rowOff>
    </xdr:to>
    <xdr:sp>
      <xdr:nvSpPr>
        <xdr:cNvPr id="63" name="Line 88"/>
        <xdr:cNvSpPr>
          <a:spLocks/>
        </xdr:cNvSpPr>
      </xdr:nvSpPr>
      <xdr:spPr>
        <a:xfrm flipV="1">
          <a:off x="9420225" y="7877175"/>
          <a:ext cx="10515600" cy="9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33</xdr:col>
      <xdr:colOff>323850</xdr:colOff>
      <xdr:row>33</xdr:row>
      <xdr:rowOff>47625</xdr:rowOff>
    </xdr:from>
    <xdr:to>
      <xdr:col>34</xdr:col>
      <xdr:colOff>542925</xdr:colOff>
      <xdr:row>34</xdr:row>
      <xdr:rowOff>123825</xdr:rowOff>
    </xdr:to>
    <xdr:sp>
      <xdr:nvSpPr>
        <xdr:cNvPr id="64" name="TextBox 89"/>
        <xdr:cNvSpPr txBox="1">
          <a:spLocks noChangeArrowheads="1"/>
        </xdr:cNvSpPr>
      </xdr:nvSpPr>
      <xdr:spPr>
        <a:xfrm>
          <a:off x="20440650" y="5429250"/>
          <a:ext cx="828675" cy="238125"/>
        </a:xfrm>
        <a:prstGeom prst="rect">
          <a:avLst/>
        </a:prstGeom>
        <a:solidFill>
          <a:srgbClr val="FFFFFF"/>
        </a:solidFill>
        <a:ln w="25400" cmpd="sng">
          <a:solidFill>
            <a:srgbClr val="008000"/>
          </a:solidFill>
          <a:headEnd type="none"/>
          <a:tailEnd type="none"/>
        </a:ln>
      </xdr:spPr>
      <xdr:txBody>
        <a:bodyPr vertOverflow="clip" wrap="square"/>
        <a:p>
          <a:pPr algn="l">
            <a:defRPr/>
          </a:pPr>
          <a:r>
            <a:rPr lang="en-US" cap="none" sz="1000" b="1" i="0" u="none" baseline="0">
              <a:latin typeface="MS Sans Serif"/>
              <a:ea typeface="MS Sans Serif"/>
              <a:cs typeface="MS Sans Serif"/>
            </a:rPr>
            <a:t>Clearwell</a:t>
          </a:r>
        </a:p>
      </xdr:txBody>
    </xdr:sp>
    <xdr:clientData/>
  </xdr:twoCellAnchor>
  <xdr:twoCellAnchor>
    <xdr:from>
      <xdr:col>16</xdr:col>
      <xdr:colOff>514350</xdr:colOff>
      <xdr:row>1</xdr:row>
      <xdr:rowOff>66675</xdr:rowOff>
    </xdr:from>
    <xdr:to>
      <xdr:col>27</xdr:col>
      <xdr:colOff>514350</xdr:colOff>
      <xdr:row>2</xdr:row>
      <xdr:rowOff>133350</xdr:rowOff>
    </xdr:to>
    <xdr:sp>
      <xdr:nvSpPr>
        <xdr:cNvPr id="65" name="TextBox 92"/>
        <xdr:cNvSpPr txBox="1">
          <a:spLocks noChangeArrowheads="1"/>
        </xdr:cNvSpPr>
      </xdr:nvSpPr>
      <xdr:spPr>
        <a:xfrm>
          <a:off x="10267950" y="266700"/>
          <a:ext cx="6705600" cy="228600"/>
        </a:xfrm>
        <a:prstGeom prst="rect">
          <a:avLst/>
        </a:prstGeom>
        <a:solidFill>
          <a:srgbClr val="FFFFFF"/>
        </a:solidFill>
        <a:ln w="25400" cmpd="sng">
          <a:noFill/>
        </a:ln>
      </xdr:spPr>
      <xdr:txBody>
        <a:bodyPr vertOverflow="clip" wrap="square"/>
        <a:p>
          <a:pPr algn="ctr">
            <a:defRPr/>
          </a:pPr>
          <a:r>
            <a:rPr lang="en-US" cap="none" sz="1000" b="1" i="0" u="none" baseline="0">
              <a:latin typeface="MS Sans Serif"/>
              <a:ea typeface="MS Sans Serif"/>
              <a:cs typeface="MS Sans Serif"/>
            </a:rPr>
            <a:t>Desalination</a:t>
          </a:r>
        </a:p>
      </xdr:txBody>
    </xdr:sp>
    <xdr:clientData/>
  </xdr:twoCellAnchor>
  <xdr:twoCellAnchor>
    <xdr:from>
      <xdr:col>7</xdr:col>
      <xdr:colOff>28575</xdr:colOff>
      <xdr:row>1</xdr:row>
      <xdr:rowOff>104775</xdr:rowOff>
    </xdr:from>
    <xdr:to>
      <xdr:col>7</xdr:col>
      <xdr:colOff>47625</xdr:colOff>
      <xdr:row>64</xdr:row>
      <xdr:rowOff>114300</xdr:rowOff>
    </xdr:to>
    <xdr:sp>
      <xdr:nvSpPr>
        <xdr:cNvPr id="66" name="Line 61"/>
        <xdr:cNvSpPr>
          <a:spLocks/>
        </xdr:cNvSpPr>
      </xdr:nvSpPr>
      <xdr:spPr>
        <a:xfrm>
          <a:off x="4295775" y="304800"/>
          <a:ext cx="19050" cy="10210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495300</xdr:colOff>
      <xdr:row>1</xdr:row>
      <xdr:rowOff>47625</xdr:rowOff>
    </xdr:from>
    <xdr:to>
      <xdr:col>1</xdr:col>
      <xdr:colOff>514350</xdr:colOff>
      <xdr:row>64</xdr:row>
      <xdr:rowOff>133350</xdr:rowOff>
    </xdr:to>
    <xdr:sp>
      <xdr:nvSpPr>
        <xdr:cNvPr id="67" name="Line 82"/>
        <xdr:cNvSpPr>
          <a:spLocks/>
        </xdr:cNvSpPr>
      </xdr:nvSpPr>
      <xdr:spPr>
        <a:xfrm>
          <a:off x="1104900" y="247650"/>
          <a:ext cx="19050" cy="102870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28</xdr:col>
      <xdr:colOff>485775</xdr:colOff>
      <xdr:row>1</xdr:row>
      <xdr:rowOff>28575</xdr:rowOff>
    </xdr:from>
    <xdr:to>
      <xdr:col>32</xdr:col>
      <xdr:colOff>28575</xdr:colOff>
      <xdr:row>2</xdr:row>
      <xdr:rowOff>95250</xdr:rowOff>
    </xdr:to>
    <xdr:sp>
      <xdr:nvSpPr>
        <xdr:cNvPr id="68" name="TextBox 93"/>
        <xdr:cNvSpPr txBox="1">
          <a:spLocks noChangeArrowheads="1"/>
        </xdr:cNvSpPr>
      </xdr:nvSpPr>
      <xdr:spPr>
        <a:xfrm>
          <a:off x="17554575" y="228600"/>
          <a:ext cx="1981200" cy="228600"/>
        </a:xfrm>
        <a:prstGeom prst="rect">
          <a:avLst/>
        </a:prstGeom>
        <a:solidFill>
          <a:srgbClr val="FFFFFF"/>
        </a:solidFill>
        <a:ln w="25400" cmpd="sng">
          <a:noFill/>
        </a:ln>
      </xdr:spPr>
      <xdr:txBody>
        <a:bodyPr vertOverflow="clip" wrap="square"/>
        <a:p>
          <a:pPr algn="ctr">
            <a:defRPr/>
          </a:pPr>
          <a:r>
            <a:rPr lang="en-US" cap="none" sz="1000" b="1" i="0" u="none" baseline="0">
              <a:latin typeface="MS Sans Serif"/>
              <a:ea typeface="MS Sans Serif"/>
              <a:cs typeface="MS Sans Serif"/>
            </a:rPr>
            <a:t>Disinfection</a:t>
          </a:r>
        </a:p>
      </xdr:txBody>
    </xdr:sp>
    <xdr:clientData/>
  </xdr:twoCellAnchor>
  <xdr:twoCellAnchor>
    <xdr:from>
      <xdr:col>4</xdr:col>
      <xdr:colOff>581025</xdr:colOff>
      <xdr:row>48</xdr:row>
      <xdr:rowOff>152400</xdr:rowOff>
    </xdr:from>
    <xdr:to>
      <xdr:col>7</xdr:col>
      <xdr:colOff>228600</xdr:colOff>
      <xdr:row>48</xdr:row>
      <xdr:rowOff>152400</xdr:rowOff>
    </xdr:to>
    <xdr:sp>
      <xdr:nvSpPr>
        <xdr:cNvPr id="69" name="Line 94"/>
        <xdr:cNvSpPr>
          <a:spLocks/>
        </xdr:cNvSpPr>
      </xdr:nvSpPr>
      <xdr:spPr>
        <a:xfrm flipV="1">
          <a:off x="3019425" y="7962900"/>
          <a:ext cx="147637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371475</xdr:colOff>
      <xdr:row>53</xdr:row>
      <xdr:rowOff>85725</xdr:rowOff>
    </xdr:from>
    <xdr:to>
      <xdr:col>6</xdr:col>
      <xdr:colOff>466725</xdr:colOff>
      <xdr:row>60</xdr:row>
      <xdr:rowOff>76200</xdr:rowOff>
    </xdr:to>
    <xdr:sp>
      <xdr:nvSpPr>
        <xdr:cNvPr id="70" name="TextBox 95"/>
        <xdr:cNvSpPr txBox="1">
          <a:spLocks noChangeArrowheads="1"/>
        </xdr:cNvSpPr>
      </xdr:nvSpPr>
      <xdr:spPr>
        <a:xfrm>
          <a:off x="2200275" y="8705850"/>
          <a:ext cx="1924050" cy="11239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latin typeface="MS Sans Serif"/>
              <a:ea typeface="MS Sans Serif"/>
              <a:cs typeface="MS Sans Serif"/>
            </a:rPr>
            <a:t>Chemicals
</a:t>
          </a:r>
          <a:r>
            <a:rPr lang="en-US" cap="none" sz="1000" b="1" i="0" u="none" baseline="0">
              <a:solidFill>
                <a:srgbClr val="CC99FF"/>
              </a:solidFill>
              <a:latin typeface="MS Sans Serif"/>
              <a:ea typeface="MS Sans Serif"/>
              <a:cs typeface="MS Sans Serif"/>
            </a:rPr>
            <a:t>-Cl</a:t>
          </a:r>
          <a:r>
            <a:rPr lang="en-US" cap="none" sz="1000" b="1" i="0" u="none" baseline="-25000">
              <a:solidFill>
                <a:srgbClr val="CC99FF"/>
              </a:solidFill>
              <a:latin typeface="MS Sans Serif"/>
              <a:ea typeface="MS Sans Serif"/>
              <a:cs typeface="MS Sans Serif"/>
            </a:rPr>
            <a:t>2</a:t>
          </a:r>
          <a:r>
            <a:rPr lang="en-US" cap="none" sz="1000" b="1" i="0" u="none" baseline="0">
              <a:solidFill>
                <a:srgbClr val="CC99FF"/>
              </a:solidFill>
              <a:latin typeface="MS Sans Serif"/>
              <a:ea typeface="MS Sans Serif"/>
              <a:cs typeface="MS Sans Serif"/>
            </a:rPr>
            <a:t>
-Ozone
-Potassium Permanganate
-Acid
-Lime
</a:t>
          </a:r>
        </a:p>
      </xdr:txBody>
    </xdr:sp>
    <xdr:clientData/>
  </xdr:twoCellAnchor>
  <xdr:twoCellAnchor>
    <xdr:from>
      <xdr:col>5</xdr:col>
      <xdr:colOff>552450</xdr:colOff>
      <xdr:row>49</xdr:row>
      <xdr:rowOff>0</xdr:rowOff>
    </xdr:from>
    <xdr:to>
      <xdr:col>5</xdr:col>
      <xdr:colOff>552450</xdr:colOff>
      <xdr:row>53</xdr:row>
      <xdr:rowOff>85725</xdr:rowOff>
    </xdr:to>
    <xdr:sp>
      <xdr:nvSpPr>
        <xdr:cNvPr id="71" name="Line 96"/>
        <xdr:cNvSpPr>
          <a:spLocks/>
        </xdr:cNvSpPr>
      </xdr:nvSpPr>
      <xdr:spPr>
        <a:xfrm flipV="1">
          <a:off x="3600450" y="7972425"/>
          <a:ext cx="0" cy="733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276225</xdr:colOff>
      <xdr:row>48</xdr:row>
      <xdr:rowOff>0</xdr:rowOff>
    </xdr:from>
    <xdr:to>
      <xdr:col>3</xdr:col>
      <xdr:colOff>561975</xdr:colOff>
      <xdr:row>49</xdr:row>
      <xdr:rowOff>152400</xdr:rowOff>
    </xdr:to>
    <xdr:sp>
      <xdr:nvSpPr>
        <xdr:cNvPr id="72" name="TextBox 97"/>
        <xdr:cNvSpPr txBox="1">
          <a:spLocks noChangeArrowheads="1"/>
        </xdr:cNvSpPr>
      </xdr:nvSpPr>
      <xdr:spPr>
        <a:xfrm>
          <a:off x="1495425" y="7810500"/>
          <a:ext cx="895350" cy="314325"/>
        </a:xfrm>
        <a:prstGeom prst="rect">
          <a:avLst/>
        </a:prstGeom>
        <a:solidFill>
          <a:srgbClr val="CC99FF"/>
        </a:solidFill>
        <a:ln w="25400" cmpd="sng">
          <a:solidFill>
            <a:srgbClr val="000000"/>
          </a:solidFill>
          <a:headEnd type="none"/>
          <a:tailEnd type="none"/>
        </a:ln>
      </xdr:spPr>
      <xdr:txBody>
        <a:bodyPr vertOverflow="clip" wrap="square"/>
        <a:p>
          <a:pPr algn="l">
            <a:defRPr/>
          </a:pPr>
          <a:r>
            <a:rPr lang="en-US" cap="none" sz="1000" b="1" i="0" u="none" baseline="0">
              <a:latin typeface="MS Sans Serif"/>
              <a:ea typeface="MS Sans Serif"/>
              <a:cs typeface="MS Sans Serif"/>
            </a:rPr>
            <a:t>Air Stripping</a:t>
          </a:r>
        </a:p>
      </xdr:txBody>
    </xdr:sp>
    <xdr:clientData/>
  </xdr:twoCellAnchor>
  <xdr:twoCellAnchor>
    <xdr:from>
      <xdr:col>3</xdr:col>
      <xdr:colOff>561975</xdr:colOff>
      <xdr:row>49</xdr:row>
      <xdr:rowOff>0</xdr:rowOff>
    </xdr:from>
    <xdr:to>
      <xdr:col>4</xdr:col>
      <xdr:colOff>504825</xdr:colOff>
      <xdr:row>49</xdr:row>
      <xdr:rowOff>0</xdr:rowOff>
    </xdr:to>
    <xdr:sp>
      <xdr:nvSpPr>
        <xdr:cNvPr id="73" name="Line 98"/>
        <xdr:cNvSpPr>
          <a:spLocks/>
        </xdr:cNvSpPr>
      </xdr:nvSpPr>
      <xdr:spPr>
        <a:xfrm>
          <a:off x="2390775" y="7972425"/>
          <a:ext cx="5524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26</xdr:col>
      <xdr:colOff>485775</xdr:colOff>
      <xdr:row>28</xdr:row>
      <xdr:rowOff>9525</xdr:rowOff>
    </xdr:from>
    <xdr:to>
      <xdr:col>28</xdr:col>
      <xdr:colOff>257175</xdr:colOff>
      <xdr:row>32</xdr:row>
      <xdr:rowOff>114300</xdr:rowOff>
    </xdr:to>
    <xdr:sp>
      <xdr:nvSpPr>
        <xdr:cNvPr id="74" name="TextBox 99"/>
        <xdr:cNvSpPr txBox="1">
          <a:spLocks noChangeArrowheads="1"/>
        </xdr:cNvSpPr>
      </xdr:nvSpPr>
      <xdr:spPr>
        <a:xfrm>
          <a:off x="16335375" y="4581525"/>
          <a:ext cx="990600" cy="752475"/>
        </a:xfrm>
        <a:prstGeom prst="rect">
          <a:avLst/>
        </a:prstGeom>
        <a:noFill/>
        <a:ln w="25400" cmpd="sng">
          <a:solidFill>
            <a:srgbClr val="FF0000"/>
          </a:solidFill>
          <a:headEnd type="none"/>
          <a:tailEnd type="none"/>
        </a:ln>
      </xdr:spPr>
      <xdr:txBody>
        <a:bodyPr vertOverflow="clip" wrap="square"/>
        <a:p>
          <a:pPr algn="l">
            <a:defRPr/>
          </a:pPr>
          <a:r>
            <a:rPr lang="en-US" cap="none" sz="1000" b="1" i="0" u="sng" baseline="0">
              <a:latin typeface="MS Sans Serif"/>
              <a:ea typeface="MS Sans Serif"/>
              <a:cs typeface="MS Sans Serif"/>
            </a:rPr>
            <a:t>Stabilization
</a:t>
          </a:r>
          <a:r>
            <a:rPr lang="en-US" cap="none" sz="1000" b="1" i="0" u="none" baseline="0">
              <a:latin typeface="MS Sans Serif"/>
              <a:ea typeface="MS Sans Serif"/>
              <a:cs typeface="MS Sans Serif"/>
            </a:rPr>
            <a:t>
</a:t>
          </a:r>
        </a:p>
      </xdr:txBody>
    </xdr:sp>
    <xdr:clientData/>
  </xdr:twoCellAnchor>
  <xdr:twoCellAnchor>
    <xdr:from>
      <xdr:col>28</xdr:col>
      <xdr:colOff>114300</xdr:colOff>
      <xdr:row>18</xdr:row>
      <xdr:rowOff>28575</xdr:rowOff>
    </xdr:from>
    <xdr:to>
      <xdr:col>28</xdr:col>
      <xdr:colOff>123825</xdr:colOff>
      <xdr:row>28</xdr:row>
      <xdr:rowOff>9525</xdr:rowOff>
    </xdr:to>
    <xdr:sp>
      <xdr:nvSpPr>
        <xdr:cNvPr id="75" name="Line 100"/>
        <xdr:cNvSpPr>
          <a:spLocks/>
        </xdr:cNvSpPr>
      </xdr:nvSpPr>
      <xdr:spPr>
        <a:xfrm flipH="1" flipV="1">
          <a:off x="17183100" y="2981325"/>
          <a:ext cx="9525" cy="16002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20</xdr:col>
      <xdr:colOff>104775</xdr:colOff>
      <xdr:row>10</xdr:row>
      <xdr:rowOff>28575</xdr:rowOff>
    </xdr:from>
    <xdr:to>
      <xdr:col>20</xdr:col>
      <xdr:colOff>114300</xdr:colOff>
      <xdr:row>13</xdr:row>
      <xdr:rowOff>19050</xdr:rowOff>
    </xdr:to>
    <xdr:sp>
      <xdr:nvSpPr>
        <xdr:cNvPr id="76" name="Line 102"/>
        <xdr:cNvSpPr>
          <a:spLocks/>
        </xdr:cNvSpPr>
      </xdr:nvSpPr>
      <xdr:spPr>
        <a:xfrm>
          <a:off x="12296775" y="1685925"/>
          <a:ext cx="9525" cy="4762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16</xdr:col>
      <xdr:colOff>495300</xdr:colOff>
      <xdr:row>1</xdr:row>
      <xdr:rowOff>38100</xdr:rowOff>
    </xdr:from>
    <xdr:to>
      <xdr:col>16</xdr:col>
      <xdr:colOff>514350</xdr:colOff>
      <xdr:row>64</xdr:row>
      <xdr:rowOff>114300</xdr:rowOff>
    </xdr:to>
    <xdr:sp>
      <xdr:nvSpPr>
        <xdr:cNvPr id="77" name="Line 85"/>
        <xdr:cNvSpPr>
          <a:spLocks/>
        </xdr:cNvSpPr>
      </xdr:nvSpPr>
      <xdr:spPr>
        <a:xfrm>
          <a:off x="10248900" y="238125"/>
          <a:ext cx="19050" cy="10277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28</xdr:col>
      <xdr:colOff>466725</xdr:colOff>
      <xdr:row>1</xdr:row>
      <xdr:rowOff>28575</xdr:rowOff>
    </xdr:from>
    <xdr:to>
      <xdr:col>28</xdr:col>
      <xdr:colOff>485775</xdr:colOff>
      <xdr:row>59</xdr:row>
      <xdr:rowOff>95250</xdr:rowOff>
    </xdr:to>
    <xdr:sp>
      <xdr:nvSpPr>
        <xdr:cNvPr id="78" name="Line 87"/>
        <xdr:cNvSpPr>
          <a:spLocks/>
        </xdr:cNvSpPr>
      </xdr:nvSpPr>
      <xdr:spPr>
        <a:xfrm>
          <a:off x="17535525" y="228600"/>
          <a:ext cx="19050" cy="94583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32</xdr:col>
      <xdr:colOff>28575</xdr:colOff>
      <xdr:row>1</xdr:row>
      <xdr:rowOff>0</xdr:rowOff>
    </xdr:from>
    <xdr:to>
      <xdr:col>32</xdr:col>
      <xdr:colOff>66675</xdr:colOff>
      <xdr:row>59</xdr:row>
      <xdr:rowOff>142875</xdr:rowOff>
    </xdr:to>
    <xdr:sp>
      <xdr:nvSpPr>
        <xdr:cNvPr id="79" name="Line 91"/>
        <xdr:cNvSpPr>
          <a:spLocks/>
        </xdr:cNvSpPr>
      </xdr:nvSpPr>
      <xdr:spPr>
        <a:xfrm>
          <a:off x="19535775" y="200025"/>
          <a:ext cx="38100" cy="95345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57150</xdr:colOff>
      <xdr:row>3</xdr:row>
      <xdr:rowOff>9525</xdr:rowOff>
    </xdr:from>
    <xdr:to>
      <xdr:col>32</xdr:col>
      <xdr:colOff>209550</xdr:colOff>
      <xdr:row>3</xdr:row>
      <xdr:rowOff>19050</xdr:rowOff>
    </xdr:to>
    <xdr:sp>
      <xdr:nvSpPr>
        <xdr:cNvPr id="80" name="Line 80"/>
        <xdr:cNvSpPr>
          <a:spLocks/>
        </xdr:cNvSpPr>
      </xdr:nvSpPr>
      <xdr:spPr>
        <a:xfrm flipV="1">
          <a:off x="57150" y="533400"/>
          <a:ext cx="19659600" cy="95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30</xdr:col>
      <xdr:colOff>314325</xdr:colOff>
      <xdr:row>18</xdr:row>
      <xdr:rowOff>57150</xdr:rowOff>
    </xdr:from>
    <xdr:to>
      <xdr:col>30</xdr:col>
      <xdr:colOff>314325</xdr:colOff>
      <xdr:row>23</xdr:row>
      <xdr:rowOff>19050</xdr:rowOff>
    </xdr:to>
    <xdr:sp>
      <xdr:nvSpPr>
        <xdr:cNvPr id="81" name="Line 104"/>
        <xdr:cNvSpPr>
          <a:spLocks/>
        </xdr:cNvSpPr>
      </xdr:nvSpPr>
      <xdr:spPr>
        <a:xfrm flipV="1">
          <a:off x="18602325" y="3009900"/>
          <a:ext cx="0" cy="771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29</xdr:col>
      <xdr:colOff>209550</xdr:colOff>
      <xdr:row>54</xdr:row>
      <xdr:rowOff>9525</xdr:rowOff>
    </xdr:from>
    <xdr:to>
      <xdr:col>31</xdr:col>
      <xdr:colOff>266700</xdr:colOff>
      <xdr:row>59</xdr:row>
      <xdr:rowOff>114300</xdr:rowOff>
    </xdr:to>
    <xdr:sp>
      <xdr:nvSpPr>
        <xdr:cNvPr id="82" name="TextBox 105"/>
        <xdr:cNvSpPr txBox="1">
          <a:spLocks noChangeArrowheads="1"/>
        </xdr:cNvSpPr>
      </xdr:nvSpPr>
      <xdr:spPr>
        <a:xfrm>
          <a:off x="17887950" y="8791575"/>
          <a:ext cx="1276350" cy="9144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latin typeface="MS Sans Serif"/>
              <a:ea typeface="MS Sans Serif"/>
              <a:cs typeface="MS Sans Serif"/>
            </a:rPr>
            <a:t>Disinfection
</a:t>
          </a:r>
          <a:r>
            <a:rPr lang="en-US" cap="none" sz="1000" b="1" i="0" u="none" baseline="0">
              <a:solidFill>
                <a:srgbClr val="CC99FF"/>
              </a:solidFill>
              <a:latin typeface="MS Sans Serif"/>
              <a:ea typeface="MS Sans Serif"/>
              <a:cs typeface="MS Sans Serif"/>
            </a:rPr>
            <a:t>-Cl</a:t>
          </a:r>
          <a:r>
            <a:rPr lang="en-US" cap="none" sz="1000" b="1" i="0" u="none" baseline="-25000">
              <a:solidFill>
                <a:srgbClr val="CC99FF"/>
              </a:solidFill>
              <a:latin typeface="MS Sans Serif"/>
              <a:ea typeface="MS Sans Serif"/>
              <a:cs typeface="MS Sans Serif"/>
            </a:rPr>
            <a:t>2</a:t>
          </a:r>
          <a:r>
            <a:rPr lang="en-US" cap="none" sz="1000" b="1" i="0" u="none" baseline="0">
              <a:solidFill>
                <a:srgbClr val="CC99FF"/>
              </a:solidFill>
              <a:latin typeface="MS Sans Serif"/>
              <a:ea typeface="MS Sans Serif"/>
              <a:cs typeface="MS Sans Serif"/>
            </a:rPr>
            <a:t>
-Ozone
-Chlorine Dioxide
-Chloramines</a:t>
          </a:r>
          <a:r>
            <a:rPr lang="en-US" cap="none" sz="1000" b="1" i="0" u="none" baseline="0">
              <a:latin typeface="MS Sans Serif"/>
              <a:ea typeface="MS Sans Serif"/>
              <a:cs typeface="MS Sans Serif"/>
            </a:rPr>
            <a:t>
</a:t>
          </a:r>
        </a:p>
      </xdr:txBody>
    </xdr:sp>
    <xdr:clientData/>
  </xdr:twoCellAnchor>
  <xdr:twoCellAnchor>
    <xdr:from>
      <xdr:col>30</xdr:col>
      <xdr:colOff>238125</xdr:colOff>
      <xdr:row>49</xdr:row>
      <xdr:rowOff>28575</xdr:rowOff>
    </xdr:from>
    <xdr:to>
      <xdr:col>30</xdr:col>
      <xdr:colOff>238125</xdr:colOff>
      <xdr:row>53</xdr:row>
      <xdr:rowOff>152400</xdr:rowOff>
    </xdr:to>
    <xdr:sp>
      <xdr:nvSpPr>
        <xdr:cNvPr id="83" name="Line 106"/>
        <xdr:cNvSpPr>
          <a:spLocks/>
        </xdr:cNvSpPr>
      </xdr:nvSpPr>
      <xdr:spPr>
        <a:xfrm flipV="1">
          <a:off x="18526125" y="8001000"/>
          <a:ext cx="0" cy="771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32</xdr:col>
      <xdr:colOff>428625</xdr:colOff>
      <xdr:row>18</xdr:row>
      <xdr:rowOff>47625</xdr:rowOff>
    </xdr:from>
    <xdr:to>
      <xdr:col>32</xdr:col>
      <xdr:colOff>438150</xdr:colOff>
      <xdr:row>48</xdr:row>
      <xdr:rowOff>19050</xdr:rowOff>
    </xdr:to>
    <xdr:sp>
      <xdr:nvSpPr>
        <xdr:cNvPr id="84" name="Line 108"/>
        <xdr:cNvSpPr>
          <a:spLocks/>
        </xdr:cNvSpPr>
      </xdr:nvSpPr>
      <xdr:spPr>
        <a:xfrm flipH="1">
          <a:off x="19935825" y="3000375"/>
          <a:ext cx="9525" cy="4829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32</xdr:col>
      <xdr:colOff>428625</xdr:colOff>
      <xdr:row>33</xdr:row>
      <xdr:rowOff>152400</xdr:rowOff>
    </xdr:from>
    <xdr:to>
      <xdr:col>33</xdr:col>
      <xdr:colOff>314325</xdr:colOff>
      <xdr:row>33</xdr:row>
      <xdr:rowOff>152400</xdr:rowOff>
    </xdr:to>
    <xdr:sp>
      <xdr:nvSpPr>
        <xdr:cNvPr id="85" name="Line 109"/>
        <xdr:cNvSpPr>
          <a:spLocks/>
        </xdr:cNvSpPr>
      </xdr:nvSpPr>
      <xdr:spPr>
        <a:xfrm>
          <a:off x="19935825" y="5534025"/>
          <a:ext cx="4953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66675</xdr:colOff>
      <xdr:row>16</xdr:row>
      <xdr:rowOff>57150</xdr:rowOff>
    </xdr:from>
    <xdr:to>
      <xdr:col>2</xdr:col>
      <xdr:colOff>323850</xdr:colOff>
      <xdr:row>16</xdr:row>
      <xdr:rowOff>66675</xdr:rowOff>
    </xdr:to>
    <xdr:sp>
      <xdr:nvSpPr>
        <xdr:cNvPr id="86" name="Line 110"/>
        <xdr:cNvSpPr>
          <a:spLocks/>
        </xdr:cNvSpPr>
      </xdr:nvSpPr>
      <xdr:spPr>
        <a:xfrm>
          <a:off x="1285875" y="2686050"/>
          <a:ext cx="257175" cy="95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38100</xdr:colOff>
      <xdr:row>48</xdr:row>
      <xdr:rowOff>152400</xdr:rowOff>
    </xdr:from>
    <xdr:to>
      <xdr:col>2</xdr:col>
      <xdr:colOff>285750</xdr:colOff>
      <xdr:row>49</xdr:row>
      <xdr:rowOff>0</xdr:rowOff>
    </xdr:to>
    <xdr:sp>
      <xdr:nvSpPr>
        <xdr:cNvPr id="87" name="Line 111"/>
        <xdr:cNvSpPr>
          <a:spLocks/>
        </xdr:cNvSpPr>
      </xdr:nvSpPr>
      <xdr:spPr>
        <a:xfrm>
          <a:off x="1257300" y="7962900"/>
          <a:ext cx="247650" cy="95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76200</xdr:colOff>
      <xdr:row>16</xdr:row>
      <xdr:rowOff>57150</xdr:rowOff>
    </xdr:from>
    <xdr:to>
      <xdr:col>2</xdr:col>
      <xdr:colOff>76200</xdr:colOff>
      <xdr:row>49</xdr:row>
      <xdr:rowOff>0</xdr:rowOff>
    </xdr:to>
    <xdr:sp>
      <xdr:nvSpPr>
        <xdr:cNvPr id="88" name="Line 112"/>
        <xdr:cNvSpPr>
          <a:spLocks/>
        </xdr:cNvSpPr>
      </xdr:nvSpPr>
      <xdr:spPr>
        <a:xfrm flipH="1">
          <a:off x="1295400" y="2686050"/>
          <a:ext cx="0" cy="52863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7</xdr:col>
      <xdr:colOff>228600</xdr:colOff>
      <xdr:row>11</xdr:row>
      <xdr:rowOff>57150</xdr:rowOff>
    </xdr:from>
    <xdr:to>
      <xdr:col>7</xdr:col>
      <xdr:colOff>238125</xdr:colOff>
      <xdr:row>20</xdr:row>
      <xdr:rowOff>114300</xdr:rowOff>
    </xdr:to>
    <xdr:sp>
      <xdr:nvSpPr>
        <xdr:cNvPr id="89" name="Line 113"/>
        <xdr:cNvSpPr>
          <a:spLocks/>
        </xdr:cNvSpPr>
      </xdr:nvSpPr>
      <xdr:spPr>
        <a:xfrm flipH="1">
          <a:off x="4495800" y="1876425"/>
          <a:ext cx="9525" cy="1514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7</xdr:col>
      <xdr:colOff>266700</xdr:colOff>
      <xdr:row>44</xdr:row>
      <xdr:rowOff>28575</xdr:rowOff>
    </xdr:from>
    <xdr:to>
      <xdr:col>7</xdr:col>
      <xdr:colOff>276225</xdr:colOff>
      <xdr:row>53</xdr:row>
      <xdr:rowOff>85725</xdr:rowOff>
    </xdr:to>
    <xdr:sp>
      <xdr:nvSpPr>
        <xdr:cNvPr id="90" name="Line 114"/>
        <xdr:cNvSpPr>
          <a:spLocks/>
        </xdr:cNvSpPr>
      </xdr:nvSpPr>
      <xdr:spPr>
        <a:xfrm flipH="1">
          <a:off x="4533900" y="7191375"/>
          <a:ext cx="9525" cy="1514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15</xdr:col>
      <xdr:colOff>266700</xdr:colOff>
      <xdr:row>44</xdr:row>
      <xdr:rowOff>0</xdr:rowOff>
    </xdr:from>
    <xdr:to>
      <xdr:col>15</xdr:col>
      <xdr:colOff>266700</xdr:colOff>
      <xdr:row>53</xdr:row>
      <xdr:rowOff>9525</xdr:rowOff>
    </xdr:to>
    <xdr:sp>
      <xdr:nvSpPr>
        <xdr:cNvPr id="91" name="Line 115"/>
        <xdr:cNvSpPr>
          <a:spLocks/>
        </xdr:cNvSpPr>
      </xdr:nvSpPr>
      <xdr:spPr>
        <a:xfrm>
          <a:off x="9410700" y="7162800"/>
          <a:ext cx="0" cy="14668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17</xdr:col>
      <xdr:colOff>190500</xdr:colOff>
      <xdr:row>26</xdr:row>
      <xdr:rowOff>76200</xdr:rowOff>
    </xdr:from>
    <xdr:to>
      <xdr:col>27</xdr:col>
      <xdr:colOff>352425</xdr:colOff>
      <xdr:row>26</xdr:row>
      <xdr:rowOff>76200</xdr:rowOff>
    </xdr:to>
    <xdr:sp>
      <xdr:nvSpPr>
        <xdr:cNvPr id="92" name="Line 116"/>
        <xdr:cNvSpPr>
          <a:spLocks/>
        </xdr:cNvSpPr>
      </xdr:nvSpPr>
      <xdr:spPr>
        <a:xfrm flipV="1">
          <a:off x="10553700" y="4324350"/>
          <a:ext cx="62579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27</xdr:col>
      <xdr:colOff>352425</xdr:colOff>
      <xdr:row>18</xdr:row>
      <xdr:rowOff>0</xdr:rowOff>
    </xdr:from>
    <xdr:to>
      <xdr:col>27</xdr:col>
      <xdr:colOff>361950</xdr:colOff>
      <xdr:row>26</xdr:row>
      <xdr:rowOff>76200</xdr:rowOff>
    </xdr:to>
    <xdr:sp>
      <xdr:nvSpPr>
        <xdr:cNvPr id="93" name="Line 117"/>
        <xdr:cNvSpPr>
          <a:spLocks/>
        </xdr:cNvSpPr>
      </xdr:nvSpPr>
      <xdr:spPr>
        <a:xfrm flipV="1">
          <a:off x="16811625" y="2952750"/>
          <a:ext cx="9525" cy="1371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22</xdr:col>
      <xdr:colOff>323850</xdr:colOff>
      <xdr:row>26</xdr:row>
      <xdr:rowOff>152400</xdr:rowOff>
    </xdr:from>
    <xdr:to>
      <xdr:col>24</xdr:col>
      <xdr:colOff>85725</xdr:colOff>
      <xdr:row>29</xdr:row>
      <xdr:rowOff>0</xdr:rowOff>
    </xdr:to>
    <xdr:sp>
      <xdr:nvSpPr>
        <xdr:cNvPr id="94" name="TextBox 118"/>
        <xdr:cNvSpPr txBox="1">
          <a:spLocks noChangeArrowheads="1"/>
        </xdr:cNvSpPr>
      </xdr:nvSpPr>
      <xdr:spPr>
        <a:xfrm>
          <a:off x="13735050" y="4400550"/>
          <a:ext cx="981075" cy="333375"/>
        </a:xfrm>
        <a:prstGeom prst="rect">
          <a:avLst/>
        </a:prstGeom>
        <a:solidFill>
          <a:srgbClr val="FFFFFF"/>
        </a:solidFill>
        <a:ln w="25400" cmpd="sng">
          <a:noFill/>
        </a:ln>
      </xdr:spPr>
      <xdr:txBody>
        <a:bodyPr vertOverflow="clip" wrap="square"/>
        <a:p>
          <a:pPr algn="ctr">
            <a:defRPr/>
          </a:pPr>
          <a:r>
            <a:rPr lang="en-US" cap="none" sz="1000" b="1" i="0" u="none" baseline="0">
              <a:latin typeface="MS Sans Serif"/>
              <a:ea typeface="MS Sans Serif"/>
              <a:cs typeface="MS Sans Serif"/>
            </a:rPr>
            <a:t>Blending</a:t>
          </a:r>
        </a:p>
      </xdr:txBody>
    </xdr:sp>
    <xdr:clientData/>
  </xdr:twoCellAnchor>
  <xdr:twoCellAnchor>
    <xdr:from>
      <xdr:col>17</xdr:col>
      <xdr:colOff>295275</xdr:colOff>
      <xdr:row>3</xdr:row>
      <xdr:rowOff>85725</xdr:rowOff>
    </xdr:from>
    <xdr:to>
      <xdr:col>20</xdr:col>
      <xdr:colOff>371475</xdr:colOff>
      <xdr:row>11</xdr:row>
      <xdr:rowOff>85725</xdr:rowOff>
    </xdr:to>
    <xdr:sp>
      <xdr:nvSpPr>
        <xdr:cNvPr id="95" name="TextBox 119"/>
        <xdr:cNvSpPr txBox="1">
          <a:spLocks noChangeArrowheads="1"/>
        </xdr:cNvSpPr>
      </xdr:nvSpPr>
      <xdr:spPr>
        <a:xfrm>
          <a:off x="10658475" y="609600"/>
          <a:ext cx="1905000" cy="12954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latin typeface="MS Sans Serif"/>
              <a:ea typeface="MS Sans Serif"/>
              <a:cs typeface="MS Sans Serif"/>
            </a:rPr>
            <a:t>Chemicals
</a:t>
          </a:r>
          <a:r>
            <a:rPr lang="en-US" cap="none" sz="1000" b="1" i="0" u="none" baseline="0">
              <a:solidFill>
                <a:srgbClr val="CC99FF"/>
              </a:solidFill>
              <a:latin typeface="MS Sans Serif"/>
              <a:ea typeface="MS Sans Serif"/>
              <a:cs typeface="MS Sans Serif"/>
            </a:rPr>
            <a:t>-Cl</a:t>
          </a:r>
          <a:r>
            <a:rPr lang="en-US" cap="none" sz="1000" b="1" i="0" u="none" baseline="-25000">
              <a:solidFill>
                <a:srgbClr val="CC99FF"/>
              </a:solidFill>
              <a:latin typeface="MS Sans Serif"/>
              <a:ea typeface="MS Sans Serif"/>
              <a:cs typeface="MS Sans Serif"/>
            </a:rPr>
            <a:t>2</a:t>
          </a:r>
          <a:r>
            <a:rPr lang="en-US" cap="none" sz="1000" b="1" i="0" u="none" baseline="0">
              <a:solidFill>
                <a:srgbClr val="CC99FF"/>
              </a:solidFill>
              <a:latin typeface="MS Sans Serif"/>
              <a:ea typeface="MS Sans Serif"/>
              <a:cs typeface="MS Sans Serif"/>
            </a:rPr>
            <a:t>
-Ozone
-Potassium Permanganate
</a:t>
          </a:r>
          <a:r>
            <a:rPr lang="en-US" cap="none" sz="1000" b="1" i="0" u="none" baseline="0">
              <a:latin typeface="MS Sans Serif"/>
              <a:ea typeface="MS Sans Serif"/>
              <a:cs typeface="MS Sans Serif"/>
            </a:rPr>
            <a:t>-Acid</a:t>
          </a:r>
          <a:r>
            <a:rPr lang="en-US" cap="none" sz="1000" b="1" i="0" u="none" baseline="0">
              <a:solidFill>
                <a:srgbClr val="CC99FF"/>
              </a:solidFill>
              <a:latin typeface="MS Sans Serif"/>
              <a:ea typeface="MS Sans Serif"/>
              <a:cs typeface="MS Sans Serif"/>
            </a:rPr>
            <a:t>
-Lime
</a:t>
          </a:r>
          <a:r>
            <a:rPr lang="en-US" cap="none" sz="1000" b="1" i="0" u="none" baseline="0">
              <a:latin typeface="MS Sans Serif"/>
              <a:ea typeface="MS Sans Serif"/>
              <a:cs typeface="MS Sans Serif"/>
            </a:rPr>
            <a:t>-Antiscalant
</a:t>
          </a:r>
        </a:p>
      </xdr:txBody>
    </xdr:sp>
    <xdr:clientData/>
  </xdr:twoCellAnchor>
  <xdr:twoCellAnchor>
    <xdr:from>
      <xdr:col>15</xdr:col>
      <xdr:colOff>95250</xdr:colOff>
      <xdr:row>11</xdr:row>
      <xdr:rowOff>47625</xdr:rowOff>
    </xdr:from>
    <xdr:to>
      <xdr:col>15</xdr:col>
      <xdr:colOff>104775</xdr:colOff>
      <xdr:row>20</xdr:row>
      <xdr:rowOff>95250</xdr:rowOff>
    </xdr:to>
    <xdr:sp>
      <xdr:nvSpPr>
        <xdr:cNvPr id="96" name="Line 121"/>
        <xdr:cNvSpPr>
          <a:spLocks/>
        </xdr:cNvSpPr>
      </xdr:nvSpPr>
      <xdr:spPr>
        <a:xfrm>
          <a:off x="9239250" y="1866900"/>
          <a:ext cx="9525" cy="15049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15</xdr:col>
      <xdr:colOff>123825</xdr:colOff>
      <xdr:row>16</xdr:row>
      <xdr:rowOff>0</xdr:rowOff>
    </xdr:from>
    <xdr:to>
      <xdr:col>19</xdr:col>
      <xdr:colOff>190500</xdr:colOff>
      <xdr:row>16</xdr:row>
      <xdr:rowOff>0</xdr:rowOff>
    </xdr:to>
    <xdr:sp>
      <xdr:nvSpPr>
        <xdr:cNvPr id="97" name="Line 122"/>
        <xdr:cNvSpPr>
          <a:spLocks/>
        </xdr:cNvSpPr>
      </xdr:nvSpPr>
      <xdr:spPr>
        <a:xfrm>
          <a:off x="9267825" y="2628900"/>
          <a:ext cx="250507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34</xdr:col>
      <xdr:colOff>600075</xdr:colOff>
      <xdr:row>32</xdr:row>
      <xdr:rowOff>57150</xdr:rowOff>
    </xdr:from>
    <xdr:to>
      <xdr:col>37</xdr:col>
      <xdr:colOff>285750</xdr:colOff>
      <xdr:row>33</xdr:row>
      <xdr:rowOff>57150</xdr:rowOff>
    </xdr:to>
    <xdr:sp>
      <xdr:nvSpPr>
        <xdr:cNvPr id="98" name="TextBox 123"/>
        <xdr:cNvSpPr txBox="1">
          <a:spLocks noChangeArrowheads="1"/>
        </xdr:cNvSpPr>
      </xdr:nvSpPr>
      <xdr:spPr>
        <a:xfrm>
          <a:off x="21326475" y="5276850"/>
          <a:ext cx="1514475" cy="1619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Plant Production Flow</a:t>
          </a:r>
        </a:p>
      </xdr:txBody>
    </xdr:sp>
    <xdr:clientData/>
  </xdr:twoCellAnchor>
  <xdr:twoCellAnchor>
    <xdr:from>
      <xdr:col>25</xdr:col>
      <xdr:colOff>581025</xdr:colOff>
      <xdr:row>18</xdr:row>
      <xdr:rowOff>76200</xdr:rowOff>
    </xdr:from>
    <xdr:to>
      <xdr:col>27</xdr:col>
      <xdr:colOff>238125</xdr:colOff>
      <xdr:row>20</xdr:row>
      <xdr:rowOff>76200</xdr:rowOff>
    </xdr:to>
    <xdr:sp>
      <xdr:nvSpPr>
        <xdr:cNvPr id="99" name="TextBox 124"/>
        <xdr:cNvSpPr txBox="1">
          <a:spLocks noChangeArrowheads="1"/>
        </xdr:cNvSpPr>
      </xdr:nvSpPr>
      <xdr:spPr>
        <a:xfrm>
          <a:off x="15821025" y="3028950"/>
          <a:ext cx="876300" cy="323850"/>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Desal 
Product Flow</a:t>
          </a:r>
        </a:p>
      </xdr:txBody>
    </xdr:sp>
    <xdr:clientData/>
  </xdr:twoCellAnchor>
  <xdr:twoCellAnchor>
    <xdr:from>
      <xdr:col>28</xdr:col>
      <xdr:colOff>590550</xdr:colOff>
      <xdr:row>16</xdr:row>
      <xdr:rowOff>123825</xdr:rowOff>
    </xdr:from>
    <xdr:to>
      <xdr:col>31</xdr:col>
      <xdr:colOff>276225</xdr:colOff>
      <xdr:row>17</xdr:row>
      <xdr:rowOff>123825</xdr:rowOff>
    </xdr:to>
    <xdr:sp>
      <xdr:nvSpPr>
        <xdr:cNvPr id="100" name="TextBox 125"/>
        <xdr:cNvSpPr txBox="1">
          <a:spLocks noChangeArrowheads="1"/>
        </xdr:cNvSpPr>
      </xdr:nvSpPr>
      <xdr:spPr>
        <a:xfrm>
          <a:off x="17659350" y="2752725"/>
          <a:ext cx="1514475" cy="1619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Plant Production Flow</a:t>
          </a:r>
        </a:p>
      </xdr:txBody>
    </xdr:sp>
    <xdr:clientData/>
  </xdr:twoCellAnchor>
  <xdr:twoCellAnchor>
    <xdr:from>
      <xdr:col>18</xdr:col>
      <xdr:colOff>66675</xdr:colOff>
      <xdr:row>48</xdr:row>
      <xdr:rowOff>104775</xdr:rowOff>
    </xdr:from>
    <xdr:to>
      <xdr:col>20</xdr:col>
      <xdr:colOff>361950</xdr:colOff>
      <xdr:row>49</xdr:row>
      <xdr:rowOff>104775</xdr:rowOff>
    </xdr:to>
    <xdr:sp>
      <xdr:nvSpPr>
        <xdr:cNvPr id="101" name="TextBox 126"/>
        <xdr:cNvSpPr txBox="1">
          <a:spLocks noChangeArrowheads="1"/>
        </xdr:cNvSpPr>
      </xdr:nvSpPr>
      <xdr:spPr>
        <a:xfrm>
          <a:off x="11039475" y="7915275"/>
          <a:ext cx="1514475" cy="1619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Plant Production Flow</a:t>
          </a:r>
        </a:p>
      </xdr:txBody>
    </xdr:sp>
    <xdr:clientData/>
  </xdr:twoCellAnchor>
  <xdr:twoCellAnchor>
    <xdr:from>
      <xdr:col>15</xdr:col>
      <xdr:colOff>142875</xdr:colOff>
      <xdr:row>16</xdr:row>
      <xdr:rowOff>47625</xdr:rowOff>
    </xdr:from>
    <xdr:to>
      <xdr:col>17</xdr:col>
      <xdr:colOff>142875</xdr:colOff>
      <xdr:row>18</xdr:row>
      <xdr:rowOff>38100</xdr:rowOff>
    </xdr:to>
    <xdr:sp>
      <xdr:nvSpPr>
        <xdr:cNvPr id="102" name="TextBox 127"/>
        <xdr:cNvSpPr txBox="1">
          <a:spLocks noChangeArrowheads="1"/>
        </xdr:cNvSpPr>
      </xdr:nvSpPr>
      <xdr:spPr>
        <a:xfrm>
          <a:off x="9286875" y="2676525"/>
          <a:ext cx="1219200" cy="3143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PreDesal Primary Treatment Product Flow</a:t>
          </a:r>
        </a:p>
      </xdr:txBody>
    </xdr:sp>
    <xdr:clientData/>
  </xdr:twoCellAnchor>
  <xdr:twoCellAnchor>
    <xdr:from>
      <xdr:col>18</xdr:col>
      <xdr:colOff>161925</xdr:colOff>
      <xdr:row>50</xdr:row>
      <xdr:rowOff>85725</xdr:rowOff>
    </xdr:from>
    <xdr:to>
      <xdr:col>20</xdr:col>
      <xdr:colOff>161925</xdr:colOff>
      <xdr:row>52</xdr:row>
      <xdr:rowOff>76200</xdr:rowOff>
    </xdr:to>
    <xdr:sp>
      <xdr:nvSpPr>
        <xdr:cNvPr id="103" name="TextBox 128"/>
        <xdr:cNvSpPr txBox="1">
          <a:spLocks noChangeArrowheads="1"/>
        </xdr:cNvSpPr>
      </xdr:nvSpPr>
      <xdr:spPr>
        <a:xfrm>
          <a:off x="11134725" y="8220075"/>
          <a:ext cx="1219200" cy="3143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Primary Treatment Product Flow</a:t>
          </a:r>
        </a:p>
      </xdr:txBody>
    </xdr:sp>
    <xdr:clientData/>
  </xdr:twoCellAnchor>
  <xdr:twoCellAnchor>
    <xdr:from>
      <xdr:col>0</xdr:col>
      <xdr:colOff>142875</xdr:colOff>
      <xdr:row>35</xdr:row>
      <xdr:rowOff>0</xdr:rowOff>
    </xdr:from>
    <xdr:to>
      <xdr:col>1</xdr:col>
      <xdr:colOff>342900</xdr:colOff>
      <xdr:row>36</xdr:row>
      <xdr:rowOff>152400</xdr:rowOff>
    </xdr:to>
    <xdr:sp>
      <xdr:nvSpPr>
        <xdr:cNvPr id="104" name="TextBox 129"/>
        <xdr:cNvSpPr txBox="1">
          <a:spLocks noChangeArrowheads="1"/>
        </xdr:cNvSpPr>
      </xdr:nvSpPr>
      <xdr:spPr>
        <a:xfrm>
          <a:off x="142875" y="5705475"/>
          <a:ext cx="809625" cy="3143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Plant Feed Flow</a:t>
          </a:r>
        </a:p>
      </xdr:txBody>
    </xdr:sp>
    <xdr:clientData/>
  </xdr:twoCellAnchor>
  <xdr:twoCellAnchor>
    <xdr:from>
      <xdr:col>4</xdr:col>
      <xdr:colOff>476250</xdr:colOff>
      <xdr:row>13</xdr:row>
      <xdr:rowOff>47625</xdr:rowOff>
    </xdr:from>
    <xdr:to>
      <xdr:col>6</xdr:col>
      <xdr:colOff>476250</xdr:colOff>
      <xdr:row>15</xdr:row>
      <xdr:rowOff>76200</xdr:rowOff>
    </xdr:to>
    <xdr:sp>
      <xdr:nvSpPr>
        <xdr:cNvPr id="105" name="TextBox 130"/>
        <xdr:cNvSpPr txBox="1">
          <a:spLocks noChangeArrowheads="1"/>
        </xdr:cNvSpPr>
      </xdr:nvSpPr>
      <xdr:spPr>
        <a:xfrm>
          <a:off x="2914650" y="2190750"/>
          <a:ext cx="1219200" cy="3524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Pre Desal Primary Treatment Feed Flow</a:t>
          </a:r>
        </a:p>
      </xdr:txBody>
    </xdr:sp>
    <xdr:clientData/>
  </xdr:twoCellAnchor>
  <xdr:twoCellAnchor>
    <xdr:from>
      <xdr:col>4</xdr:col>
      <xdr:colOff>533400</xdr:colOff>
      <xdr:row>46</xdr:row>
      <xdr:rowOff>38100</xdr:rowOff>
    </xdr:from>
    <xdr:to>
      <xdr:col>6</xdr:col>
      <xdr:colOff>533400</xdr:colOff>
      <xdr:row>48</xdr:row>
      <xdr:rowOff>66675</xdr:rowOff>
    </xdr:to>
    <xdr:sp>
      <xdr:nvSpPr>
        <xdr:cNvPr id="106" name="TextBox 131"/>
        <xdr:cNvSpPr txBox="1">
          <a:spLocks noChangeArrowheads="1"/>
        </xdr:cNvSpPr>
      </xdr:nvSpPr>
      <xdr:spPr>
        <a:xfrm>
          <a:off x="2971800" y="7524750"/>
          <a:ext cx="1219200" cy="3524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Primary Treatment Feed Flow</a:t>
          </a:r>
        </a:p>
      </xdr:txBody>
    </xdr:sp>
    <xdr:clientData/>
  </xdr:twoCellAnchor>
  <xdr:twoCellAnchor>
    <xdr:from>
      <xdr:col>17</xdr:col>
      <xdr:colOff>381000</xdr:colOff>
      <xdr:row>27</xdr:row>
      <xdr:rowOff>0</xdr:rowOff>
    </xdr:from>
    <xdr:to>
      <xdr:col>18</xdr:col>
      <xdr:colOff>600075</xdr:colOff>
      <xdr:row>29</xdr:row>
      <xdr:rowOff>28575</xdr:rowOff>
    </xdr:to>
    <xdr:sp>
      <xdr:nvSpPr>
        <xdr:cNvPr id="107" name="TextBox 132"/>
        <xdr:cNvSpPr txBox="1">
          <a:spLocks noChangeArrowheads="1"/>
        </xdr:cNvSpPr>
      </xdr:nvSpPr>
      <xdr:spPr>
        <a:xfrm>
          <a:off x="10744200" y="4410075"/>
          <a:ext cx="828675" cy="35242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Blending 
Flow</a:t>
          </a:r>
        </a:p>
      </xdr:txBody>
    </xdr:sp>
    <xdr:clientData/>
  </xdr:twoCellAnchor>
  <xdr:twoCellAnchor>
    <xdr:from>
      <xdr:col>17</xdr:col>
      <xdr:colOff>409575</xdr:colOff>
      <xdr:row>16</xdr:row>
      <xdr:rowOff>57150</xdr:rowOff>
    </xdr:from>
    <xdr:to>
      <xdr:col>18</xdr:col>
      <xdr:colOff>523875</xdr:colOff>
      <xdr:row>18</xdr:row>
      <xdr:rowOff>104775</xdr:rowOff>
    </xdr:to>
    <xdr:sp>
      <xdr:nvSpPr>
        <xdr:cNvPr id="108" name="TextBox 135"/>
        <xdr:cNvSpPr txBox="1">
          <a:spLocks noChangeArrowheads="1"/>
        </xdr:cNvSpPr>
      </xdr:nvSpPr>
      <xdr:spPr>
        <a:xfrm>
          <a:off x="10772775" y="2686050"/>
          <a:ext cx="723900" cy="37147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Desal 
Feed Flow</a:t>
          </a:r>
        </a:p>
      </xdr:txBody>
    </xdr:sp>
    <xdr:clientData/>
  </xdr:twoCellAnchor>
  <xdr:twoCellAnchor>
    <xdr:from>
      <xdr:col>20</xdr:col>
      <xdr:colOff>95250</xdr:colOff>
      <xdr:row>13</xdr:row>
      <xdr:rowOff>104775</xdr:rowOff>
    </xdr:from>
    <xdr:to>
      <xdr:col>22</xdr:col>
      <xdr:colOff>38100</xdr:colOff>
      <xdr:row>15</xdr:row>
      <xdr:rowOff>152400</xdr:rowOff>
    </xdr:to>
    <xdr:sp>
      <xdr:nvSpPr>
        <xdr:cNvPr id="109" name="TextBox 136"/>
        <xdr:cNvSpPr txBox="1">
          <a:spLocks noChangeArrowheads="1"/>
        </xdr:cNvSpPr>
      </xdr:nvSpPr>
      <xdr:spPr>
        <a:xfrm>
          <a:off x="12287250" y="2247900"/>
          <a:ext cx="1162050" cy="37147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NF/RO 
Feed Flow</a:t>
          </a:r>
        </a:p>
      </xdr:txBody>
    </xdr:sp>
    <xdr:clientData/>
  </xdr:twoCellAnchor>
  <xdr:twoCellAnchor>
    <xdr:from>
      <xdr:col>24</xdr:col>
      <xdr:colOff>161925</xdr:colOff>
      <xdr:row>13</xdr:row>
      <xdr:rowOff>95250</xdr:rowOff>
    </xdr:from>
    <xdr:to>
      <xdr:col>25</xdr:col>
      <xdr:colOff>419100</xdr:colOff>
      <xdr:row>15</xdr:row>
      <xdr:rowOff>142875</xdr:rowOff>
    </xdr:to>
    <xdr:sp>
      <xdr:nvSpPr>
        <xdr:cNvPr id="110" name="TextBox 137"/>
        <xdr:cNvSpPr txBox="1">
          <a:spLocks noChangeArrowheads="1"/>
        </xdr:cNvSpPr>
      </xdr:nvSpPr>
      <xdr:spPr>
        <a:xfrm>
          <a:off x="14792325" y="2238375"/>
          <a:ext cx="866775" cy="371475"/>
        </a:xfrm>
        <a:prstGeom prst="rect">
          <a:avLst/>
        </a:prstGeom>
        <a:solidFill>
          <a:srgbClr val="FFFFFF"/>
        </a:solidFill>
        <a:ln w="25400" cmpd="sng">
          <a:noFill/>
        </a:ln>
      </xdr:spPr>
      <xdr:txBody>
        <a:bodyPr vertOverflow="clip" wrap="square"/>
        <a:p>
          <a:pPr algn="ctr">
            <a:defRPr/>
          </a:pPr>
          <a:r>
            <a:rPr lang="en-US" cap="none" sz="1000" b="0" i="0" u="none" baseline="0">
              <a:latin typeface="MS Sans Serif"/>
              <a:ea typeface="MS Sans Serif"/>
              <a:cs typeface="MS Sans Serif"/>
            </a:rPr>
            <a:t>NF/RO Product Flow</a:t>
          </a:r>
        </a:p>
      </xdr:txBody>
    </xdr:sp>
    <xdr:clientData/>
  </xdr:twoCellAnchor>
  <xdr:twoCellAnchor>
    <xdr:from>
      <xdr:col>17</xdr:col>
      <xdr:colOff>180975</xdr:colOff>
      <xdr:row>16</xdr:row>
      <xdr:rowOff>9525</xdr:rowOff>
    </xdr:from>
    <xdr:to>
      <xdr:col>17</xdr:col>
      <xdr:colOff>180975</xdr:colOff>
      <xdr:row>26</xdr:row>
      <xdr:rowOff>85725</xdr:rowOff>
    </xdr:to>
    <xdr:sp>
      <xdr:nvSpPr>
        <xdr:cNvPr id="111" name="Line 138"/>
        <xdr:cNvSpPr>
          <a:spLocks/>
        </xdr:cNvSpPr>
      </xdr:nvSpPr>
      <xdr:spPr>
        <a:xfrm flipH="1">
          <a:off x="10544175" y="2638425"/>
          <a:ext cx="0" cy="1695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23</xdr:col>
      <xdr:colOff>485775</xdr:colOff>
      <xdr:row>12</xdr:row>
      <xdr:rowOff>57150</xdr:rowOff>
    </xdr:from>
    <xdr:to>
      <xdr:col>23</xdr:col>
      <xdr:colOff>485775</xdr:colOff>
      <xdr:row>17</xdr:row>
      <xdr:rowOff>85725</xdr:rowOff>
    </xdr:to>
    <xdr:sp>
      <xdr:nvSpPr>
        <xdr:cNvPr id="112" name="Line 139"/>
        <xdr:cNvSpPr>
          <a:spLocks/>
        </xdr:cNvSpPr>
      </xdr:nvSpPr>
      <xdr:spPr>
        <a:xfrm flipH="1" flipV="1">
          <a:off x="14506575" y="2038350"/>
          <a:ext cx="0" cy="8382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23</xdr:col>
      <xdr:colOff>371475</xdr:colOff>
      <xdr:row>16</xdr:row>
      <xdr:rowOff>142875</xdr:rowOff>
    </xdr:from>
    <xdr:to>
      <xdr:col>23</xdr:col>
      <xdr:colOff>371475</xdr:colOff>
      <xdr:row>22</xdr:row>
      <xdr:rowOff>57150</xdr:rowOff>
    </xdr:to>
    <xdr:sp>
      <xdr:nvSpPr>
        <xdr:cNvPr id="113" name="Line 140"/>
        <xdr:cNvSpPr>
          <a:spLocks/>
        </xdr:cNvSpPr>
      </xdr:nvSpPr>
      <xdr:spPr>
        <a:xfrm>
          <a:off x="14392275" y="2771775"/>
          <a:ext cx="0" cy="8858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23</xdr:col>
      <xdr:colOff>485775</xdr:colOff>
      <xdr:row>12</xdr:row>
      <xdr:rowOff>47625</xdr:rowOff>
    </xdr:from>
    <xdr:to>
      <xdr:col>23</xdr:col>
      <xdr:colOff>590550</xdr:colOff>
      <xdr:row>12</xdr:row>
      <xdr:rowOff>57150</xdr:rowOff>
    </xdr:to>
    <xdr:sp>
      <xdr:nvSpPr>
        <xdr:cNvPr id="114" name="Line 141"/>
        <xdr:cNvSpPr>
          <a:spLocks/>
        </xdr:cNvSpPr>
      </xdr:nvSpPr>
      <xdr:spPr>
        <a:xfrm flipV="1">
          <a:off x="14506575" y="2028825"/>
          <a:ext cx="104775" cy="95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23</xdr:col>
      <xdr:colOff>371475</xdr:colOff>
      <xdr:row>16</xdr:row>
      <xdr:rowOff>142875</xdr:rowOff>
    </xdr:from>
    <xdr:to>
      <xdr:col>23</xdr:col>
      <xdr:colOff>495300</xdr:colOff>
      <xdr:row>16</xdr:row>
      <xdr:rowOff>152400</xdr:rowOff>
    </xdr:to>
    <xdr:sp>
      <xdr:nvSpPr>
        <xdr:cNvPr id="115" name="Line 142"/>
        <xdr:cNvSpPr>
          <a:spLocks/>
        </xdr:cNvSpPr>
      </xdr:nvSpPr>
      <xdr:spPr>
        <a:xfrm>
          <a:off x="14392275" y="2771775"/>
          <a:ext cx="123825" cy="95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35</xdr:col>
      <xdr:colOff>504825</xdr:colOff>
      <xdr:row>34</xdr:row>
      <xdr:rowOff>47625</xdr:rowOff>
    </xdr:from>
    <xdr:to>
      <xdr:col>36</xdr:col>
      <xdr:colOff>409575</xdr:colOff>
      <xdr:row>35</xdr:row>
      <xdr:rowOff>76200</xdr:rowOff>
    </xdr:to>
    <xdr:sp>
      <xdr:nvSpPr>
        <xdr:cNvPr id="116" name="TextBox 143"/>
        <xdr:cNvSpPr txBox="1">
          <a:spLocks noChangeArrowheads="1"/>
        </xdr:cNvSpPr>
      </xdr:nvSpPr>
      <xdr:spPr>
        <a:xfrm>
          <a:off x="21840825" y="5591175"/>
          <a:ext cx="514350" cy="190500"/>
        </a:xfrm>
        <a:prstGeom prst="rect">
          <a:avLst/>
        </a:prstGeom>
        <a:solidFill>
          <a:srgbClr val="FFCC00"/>
        </a:solidFill>
        <a:ln w="25400" cmpd="sng">
          <a:solidFill>
            <a:srgbClr val="000000"/>
          </a:solidFill>
          <a:headEnd type="none"/>
          <a:tailEnd type="none"/>
        </a:ln>
      </xdr:spPr>
      <xdr:txBody>
        <a:bodyPr vertOverflow="clip" wrap="square"/>
        <a:p>
          <a:pPr algn="ctr">
            <a:defRPr/>
          </a:pPr>
          <a:r>
            <a:rPr lang="en-US" cap="none" sz="1000" b="1" i="0" u="none" baseline="0">
              <a:latin typeface="MS Sans Serif"/>
              <a:ea typeface="MS Sans Serif"/>
              <a:cs typeface="MS Sans Serif"/>
            </a:rPr>
            <a:t>FLOW</a:t>
          </a:r>
        </a:p>
      </xdr:txBody>
    </xdr:sp>
    <xdr:clientData/>
  </xdr:twoCellAnchor>
  <xdr:twoCellAnchor>
    <xdr:from>
      <xdr:col>7</xdr:col>
      <xdr:colOff>114300</xdr:colOff>
      <xdr:row>54</xdr:row>
      <xdr:rowOff>28575</xdr:rowOff>
    </xdr:from>
    <xdr:to>
      <xdr:col>8</xdr:col>
      <xdr:colOff>19050</xdr:colOff>
      <xdr:row>55</xdr:row>
      <xdr:rowOff>57150</xdr:rowOff>
    </xdr:to>
    <xdr:sp>
      <xdr:nvSpPr>
        <xdr:cNvPr id="117" name="TextBox 144"/>
        <xdr:cNvSpPr txBox="1">
          <a:spLocks noChangeArrowheads="1"/>
        </xdr:cNvSpPr>
      </xdr:nvSpPr>
      <xdr:spPr>
        <a:xfrm>
          <a:off x="4381500" y="8810625"/>
          <a:ext cx="514350" cy="190500"/>
        </a:xfrm>
        <a:prstGeom prst="rect">
          <a:avLst/>
        </a:prstGeom>
        <a:solidFill>
          <a:srgbClr val="FFCC00"/>
        </a:solidFill>
        <a:ln w="25400" cmpd="sng">
          <a:solidFill>
            <a:srgbClr val="000000"/>
          </a:solidFill>
          <a:headEnd type="none"/>
          <a:tailEnd type="none"/>
        </a:ln>
      </xdr:spPr>
      <xdr:txBody>
        <a:bodyPr vertOverflow="clip" wrap="square"/>
        <a:p>
          <a:pPr algn="ctr">
            <a:defRPr/>
          </a:pPr>
          <a:r>
            <a:rPr lang="en-US" cap="none" sz="1000" b="1" i="0" u="none" baseline="0">
              <a:latin typeface="MS Sans Serif"/>
              <a:ea typeface="MS Sans Serif"/>
              <a:cs typeface="MS Sans Serif"/>
            </a:rPr>
            <a:t>FLOW</a:t>
          </a:r>
        </a:p>
      </xdr:txBody>
    </xdr:sp>
    <xdr:clientData/>
  </xdr:twoCellAnchor>
  <xdr:twoCellAnchor>
    <xdr:from>
      <xdr:col>20</xdr:col>
      <xdr:colOff>371475</xdr:colOff>
      <xdr:row>11</xdr:row>
      <xdr:rowOff>123825</xdr:rowOff>
    </xdr:from>
    <xdr:to>
      <xdr:col>21</xdr:col>
      <xdr:colOff>276225</xdr:colOff>
      <xdr:row>12</xdr:row>
      <xdr:rowOff>152400</xdr:rowOff>
    </xdr:to>
    <xdr:sp>
      <xdr:nvSpPr>
        <xdr:cNvPr id="118" name="TextBox 145"/>
        <xdr:cNvSpPr txBox="1">
          <a:spLocks noChangeArrowheads="1"/>
        </xdr:cNvSpPr>
      </xdr:nvSpPr>
      <xdr:spPr>
        <a:xfrm>
          <a:off x="12563475" y="1943100"/>
          <a:ext cx="514350" cy="190500"/>
        </a:xfrm>
        <a:prstGeom prst="rect">
          <a:avLst/>
        </a:prstGeom>
        <a:solidFill>
          <a:srgbClr val="FFCC00"/>
        </a:solidFill>
        <a:ln w="25400" cmpd="sng">
          <a:solidFill>
            <a:srgbClr val="000000"/>
          </a:solidFill>
          <a:headEnd type="none"/>
          <a:tailEnd type="none"/>
        </a:ln>
      </xdr:spPr>
      <xdr:txBody>
        <a:bodyPr vertOverflow="clip" wrap="square"/>
        <a:p>
          <a:pPr algn="ctr">
            <a:defRPr/>
          </a:pPr>
          <a:r>
            <a:rPr lang="en-US" cap="none" sz="1000" b="1" i="0" u="none" baseline="0">
              <a:latin typeface="MS Sans Serif"/>
              <a:ea typeface="MS Sans Serif"/>
              <a:cs typeface="MS Sans Serif"/>
            </a:rPr>
            <a:t>FLOW</a:t>
          </a:r>
        </a:p>
      </xdr:txBody>
    </xdr:sp>
    <xdr:clientData/>
  </xdr:twoCellAnchor>
  <xdr:twoCellAnchor>
    <xdr:from>
      <xdr:col>18</xdr:col>
      <xdr:colOff>161925</xdr:colOff>
      <xdr:row>36</xdr:row>
      <xdr:rowOff>142875</xdr:rowOff>
    </xdr:from>
    <xdr:to>
      <xdr:col>27</xdr:col>
      <xdr:colOff>38100</xdr:colOff>
      <xdr:row>41</xdr:row>
      <xdr:rowOff>133350</xdr:rowOff>
    </xdr:to>
    <xdr:sp>
      <xdr:nvSpPr>
        <xdr:cNvPr id="119" name="TextBox 147"/>
        <xdr:cNvSpPr txBox="1">
          <a:spLocks noChangeArrowheads="1"/>
        </xdr:cNvSpPr>
      </xdr:nvSpPr>
      <xdr:spPr>
        <a:xfrm>
          <a:off x="11134725" y="6010275"/>
          <a:ext cx="5362575"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0000"/>
              </a:solidFill>
            </a:rPr>
            <a:t>Drawing Not Completely Accurate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75</xdr:col>
      <xdr:colOff>0</xdr:colOff>
      <xdr:row>19</xdr:row>
      <xdr:rowOff>0</xdr:rowOff>
    </xdr:from>
    <xdr:to>
      <xdr:col>75</xdr:col>
      <xdr:colOff>95250</xdr:colOff>
      <xdr:row>19</xdr:row>
      <xdr:rowOff>142875</xdr:rowOff>
    </xdr:to>
    <xdr:pic>
      <xdr:nvPicPr>
        <xdr:cNvPr id="1" name="Picture 12"/>
        <xdr:cNvPicPr preferRelativeResize="1">
          <a:picLocks noChangeAspect="1"/>
        </xdr:cNvPicPr>
      </xdr:nvPicPr>
      <xdr:blipFill>
        <a:blip r:embed="rId1"/>
        <a:stretch>
          <a:fillRect/>
        </a:stretch>
      </xdr:blipFill>
      <xdr:spPr>
        <a:xfrm>
          <a:off x="55606950" y="4010025"/>
          <a:ext cx="95250" cy="142875"/>
        </a:xfrm>
        <a:prstGeom prst="rect">
          <a:avLst/>
        </a:prstGeom>
        <a:noFill/>
        <a:ln w="9525" cmpd="sng">
          <a:noFill/>
        </a:ln>
      </xdr:spPr>
    </xdr:pic>
    <xdr:clientData/>
  </xdr:twoCellAnchor>
  <xdr:twoCellAnchor editAs="oneCell">
    <xdr:from>
      <xdr:col>75</xdr:col>
      <xdr:colOff>0</xdr:colOff>
      <xdr:row>20</xdr:row>
      <xdr:rowOff>0</xdr:rowOff>
    </xdr:from>
    <xdr:to>
      <xdr:col>82</xdr:col>
      <xdr:colOff>409575</xdr:colOff>
      <xdr:row>20</xdr:row>
      <xdr:rowOff>9525</xdr:rowOff>
    </xdr:to>
    <xdr:pic>
      <xdr:nvPicPr>
        <xdr:cNvPr id="2" name="Picture 13"/>
        <xdr:cNvPicPr preferRelativeResize="1">
          <a:picLocks noChangeAspect="1"/>
        </xdr:cNvPicPr>
      </xdr:nvPicPr>
      <xdr:blipFill>
        <a:blip r:embed="rId2"/>
        <a:stretch>
          <a:fillRect/>
        </a:stretch>
      </xdr:blipFill>
      <xdr:spPr>
        <a:xfrm>
          <a:off x="55606950" y="4181475"/>
          <a:ext cx="4476750" cy="9525"/>
        </a:xfrm>
        <a:prstGeom prst="rect">
          <a:avLst/>
        </a:prstGeom>
        <a:noFill/>
        <a:ln w="9525" cmpd="sng">
          <a:noFill/>
        </a:ln>
      </xdr:spPr>
    </xdr:pic>
    <xdr:clientData/>
  </xdr:twoCellAnchor>
  <xdr:twoCellAnchor editAs="oneCell">
    <xdr:from>
      <xdr:col>75</xdr:col>
      <xdr:colOff>0</xdr:colOff>
      <xdr:row>21</xdr:row>
      <xdr:rowOff>0</xdr:rowOff>
    </xdr:from>
    <xdr:to>
      <xdr:col>79</xdr:col>
      <xdr:colOff>57150</xdr:colOff>
      <xdr:row>21</xdr:row>
      <xdr:rowOff>142875</xdr:rowOff>
    </xdr:to>
    <xdr:pic>
      <xdr:nvPicPr>
        <xdr:cNvPr id="3" name="Picture 14"/>
        <xdr:cNvPicPr preferRelativeResize="1">
          <a:picLocks noChangeAspect="1"/>
        </xdr:cNvPicPr>
      </xdr:nvPicPr>
      <xdr:blipFill>
        <a:blip r:embed="rId1"/>
        <a:stretch>
          <a:fillRect/>
        </a:stretch>
      </xdr:blipFill>
      <xdr:spPr>
        <a:xfrm>
          <a:off x="55606950" y="4371975"/>
          <a:ext cx="2381250" cy="142875"/>
        </a:xfrm>
        <a:prstGeom prst="rect">
          <a:avLst/>
        </a:prstGeom>
        <a:noFill/>
        <a:ln w="9525" cmpd="sng">
          <a:noFill/>
        </a:ln>
      </xdr:spPr>
    </xdr:pic>
    <xdr:clientData/>
  </xdr:twoCellAnchor>
  <xdr:twoCellAnchor>
    <xdr:from>
      <xdr:col>84</xdr:col>
      <xdr:colOff>495300</xdr:colOff>
      <xdr:row>35</xdr:row>
      <xdr:rowOff>152400</xdr:rowOff>
    </xdr:from>
    <xdr:to>
      <xdr:col>89</xdr:col>
      <xdr:colOff>333375</xdr:colOff>
      <xdr:row>47</xdr:row>
      <xdr:rowOff>295275</xdr:rowOff>
    </xdr:to>
    <xdr:graphicFrame>
      <xdr:nvGraphicFramePr>
        <xdr:cNvPr id="4" name="Chart 15"/>
        <xdr:cNvGraphicFramePr/>
      </xdr:nvGraphicFramePr>
      <xdr:xfrm>
        <a:off x="61331475" y="7134225"/>
        <a:ext cx="2962275" cy="2143125"/>
      </xdr:xfrm>
      <a:graphic>
        <a:graphicData uri="http://schemas.openxmlformats.org/drawingml/2006/chart">
          <c:chart xmlns:c="http://schemas.openxmlformats.org/drawingml/2006/chart" r:id="rId3"/>
        </a:graphicData>
      </a:graphic>
    </xdr:graphicFrame>
    <xdr:clientData/>
  </xdr:twoCellAnchor>
  <xdr:twoCellAnchor editAs="oneCell">
    <xdr:from>
      <xdr:col>90</xdr:col>
      <xdr:colOff>0</xdr:colOff>
      <xdr:row>1</xdr:row>
      <xdr:rowOff>0</xdr:rowOff>
    </xdr:from>
    <xdr:to>
      <xdr:col>97</xdr:col>
      <xdr:colOff>409575</xdr:colOff>
      <xdr:row>1</xdr:row>
      <xdr:rowOff>9525</xdr:rowOff>
    </xdr:to>
    <xdr:pic>
      <xdr:nvPicPr>
        <xdr:cNvPr id="5" name="Picture 16"/>
        <xdr:cNvPicPr preferRelativeResize="1">
          <a:picLocks noChangeAspect="1"/>
        </xdr:cNvPicPr>
      </xdr:nvPicPr>
      <xdr:blipFill>
        <a:blip r:embed="rId2"/>
        <a:stretch>
          <a:fillRect/>
        </a:stretch>
      </xdr:blipFill>
      <xdr:spPr>
        <a:xfrm>
          <a:off x="64541400" y="381000"/>
          <a:ext cx="4476750" cy="9525"/>
        </a:xfrm>
        <a:prstGeom prst="rect">
          <a:avLst/>
        </a:prstGeom>
        <a:noFill/>
        <a:ln w="9525" cmpd="sng">
          <a:noFill/>
        </a:ln>
      </xdr:spPr>
    </xdr:pic>
    <xdr:clientData/>
  </xdr:twoCellAnchor>
  <xdr:twoCellAnchor editAs="oneCell">
    <xdr:from>
      <xdr:col>90</xdr:col>
      <xdr:colOff>0</xdr:colOff>
      <xdr:row>2</xdr:row>
      <xdr:rowOff>0</xdr:rowOff>
    </xdr:from>
    <xdr:to>
      <xdr:col>97</xdr:col>
      <xdr:colOff>409575</xdr:colOff>
      <xdr:row>2</xdr:row>
      <xdr:rowOff>47625</xdr:rowOff>
    </xdr:to>
    <xdr:pic>
      <xdr:nvPicPr>
        <xdr:cNvPr id="6" name="Picture 17"/>
        <xdr:cNvPicPr preferRelativeResize="1">
          <a:picLocks noChangeAspect="1"/>
        </xdr:cNvPicPr>
      </xdr:nvPicPr>
      <xdr:blipFill>
        <a:blip r:embed="rId1"/>
        <a:stretch>
          <a:fillRect/>
        </a:stretch>
      </xdr:blipFill>
      <xdr:spPr>
        <a:xfrm>
          <a:off x="64541400" y="695325"/>
          <a:ext cx="4476750" cy="47625"/>
        </a:xfrm>
        <a:prstGeom prst="rect">
          <a:avLst/>
        </a:prstGeom>
        <a:noFill/>
        <a:ln w="9525" cmpd="sng">
          <a:noFill/>
        </a:ln>
      </xdr:spPr>
    </xdr:pic>
    <xdr:clientData/>
  </xdr:twoCellAnchor>
  <xdr:twoCellAnchor editAs="oneCell">
    <xdr:from>
      <xdr:col>90</xdr:col>
      <xdr:colOff>0</xdr:colOff>
      <xdr:row>5</xdr:row>
      <xdr:rowOff>0</xdr:rowOff>
    </xdr:from>
    <xdr:to>
      <xdr:col>90</xdr:col>
      <xdr:colOff>95250</xdr:colOff>
      <xdr:row>5</xdr:row>
      <xdr:rowOff>142875</xdr:rowOff>
    </xdr:to>
    <xdr:pic>
      <xdr:nvPicPr>
        <xdr:cNvPr id="7" name="Picture 18"/>
        <xdr:cNvPicPr preferRelativeResize="1">
          <a:picLocks noChangeAspect="1"/>
        </xdr:cNvPicPr>
      </xdr:nvPicPr>
      <xdr:blipFill>
        <a:blip r:embed="rId1"/>
        <a:stretch>
          <a:fillRect/>
        </a:stretch>
      </xdr:blipFill>
      <xdr:spPr>
        <a:xfrm>
          <a:off x="64541400" y="1314450"/>
          <a:ext cx="95250" cy="142875"/>
        </a:xfrm>
        <a:prstGeom prst="rect">
          <a:avLst/>
        </a:prstGeom>
        <a:noFill/>
        <a:ln w="9525" cmpd="sng">
          <a:noFill/>
        </a:ln>
      </xdr:spPr>
    </xdr:pic>
    <xdr:clientData/>
  </xdr:twoCellAnchor>
  <xdr:twoCellAnchor editAs="oneCell">
    <xdr:from>
      <xdr:col>90</xdr:col>
      <xdr:colOff>0</xdr:colOff>
      <xdr:row>6</xdr:row>
      <xdr:rowOff>0</xdr:rowOff>
    </xdr:from>
    <xdr:to>
      <xdr:col>97</xdr:col>
      <xdr:colOff>409575</xdr:colOff>
      <xdr:row>6</xdr:row>
      <xdr:rowOff>9525</xdr:rowOff>
    </xdr:to>
    <xdr:pic>
      <xdr:nvPicPr>
        <xdr:cNvPr id="8" name="Picture 19"/>
        <xdr:cNvPicPr preferRelativeResize="1">
          <a:picLocks noChangeAspect="1"/>
        </xdr:cNvPicPr>
      </xdr:nvPicPr>
      <xdr:blipFill>
        <a:blip r:embed="rId2"/>
        <a:stretch>
          <a:fillRect/>
        </a:stretch>
      </xdr:blipFill>
      <xdr:spPr>
        <a:xfrm>
          <a:off x="64541400" y="1495425"/>
          <a:ext cx="4476750" cy="9525"/>
        </a:xfrm>
        <a:prstGeom prst="rect">
          <a:avLst/>
        </a:prstGeom>
        <a:noFill/>
        <a:ln w="9525" cmpd="sng">
          <a:noFill/>
        </a:ln>
      </xdr:spPr>
    </xdr:pic>
    <xdr:clientData/>
  </xdr:twoCellAnchor>
  <xdr:twoCellAnchor editAs="oneCell">
    <xdr:from>
      <xdr:col>90</xdr:col>
      <xdr:colOff>0</xdr:colOff>
      <xdr:row>7</xdr:row>
      <xdr:rowOff>0</xdr:rowOff>
    </xdr:from>
    <xdr:to>
      <xdr:col>94</xdr:col>
      <xdr:colOff>57150</xdr:colOff>
      <xdr:row>7</xdr:row>
      <xdr:rowOff>209550</xdr:rowOff>
    </xdr:to>
    <xdr:pic>
      <xdr:nvPicPr>
        <xdr:cNvPr id="9" name="Picture 20"/>
        <xdr:cNvPicPr preferRelativeResize="1">
          <a:picLocks noChangeAspect="1"/>
        </xdr:cNvPicPr>
      </xdr:nvPicPr>
      <xdr:blipFill>
        <a:blip r:embed="rId1"/>
        <a:stretch>
          <a:fillRect/>
        </a:stretch>
      </xdr:blipFill>
      <xdr:spPr>
        <a:xfrm>
          <a:off x="64541400" y="1676400"/>
          <a:ext cx="2381250" cy="209550"/>
        </a:xfrm>
        <a:prstGeom prst="rect">
          <a:avLst/>
        </a:prstGeom>
        <a:noFill/>
        <a:ln w="9525" cmpd="sng">
          <a:noFill/>
        </a:ln>
      </xdr:spPr>
    </xdr:pic>
    <xdr:clientData/>
  </xdr:twoCellAnchor>
  <xdr:twoCellAnchor editAs="oneCell">
    <xdr:from>
      <xdr:col>90</xdr:col>
      <xdr:colOff>0</xdr:colOff>
      <xdr:row>28</xdr:row>
      <xdr:rowOff>0</xdr:rowOff>
    </xdr:from>
    <xdr:to>
      <xdr:col>90</xdr:col>
      <xdr:colOff>95250</xdr:colOff>
      <xdr:row>28</xdr:row>
      <xdr:rowOff>142875</xdr:rowOff>
    </xdr:to>
    <xdr:pic>
      <xdr:nvPicPr>
        <xdr:cNvPr id="10" name="Picture 21"/>
        <xdr:cNvPicPr preferRelativeResize="1">
          <a:picLocks noChangeAspect="1"/>
        </xdr:cNvPicPr>
      </xdr:nvPicPr>
      <xdr:blipFill>
        <a:blip r:embed="rId1"/>
        <a:stretch>
          <a:fillRect/>
        </a:stretch>
      </xdr:blipFill>
      <xdr:spPr>
        <a:xfrm>
          <a:off x="64541400" y="5591175"/>
          <a:ext cx="95250" cy="142875"/>
        </a:xfrm>
        <a:prstGeom prst="rect">
          <a:avLst/>
        </a:prstGeom>
        <a:noFill/>
        <a:ln w="9525" cmpd="sng">
          <a:noFill/>
        </a:ln>
      </xdr:spPr>
    </xdr:pic>
    <xdr:clientData/>
  </xdr:twoCellAnchor>
  <xdr:twoCellAnchor editAs="oneCell">
    <xdr:from>
      <xdr:col>90</xdr:col>
      <xdr:colOff>0</xdr:colOff>
      <xdr:row>29</xdr:row>
      <xdr:rowOff>0</xdr:rowOff>
    </xdr:from>
    <xdr:to>
      <xdr:col>97</xdr:col>
      <xdr:colOff>409575</xdr:colOff>
      <xdr:row>29</xdr:row>
      <xdr:rowOff>9525</xdr:rowOff>
    </xdr:to>
    <xdr:pic>
      <xdr:nvPicPr>
        <xdr:cNvPr id="11" name="Picture 22"/>
        <xdr:cNvPicPr preferRelativeResize="1">
          <a:picLocks noChangeAspect="1"/>
        </xdr:cNvPicPr>
      </xdr:nvPicPr>
      <xdr:blipFill>
        <a:blip r:embed="rId2"/>
        <a:stretch>
          <a:fillRect/>
        </a:stretch>
      </xdr:blipFill>
      <xdr:spPr>
        <a:xfrm>
          <a:off x="64541400" y="5762625"/>
          <a:ext cx="4476750" cy="9525"/>
        </a:xfrm>
        <a:prstGeom prst="rect">
          <a:avLst/>
        </a:prstGeom>
        <a:noFill/>
        <a:ln w="9525" cmpd="sng">
          <a:noFill/>
        </a:ln>
      </xdr:spPr>
    </xdr:pic>
    <xdr:clientData/>
  </xdr:twoCellAnchor>
  <xdr:twoCellAnchor editAs="oneCell">
    <xdr:from>
      <xdr:col>90</xdr:col>
      <xdr:colOff>0</xdr:colOff>
      <xdr:row>30</xdr:row>
      <xdr:rowOff>0</xdr:rowOff>
    </xdr:from>
    <xdr:to>
      <xdr:col>94</xdr:col>
      <xdr:colOff>57150</xdr:colOff>
      <xdr:row>30</xdr:row>
      <xdr:rowOff>142875</xdr:rowOff>
    </xdr:to>
    <xdr:pic>
      <xdr:nvPicPr>
        <xdr:cNvPr id="12" name="Picture 23"/>
        <xdr:cNvPicPr preferRelativeResize="1">
          <a:picLocks noChangeAspect="1"/>
        </xdr:cNvPicPr>
      </xdr:nvPicPr>
      <xdr:blipFill>
        <a:blip r:embed="rId1"/>
        <a:stretch>
          <a:fillRect/>
        </a:stretch>
      </xdr:blipFill>
      <xdr:spPr>
        <a:xfrm>
          <a:off x="64541400" y="5934075"/>
          <a:ext cx="2381250" cy="142875"/>
        </a:xfrm>
        <a:prstGeom prst="rect">
          <a:avLst/>
        </a:prstGeom>
        <a:noFill/>
        <a:ln w="9525" cmpd="sng">
          <a:noFill/>
        </a:ln>
      </xdr:spPr>
    </xdr:pic>
    <xdr:clientData/>
  </xdr:twoCellAnchor>
  <xdr:twoCellAnchor>
    <xdr:from>
      <xdr:col>95</xdr:col>
      <xdr:colOff>390525</xdr:colOff>
      <xdr:row>41</xdr:row>
      <xdr:rowOff>133350</xdr:rowOff>
    </xdr:from>
    <xdr:to>
      <xdr:col>103</xdr:col>
      <xdr:colOff>85725</xdr:colOff>
      <xdr:row>47</xdr:row>
      <xdr:rowOff>590550</xdr:rowOff>
    </xdr:to>
    <xdr:graphicFrame>
      <xdr:nvGraphicFramePr>
        <xdr:cNvPr id="13" name="Chart 24"/>
        <xdr:cNvGraphicFramePr/>
      </xdr:nvGraphicFramePr>
      <xdr:xfrm>
        <a:off x="67837050" y="8115300"/>
        <a:ext cx="4371975" cy="1457325"/>
      </xdr:xfrm>
      <a:graphic>
        <a:graphicData uri="http://schemas.openxmlformats.org/drawingml/2006/chart">
          <c:chart xmlns:c="http://schemas.openxmlformats.org/drawingml/2006/chart" r:id="rId4"/>
        </a:graphicData>
      </a:graphic>
    </xdr:graphicFrame>
    <xdr:clientData/>
  </xdr:twoCellAnchor>
  <xdr:twoCellAnchor>
    <xdr:from>
      <xdr:col>103</xdr:col>
      <xdr:colOff>352425</xdr:colOff>
      <xdr:row>30</xdr:row>
      <xdr:rowOff>57150</xdr:rowOff>
    </xdr:from>
    <xdr:to>
      <xdr:col>107</xdr:col>
      <xdr:colOff>257175</xdr:colOff>
      <xdr:row>35</xdr:row>
      <xdr:rowOff>142875</xdr:rowOff>
    </xdr:to>
    <xdr:graphicFrame>
      <xdr:nvGraphicFramePr>
        <xdr:cNvPr id="14" name="Chart 25"/>
        <xdr:cNvGraphicFramePr/>
      </xdr:nvGraphicFramePr>
      <xdr:xfrm>
        <a:off x="72475725" y="5991225"/>
        <a:ext cx="2609850" cy="113347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7</xdr:col>
      <xdr:colOff>19050</xdr:colOff>
      <xdr:row>41</xdr:row>
      <xdr:rowOff>85725</xdr:rowOff>
    </xdr:to>
    <xdr:graphicFrame>
      <xdr:nvGraphicFramePr>
        <xdr:cNvPr id="1" name="Shape 29697"/>
        <xdr:cNvGraphicFramePr/>
      </xdr:nvGraphicFramePr>
      <xdr:xfrm>
        <a:off x="19050" y="4867275"/>
        <a:ext cx="6076950" cy="21812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65</xdr:row>
      <xdr:rowOff>123825</xdr:rowOff>
    </xdr:from>
    <xdr:to>
      <xdr:col>5</xdr:col>
      <xdr:colOff>152400</xdr:colOff>
      <xdr:row>78</xdr:row>
      <xdr:rowOff>142875</xdr:rowOff>
    </xdr:to>
    <xdr:graphicFrame>
      <xdr:nvGraphicFramePr>
        <xdr:cNvPr id="2" name="Shape 29698"/>
        <xdr:cNvGraphicFramePr/>
      </xdr:nvGraphicFramePr>
      <xdr:xfrm>
        <a:off x="123825" y="11068050"/>
        <a:ext cx="4714875" cy="2124075"/>
      </xdr:xfrm>
      <a:graphic>
        <a:graphicData uri="http://schemas.openxmlformats.org/drawingml/2006/chart">
          <c:chart xmlns:c="http://schemas.openxmlformats.org/drawingml/2006/chart" r:id="rId2"/>
        </a:graphicData>
      </a:graphic>
    </xdr:graphicFrame>
    <xdr:clientData/>
  </xdr:twoCellAnchor>
  <xdr:twoCellAnchor>
    <xdr:from>
      <xdr:col>0</xdr:col>
      <xdr:colOff>942975</xdr:colOff>
      <xdr:row>98</xdr:row>
      <xdr:rowOff>76200</xdr:rowOff>
    </xdr:from>
    <xdr:to>
      <xdr:col>6</xdr:col>
      <xdr:colOff>285750</xdr:colOff>
      <xdr:row>111</xdr:row>
      <xdr:rowOff>104775</xdr:rowOff>
    </xdr:to>
    <xdr:graphicFrame>
      <xdr:nvGraphicFramePr>
        <xdr:cNvPr id="3" name="Shape 29699"/>
        <xdr:cNvGraphicFramePr/>
      </xdr:nvGraphicFramePr>
      <xdr:xfrm>
        <a:off x="942975" y="16459200"/>
        <a:ext cx="4724400" cy="2133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24</xdr:row>
      <xdr:rowOff>161925</xdr:rowOff>
    </xdr:from>
    <xdr:to>
      <xdr:col>19</xdr:col>
      <xdr:colOff>419100</xdr:colOff>
      <xdr:row>40</xdr:row>
      <xdr:rowOff>47625</xdr:rowOff>
    </xdr:to>
    <xdr:graphicFrame>
      <xdr:nvGraphicFramePr>
        <xdr:cNvPr id="1" name="Shape 4099"/>
        <xdr:cNvGraphicFramePr/>
      </xdr:nvGraphicFramePr>
      <xdr:xfrm>
        <a:off x="12649200" y="4591050"/>
        <a:ext cx="4810125" cy="258127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0</xdr:colOff>
      <xdr:row>5</xdr:row>
      <xdr:rowOff>152400</xdr:rowOff>
    </xdr:from>
    <xdr:to>
      <xdr:col>14</xdr:col>
      <xdr:colOff>1228725</xdr:colOff>
      <xdr:row>8</xdr:row>
      <xdr:rowOff>76200</xdr:rowOff>
    </xdr:to>
    <xdr:pic>
      <xdr:nvPicPr>
        <xdr:cNvPr id="2" name="CommandButton1"/>
        <xdr:cNvPicPr preferRelativeResize="1">
          <a:picLocks noChangeAspect="1"/>
        </xdr:cNvPicPr>
      </xdr:nvPicPr>
      <xdr:blipFill>
        <a:blip r:embed="rId2"/>
        <a:stretch>
          <a:fillRect/>
        </a:stretch>
      </xdr:blipFill>
      <xdr:spPr>
        <a:xfrm>
          <a:off x="12706350" y="1209675"/>
          <a:ext cx="1228725" cy="428625"/>
        </a:xfrm>
        <a:prstGeom prst="rect">
          <a:avLst/>
        </a:prstGeom>
        <a:noFill/>
        <a:ln w="9525" cmpd="sng">
          <a:noFill/>
        </a:ln>
      </xdr:spPr>
    </xdr:pic>
    <xdr:clientData/>
  </xdr:twoCellAnchor>
  <xdr:twoCellAnchor>
    <xdr:from>
      <xdr:col>13</xdr:col>
      <xdr:colOff>533400</xdr:colOff>
      <xdr:row>40</xdr:row>
      <xdr:rowOff>133350</xdr:rowOff>
    </xdr:from>
    <xdr:to>
      <xdr:col>18</xdr:col>
      <xdr:colOff>704850</xdr:colOff>
      <xdr:row>56</xdr:row>
      <xdr:rowOff>142875</xdr:rowOff>
    </xdr:to>
    <xdr:graphicFrame>
      <xdr:nvGraphicFramePr>
        <xdr:cNvPr id="3" name="Shape 4101"/>
        <xdr:cNvGraphicFramePr/>
      </xdr:nvGraphicFramePr>
      <xdr:xfrm>
        <a:off x="12658725" y="7258050"/>
        <a:ext cx="4295775" cy="27241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26</xdr:row>
      <xdr:rowOff>85725</xdr:rowOff>
    </xdr:from>
    <xdr:to>
      <xdr:col>15</xdr:col>
      <xdr:colOff>476250</xdr:colOff>
      <xdr:row>43</xdr:row>
      <xdr:rowOff>19050</xdr:rowOff>
    </xdr:to>
    <xdr:graphicFrame>
      <xdr:nvGraphicFramePr>
        <xdr:cNvPr id="1" name="Shape 16405"/>
        <xdr:cNvGraphicFramePr/>
      </xdr:nvGraphicFramePr>
      <xdr:xfrm>
        <a:off x="10525125" y="4619625"/>
        <a:ext cx="5753100" cy="26860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142875</xdr:colOff>
      <xdr:row>5</xdr:row>
      <xdr:rowOff>123825</xdr:rowOff>
    </xdr:from>
    <xdr:to>
      <xdr:col>10</xdr:col>
      <xdr:colOff>504825</xdr:colOff>
      <xdr:row>8</xdr:row>
      <xdr:rowOff>28575</xdr:rowOff>
    </xdr:to>
    <xdr:pic>
      <xdr:nvPicPr>
        <xdr:cNvPr id="2" name="CommandButton1"/>
        <xdr:cNvPicPr preferRelativeResize="1">
          <a:picLocks noChangeAspect="1"/>
        </xdr:cNvPicPr>
      </xdr:nvPicPr>
      <xdr:blipFill>
        <a:blip r:embed="rId2"/>
        <a:stretch>
          <a:fillRect/>
        </a:stretch>
      </xdr:blipFill>
      <xdr:spPr>
        <a:xfrm>
          <a:off x="9563100" y="1114425"/>
          <a:ext cx="942975" cy="466725"/>
        </a:xfrm>
        <a:prstGeom prst="rect">
          <a:avLst/>
        </a:prstGeom>
        <a:noFill/>
        <a:ln w="9525" cmpd="sng">
          <a:noFill/>
        </a:ln>
      </xdr:spPr>
    </xdr:pic>
    <xdr:clientData/>
  </xdr:twoCellAnchor>
  <xdr:twoCellAnchor>
    <xdr:from>
      <xdr:col>17</xdr:col>
      <xdr:colOff>0</xdr:colOff>
      <xdr:row>26</xdr:row>
      <xdr:rowOff>0</xdr:rowOff>
    </xdr:from>
    <xdr:to>
      <xdr:col>26</xdr:col>
      <xdr:colOff>228600</xdr:colOff>
      <xdr:row>43</xdr:row>
      <xdr:rowOff>38100</xdr:rowOff>
    </xdr:to>
    <xdr:graphicFrame>
      <xdr:nvGraphicFramePr>
        <xdr:cNvPr id="3" name="Shape 16408"/>
        <xdr:cNvGraphicFramePr/>
      </xdr:nvGraphicFramePr>
      <xdr:xfrm>
        <a:off x="16964025" y="4533900"/>
        <a:ext cx="5457825" cy="27908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428625</xdr:colOff>
      <xdr:row>7</xdr:row>
      <xdr:rowOff>47625</xdr:rowOff>
    </xdr:from>
    <xdr:to>
      <xdr:col>18</xdr:col>
      <xdr:colOff>828675</xdr:colOff>
      <xdr:row>19</xdr:row>
      <xdr:rowOff>161925</xdr:rowOff>
    </xdr:to>
    <xdr:graphicFrame>
      <xdr:nvGraphicFramePr>
        <xdr:cNvPr id="1" name="Chart 6"/>
        <xdr:cNvGraphicFramePr/>
      </xdr:nvGraphicFramePr>
      <xdr:xfrm>
        <a:off x="15125700" y="1552575"/>
        <a:ext cx="4286250" cy="22383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12</xdr:row>
      <xdr:rowOff>47625</xdr:rowOff>
    </xdr:from>
    <xdr:to>
      <xdr:col>19</xdr:col>
      <xdr:colOff>609600</xdr:colOff>
      <xdr:row>14</xdr:row>
      <xdr:rowOff>123825</xdr:rowOff>
    </xdr:to>
    <xdr:sp>
      <xdr:nvSpPr>
        <xdr:cNvPr id="1" name="Shape 18434"/>
        <xdr:cNvSpPr>
          <a:spLocks/>
        </xdr:cNvSpPr>
      </xdr:nvSpPr>
      <xdr:spPr>
        <a:xfrm>
          <a:off x="13411200" y="2295525"/>
          <a:ext cx="1200150" cy="4000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12</xdr:row>
      <xdr:rowOff>57150</xdr:rowOff>
    </xdr:from>
    <xdr:to>
      <xdr:col>19</xdr:col>
      <xdr:colOff>609600</xdr:colOff>
      <xdr:row>14</xdr:row>
      <xdr:rowOff>123825</xdr:rowOff>
    </xdr:to>
    <xdr:sp>
      <xdr:nvSpPr>
        <xdr:cNvPr id="2" name="Shape 18435"/>
        <xdr:cNvSpPr>
          <a:spLocks/>
        </xdr:cNvSpPr>
      </xdr:nvSpPr>
      <xdr:spPr>
        <a:xfrm flipV="1">
          <a:off x="13401675" y="2305050"/>
          <a:ext cx="12096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19</xdr:col>
      <xdr:colOff>609600</xdr:colOff>
      <xdr:row>13</xdr:row>
      <xdr:rowOff>66675</xdr:rowOff>
    </xdr:from>
    <xdr:to>
      <xdr:col>21</xdr:col>
      <xdr:colOff>276225</xdr:colOff>
      <xdr:row>13</xdr:row>
      <xdr:rowOff>66675</xdr:rowOff>
    </xdr:to>
    <xdr:sp>
      <xdr:nvSpPr>
        <xdr:cNvPr id="3" name="Shape 18436"/>
        <xdr:cNvSpPr>
          <a:spLocks/>
        </xdr:cNvSpPr>
      </xdr:nvSpPr>
      <xdr:spPr>
        <a:xfrm>
          <a:off x="14611350" y="247650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16</xdr:col>
      <xdr:colOff>561975</xdr:colOff>
      <xdr:row>13</xdr:row>
      <xdr:rowOff>66675</xdr:rowOff>
    </xdr:from>
    <xdr:to>
      <xdr:col>17</xdr:col>
      <xdr:colOff>581025</xdr:colOff>
      <xdr:row>13</xdr:row>
      <xdr:rowOff>66675</xdr:rowOff>
    </xdr:to>
    <xdr:sp>
      <xdr:nvSpPr>
        <xdr:cNvPr id="4" name="Shape 18437"/>
        <xdr:cNvSpPr>
          <a:spLocks/>
        </xdr:cNvSpPr>
      </xdr:nvSpPr>
      <xdr:spPr>
        <a:xfrm>
          <a:off x="12811125" y="247650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19</xdr:col>
      <xdr:colOff>219075</xdr:colOff>
      <xdr:row>9</xdr:row>
      <xdr:rowOff>114300</xdr:rowOff>
    </xdr:from>
    <xdr:to>
      <xdr:col>19</xdr:col>
      <xdr:colOff>219075</xdr:colOff>
      <xdr:row>12</xdr:row>
      <xdr:rowOff>9525</xdr:rowOff>
    </xdr:to>
    <xdr:sp>
      <xdr:nvSpPr>
        <xdr:cNvPr id="5" name="Shape 18438"/>
        <xdr:cNvSpPr>
          <a:spLocks/>
        </xdr:cNvSpPr>
      </xdr:nvSpPr>
      <xdr:spPr>
        <a:xfrm flipV="1">
          <a:off x="14220825" y="18573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9525</xdr:rowOff>
    </xdr:from>
    <xdr:to>
      <xdr:col>14</xdr:col>
      <xdr:colOff>9525</xdr:colOff>
      <xdr:row>19</xdr:row>
      <xdr:rowOff>0</xdr:rowOff>
    </xdr:to>
    <xdr:graphicFrame>
      <xdr:nvGraphicFramePr>
        <xdr:cNvPr id="1" name="Shape 19457"/>
        <xdr:cNvGraphicFramePr/>
      </xdr:nvGraphicFramePr>
      <xdr:xfrm>
        <a:off x="7886700" y="9525"/>
        <a:ext cx="4324350" cy="3686175"/>
      </xdr:xfrm>
      <a:graphic>
        <a:graphicData uri="http://schemas.openxmlformats.org/drawingml/2006/chart">
          <c:chart xmlns:c="http://schemas.openxmlformats.org/drawingml/2006/chart" r:id="rId1"/>
        </a:graphicData>
      </a:graphic>
    </xdr:graphicFrame>
    <xdr:clientData/>
  </xdr:twoCellAnchor>
  <xdr:twoCellAnchor>
    <xdr:from>
      <xdr:col>17</xdr:col>
      <xdr:colOff>333375</xdr:colOff>
      <xdr:row>56</xdr:row>
      <xdr:rowOff>104775</xdr:rowOff>
    </xdr:from>
    <xdr:to>
      <xdr:col>25</xdr:col>
      <xdr:colOff>247650</xdr:colOff>
      <xdr:row>77</xdr:row>
      <xdr:rowOff>76200</xdr:rowOff>
    </xdr:to>
    <xdr:graphicFrame>
      <xdr:nvGraphicFramePr>
        <xdr:cNvPr id="2" name="Shape 19458"/>
        <xdr:cNvGraphicFramePr/>
      </xdr:nvGraphicFramePr>
      <xdr:xfrm>
        <a:off x="14678025" y="10458450"/>
        <a:ext cx="5629275" cy="3371850"/>
      </xdr:xfrm>
      <a:graphic>
        <a:graphicData uri="http://schemas.openxmlformats.org/drawingml/2006/chart">
          <c:chart xmlns:c="http://schemas.openxmlformats.org/drawingml/2006/chart" r:id="rId2"/>
        </a:graphicData>
      </a:graphic>
    </xdr:graphicFrame>
    <xdr:clientData/>
  </xdr:twoCellAnchor>
  <xdr:twoCellAnchor>
    <xdr:from>
      <xdr:col>17</xdr:col>
      <xdr:colOff>333375</xdr:colOff>
      <xdr:row>77</xdr:row>
      <xdr:rowOff>104775</xdr:rowOff>
    </xdr:from>
    <xdr:to>
      <xdr:col>25</xdr:col>
      <xdr:colOff>257175</xdr:colOff>
      <xdr:row>94</xdr:row>
      <xdr:rowOff>85725</xdr:rowOff>
    </xdr:to>
    <xdr:graphicFrame>
      <xdr:nvGraphicFramePr>
        <xdr:cNvPr id="3" name="Shape 19459"/>
        <xdr:cNvGraphicFramePr/>
      </xdr:nvGraphicFramePr>
      <xdr:xfrm>
        <a:off x="14678025" y="13858875"/>
        <a:ext cx="5638800" cy="2733675"/>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74</xdr:row>
      <xdr:rowOff>152400</xdr:rowOff>
    </xdr:from>
    <xdr:to>
      <xdr:col>17</xdr:col>
      <xdr:colOff>361950</xdr:colOff>
      <xdr:row>91</xdr:row>
      <xdr:rowOff>123825</xdr:rowOff>
    </xdr:to>
    <xdr:graphicFrame>
      <xdr:nvGraphicFramePr>
        <xdr:cNvPr id="4" name="Shape 19460"/>
        <xdr:cNvGraphicFramePr/>
      </xdr:nvGraphicFramePr>
      <xdr:xfrm>
        <a:off x="9144000" y="13420725"/>
        <a:ext cx="5562600" cy="2724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nr.com/features/conEco/costIndexes/mostRecentIndexes.asp" TargetMode="External" /><Relationship Id="rId2" Type="http://schemas.openxmlformats.org/officeDocument/2006/relationships/comments" Target="../comments11.xml" /><Relationship Id="rId3" Type="http://schemas.openxmlformats.org/officeDocument/2006/relationships/oleObject" Target="../embeddings/oleObject_10_0.bin" /><Relationship Id="rId4" Type="http://schemas.openxmlformats.org/officeDocument/2006/relationships/vmlDrawing" Target="../drawings/vmlDrawing2.vml" /><Relationship Id="rId5" Type="http://schemas.openxmlformats.org/officeDocument/2006/relationships/drawing" Target="../drawings/drawing3.xml" /><Relationship Id="rId6"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MCHAPMAN@do.usbr.gov" TargetMode="External" /><Relationship Id="rId2" Type="http://schemas.openxmlformats.org/officeDocument/2006/relationships/hyperlink" Target="http://www.usbr.gov/pmts/water/awtr.html"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2"/>
  <dimension ref="A1:BQ31"/>
  <sheetViews>
    <sheetView workbookViewId="0" topLeftCell="A1">
      <selection activeCell="A26" sqref="A26"/>
    </sheetView>
  </sheetViews>
  <sheetFormatPr defaultColWidth="9.140625" defaultRowHeight="12.75"/>
  <cols>
    <col min="1" max="1" width="50.7109375" style="0" customWidth="1"/>
  </cols>
  <sheetData>
    <row r="1" ht="12.75">
      <c r="A1" s="736" t="s">
        <v>693</v>
      </c>
    </row>
    <row r="2" spans="1:69" ht="12.75">
      <c r="A2" s="735" t="s">
        <v>694</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34"/>
      <c r="BC2" s="734"/>
      <c r="BD2" s="734"/>
      <c r="BE2" s="734"/>
      <c r="BF2" s="734"/>
      <c r="BG2" s="734"/>
      <c r="BH2" s="734"/>
      <c r="BI2" s="734"/>
      <c r="BJ2" s="734"/>
      <c r="BK2" s="734"/>
      <c r="BL2" s="734"/>
      <c r="BM2" s="734"/>
      <c r="BN2" s="734"/>
      <c r="BO2" s="734"/>
      <c r="BP2" s="734"/>
      <c r="BQ2" s="734"/>
    </row>
    <row r="5" ht="12.75">
      <c r="A5" s="736" t="s">
        <v>1749</v>
      </c>
    </row>
    <row r="6" spans="1:4" ht="12.75">
      <c r="A6" t="s">
        <v>344</v>
      </c>
      <c r="D6" s="328"/>
    </row>
    <row r="7" ht="12.75">
      <c r="A7" t="s">
        <v>345</v>
      </c>
    </row>
    <row r="8" ht="12.75">
      <c r="A8" t="s">
        <v>550</v>
      </c>
    </row>
    <row r="9" ht="12.75">
      <c r="A9" t="s">
        <v>346</v>
      </c>
    </row>
    <row r="10" ht="12.75">
      <c r="A10" t="s">
        <v>347</v>
      </c>
    </row>
    <row r="11" spans="1:2" ht="12.75">
      <c r="A11" t="s">
        <v>348</v>
      </c>
      <c r="B11" t="s">
        <v>1381</v>
      </c>
    </row>
    <row r="12" ht="12.75">
      <c r="A12" t="s">
        <v>549</v>
      </c>
    </row>
    <row r="13" ht="12.75">
      <c r="A13" t="s">
        <v>1750</v>
      </c>
    </row>
    <row r="14" ht="12.75">
      <c r="A14" t="s">
        <v>1382</v>
      </c>
    </row>
    <row r="15" ht="12.75">
      <c r="A15" t="s">
        <v>1383</v>
      </c>
    </row>
    <row r="16" ht="12.75">
      <c r="A16" t="s">
        <v>6</v>
      </c>
    </row>
    <row r="17" ht="12.75">
      <c r="A17" t="s">
        <v>7</v>
      </c>
    </row>
    <row r="18" ht="12.75">
      <c r="A18" t="s">
        <v>8</v>
      </c>
    </row>
    <row r="19" ht="12.75">
      <c r="A19" t="s">
        <v>692</v>
      </c>
    </row>
    <row r="20" ht="12.75">
      <c r="A20" t="s">
        <v>691</v>
      </c>
    </row>
    <row r="23" ht="12.75">
      <c r="A23" s="736" t="s">
        <v>1647</v>
      </c>
    </row>
    <row r="24" ht="12.75">
      <c r="A24" t="s">
        <v>9</v>
      </c>
    </row>
    <row r="31" ht="12.75">
      <c r="A31" s="736"/>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4">
    <pageSetUpPr fitToPage="1"/>
  </sheetPr>
  <dimension ref="A1:T216"/>
  <sheetViews>
    <sheetView zoomScale="75" zoomScaleNormal="75" workbookViewId="0" topLeftCell="A52">
      <selection activeCell="O77" sqref="O77"/>
    </sheetView>
  </sheetViews>
  <sheetFormatPr defaultColWidth="9.140625" defaultRowHeight="12.75"/>
  <cols>
    <col min="1" max="1" width="4.140625" style="159" bestFit="1" customWidth="1"/>
    <col min="2" max="2" width="5.140625" style="159" bestFit="1" customWidth="1"/>
    <col min="3" max="3" width="29.8515625" style="159" bestFit="1" customWidth="1"/>
    <col min="4" max="4" width="19.7109375" style="159" customWidth="1"/>
    <col min="5" max="5" width="11.00390625" style="159" customWidth="1"/>
    <col min="6" max="6" width="8.00390625" style="431" bestFit="1" customWidth="1"/>
    <col min="7" max="7" width="6.7109375" style="153" customWidth="1"/>
    <col min="8" max="8" width="16.140625" style="153" customWidth="1"/>
    <col min="9" max="9" width="13.140625" style="153" customWidth="1"/>
    <col min="10" max="11" width="12.28125" style="153" bestFit="1" customWidth="1"/>
    <col min="12" max="12" width="8.8515625" style="153" bestFit="1" customWidth="1"/>
    <col min="13" max="13" width="10.28125" style="153" bestFit="1" customWidth="1"/>
    <col min="14" max="14" width="3.28125" style="159" bestFit="1" customWidth="1"/>
    <col min="15" max="15" width="14.00390625" style="159" bestFit="1" customWidth="1"/>
    <col min="16" max="16" width="9.28125" style="159" bestFit="1" customWidth="1"/>
    <col min="17" max="17" width="9.421875" style="159" bestFit="1" customWidth="1"/>
    <col min="18" max="18" width="14.00390625" style="159" bestFit="1" customWidth="1"/>
    <col min="19" max="20" width="9.28125" style="159" bestFit="1" customWidth="1"/>
    <col min="21" max="16384" width="9.140625" style="159" customWidth="1"/>
  </cols>
  <sheetData>
    <row r="1" spans="1:5" ht="15.75">
      <c r="A1" s="1887" t="s">
        <v>846</v>
      </c>
      <c r="B1" s="1888"/>
      <c r="C1" s="1984"/>
      <c r="D1" s="382" t="s">
        <v>847</v>
      </c>
      <c r="E1" s="383" t="s">
        <v>848</v>
      </c>
    </row>
    <row r="2" spans="1:5" ht="18.75" thickBot="1">
      <c r="A2" s="1889" t="str">
        <f>'{a}Project &amp; Stage Info'!C3</f>
        <v>Model Development</v>
      </c>
      <c r="B2" s="1890"/>
      <c r="C2" s="463"/>
      <c r="D2" s="1982">
        <f>'{a}Project &amp; Stage Info'!C5</f>
        <v>38145</v>
      </c>
      <c r="E2" s="1983" t="str">
        <f>'{a}Project &amp; Stage Info'!C7</f>
        <v>A1</v>
      </c>
    </row>
    <row r="3" ht="12.75"/>
    <row r="4" spans="1:14" ht="18">
      <c r="A4" s="384" t="s">
        <v>807</v>
      </c>
      <c r="C4" s="124"/>
      <c r="D4" s="124"/>
      <c r="J4" s="124"/>
      <c r="K4" s="232"/>
      <c r="N4" s="153"/>
    </row>
    <row r="5" spans="2:14" ht="15.75">
      <c r="B5" s="202"/>
      <c r="C5" s="124"/>
      <c r="D5" s="124"/>
      <c r="E5" s="153"/>
      <c r="F5" s="153"/>
      <c r="J5" s="124"/>
      <c r="K5" s="232"/>
      <c r="N5" s="153"/>
    </row>
    <row r="6" spans="2:14" ht="15.75">
      <c r="B6" s="202"/>
      <c r="C6" s="122" t="s">
        <v>1514</v>
      </c>
      <c r="D6" s="124"/>
      <c r="E6" s="153"/>
      <c r="F6" s="153"/>
      <c r="J6" s="124"/>
      <c r="K6" s="232"/>
      <c r="N6" s="153"/>
    </row>
    <row r="7" spans="2:14" ht="16.5" thickBot="1">
      <c r="B7" s="202"/>
      <c r="C7" s="2036" t="s">
        <v>1515</v>
      </c>
      <c r="D7" s="2036" t="s">
        <v>1516</v>
      </c>
      <c r="E7" s="2037"/>
      <c r="F7" s="153"/>
      <c r="J7" s="124"/>
      <c r="K7" s="232"/>
      <c r="N7" s="153"/>
    </row>
    <row r="8" spans="1:14" ht="15" thickTop="1">
      <c r="A8" s="153"/>
      <c r="B8" s="124"/>
      <c r="C8" s="2034">
        <f>'{b}Capacity'!J18</f>
        <v>378500.00000000006</v>
      </c>
      <c r="D8" s="2035">
        <f>'{b}Capacity'!J26</f>
        <v>3785.0000000000005</v>
      </c>
      <c r="E8" s="943" t="s">
        <v>1497</v>
      </c>
      <c r="F8" s="159"/>
      <c r="N8" s="153"/>
    </row>
    <row r="9" spans="1:14" ht="14.25">
      <c r="A9" s="153"/>
      <c r="B9" s="124"/>
      <c r="C9" s="2034">
        <f>'{b}Capacity'!K18</f>
        <v>138244097.00000003</v>
      </c>
      <c r="D9" s="2035">
        <f>'{b}Capacity'!K26</f>
        <v>1382440.9700000002</v>
      </c>
      <c r="E9" s="943" t="s">
        <v>1520</v>
      </c>
      <c r="F9" s="159"/>
      <c r="N9" s="153"/>
    </row>
    <row r="10" spans="1:14" ht="12.75">
      <c r="A10" s="158"/>
      <c r="B10" s="158"/>
      <c r="C10" s="1083">
        <f>'{b}Capacity'!G18*(1/1000)</f>
        <v>99989.16894074883</v>
      </c>
      <c r="D10" s="490">
        <f>'{b}Capacity'!G26*(1/1000)</f>
        <v>999.8916894074885</v>
      </c>
      <c r="E10" s="205" t="s">
        <v>709</v>
      </c>
      <c r="F10" s="159"/>
      <c r="N10" s="153"/>
    </row>
    <row r="11" spans="1:14" ht="12.75">
      <c r="A11" s="158"/>
      <c r="B11" s="158"/>
      <c r="C11" s="1083">
        <f>'{b}Capacity'!I18*(1/1000)</f>
        <v>36520244.04225698</v>
      </c>
      <c r="D11" s="1083">
        <f>'{b}Capacity'!I26*(1/1000)</f>
        <v>365202.4404225699</v>
      </c>
      <c r="E11" s="205" t="s">
        <v>1518</v>
      </c>
      <c r="F11" s="159"/>
      <c r="N11" s="153"/>
    </row>
    <row r="12" spans="4:14" ht="13.5" thickBot="1">
      <c r="D12" s="432"/>
      <c r="E12" s="431"/>
      <c r="F12" s="159"/>
      <c r="N12" s="153"/>
    </row>
    <row r="13" spans="2:14" ht="12.75">
      <c r="B13" s="2503"/>
      <c r="C13" s="2494" t="s">
        <v>704</v>
      </c>
      <c r="D13" s="2494" t="s">
        <v>765</v>
      </c>
      <c r="E13" s="2494" t="s">
        <v>1682</v>
      </c>
      <c r="F13" s="2485" t="s">
        <v>766</v>
      </c>
      <c r="G13" s="2476"/>
      <c r="H13" s="2483" t="s">
        <v>286</v>
      </c>
      <c r="I13" s="2483"/>
      <c r="J13" s="2483"/>
      <c r="K13" s="2483" t="s">
        <v>703</v>
      </c>
      <c r="L13" s="2483"/>
      <c r="M13" s="2484"/>
      <c r="N13" s="153"/>
    </row>
    <row r="14" spans="2:14" ht="15" thickBot="1">
      <c r="B14" s="2480"/>
      <c r="C14" s="2495"/>
      <c r="D14" s="2495"/>
      <c r="E14" s="2495"/>
      <c r="F14" s="2477"/>
      <c r="G14" s="2478"/>
      <c r="H14" s="434" t="s">
        <v>1047</v>
      </c>
      <c r="I14" s="435" t="s">
        <v>760</v>
      </c>
      <c r="J14" s="436" t="s">
        <v>705</v>
      </c>
      <c r="K14" s="434" t="s">
        <v>1048</v>
      </c>
      <c r="L14" s="435" t="s">
        <v>760</v>
      </c>
      <c r="M14" s="437" t="s">
        <v>705</v>
      </c>
      <c r="N14" s="153"/>
    </row>
    <row r="15" spans="2:14" ht="13.5" thickTop="1">
      <c r="B15" s="2502" t="s">
        <v>1619</v>
      </c>
      <c r="C15" s="1944"/>
      <c r="D15" s="1728"/>
      <c r="E15" s="1728"/>
      <c r="F15" s="1729"/>
      <c r="G15" s="1729"/>
      <c r="H15" s="2045"/>
      <c r="I15" s="2046"/>
      <c r="J15" s="2047"/>
      <c r="K15" s="2048"/>
      <c r="L15" s="2046"/>
      <c r="M15" s="2049"/>
      <c r="N15" s="153"/>
    </row>
    <row r="16" spans="2:14" ht="27.75" customHeight="1" thickBot="1">
      <c r="B16" s="2501"/>
      <c r="C16" s="1945"/>
      <c r="D16" s="1812"/>
      <c r="E16" s="1812"/>
      <c r="F16" s="1813"/>
      <c r="G16" s="1813"/>
      <c r="H16" s="2050"/>
      <c r="I16" s="2051"/>
      <c r="J16" s="2052"/>
      <c r="K16" s="2053"/>
      <c r="L16" s="2051"/>
      <c r="M16" s="2054"/>
      <c r="N16" s="153"/>
    </row>
    <row r="17" spans="2:13" ht="12.75">
      <c r="B17" s="2499" t="s">
        <v>1391</v>
      </c>
      <c r="C17" s="1985" t="s">
        <v>1651</v>
      </c>
      <c r="D17" s="1986"/>
      <c r="E17" s="1986"/>
      <c r="F17" s="1987"/>
      <c r="G17" s="1988"/>
      <c r="H17" s="2055">
        <f>'{p} Ozone'!B16</f>
        <v>2927245.377046288</v>
      </c>
      <c r="I17" s="2056">
        <f>H17/$D$8</f>
        <v>773.3805487572755</v>
      </c>
      <c r="J17" s="2057">
        <f>H17/$D$10</f>
        <v>2927.5624630712778</v>
      </c>
      <c r="K17" s="2058">
        <f>'{p} Ozone'!B18</f>
        <v>233063.88020386588</v>
      </c>
      <c r="L17" s="2059">
        <f>K17/($D$8*365*'{b}Capacity'!$C$7)</f>
        <v>0.17757941420864307</v>
      </c>
      <c r="M17" s="2060">
        <f>K17/($D$10*365*'{b}Capacity'!$C$7)</f>
        <v>0.6722108903395395</v>
      </c>
    </row>
    <row r="18" spans="2:13" ht="12.75">
      <c r="B18" s="2500"/>
      <c r="C18" s="1892" t="s">
        <v>1652</v>
      </c>
      <c r="D18" s="468">
        <v>1</v>
      </c>
      <c r="E18" s="467" t="s">
        <v>1692</v>
      </c>
      <c r="F18" s="157"/>
      <c r="G18" s="240"/>
      <c r="H18" s="2061"/>
      <c r="I18" s="2062"/>
      <c r="J18" s="2063"/>
      <c r="K18" s="2064"/>
      <c r="L18" s="2062"/>
      <c r="M18" s="2065"/>
    </row>
    <row r="19" spans="2:13" ht="12.75">
      <c r="B19" s="2500"/>
      <c r="C19" s="1892" t="s">
        <v>1653</v>
      </c>
      <c r="D19" s="466">
        <v>2</v>
      </c>
      <c r="E19" s="467" t="s">
        <v>381</v>
      </c>
      <c r="F19" s="157"/>
      <c r="G19" s="240"/>
      <c r="H19" s="2061"/>
      <c r="I19" s="2062"/>
      <c r="J19" s="2063"/>
      <c r="K19" s="2064"/>
      <c r="L19" s="2062"/>
      <c r="M19" s="2065"/>
    </row>
    <row r="20" spans="2:13" ht="12.75">
      <c r="B20" s="2500"/>
      <c r="C20" s="1894"/>
      <c r="D20" s="1996"/>
      <c r="E20" s="474"/>
      <c r="F20" s="470"/>
      <c r="G20" s="469"/>
      <c r="H20" s="2066"/>
      <c r="I20" s="2067"/>
      <c r="J20" s="2068"/>
      <c r="K20" s="2069"/>
      <c r="L20" s="2067"/>
      <c r="M20" s="2070"/>
    </row>
    <row r="21" spans="2:13" ht="12.75">
      <c r="B21" s="2500"/>
      <c r="C21" s="1994" t="s">
        <v>1613</v>
      </c>
      <c r="D21" s="474"/>
      <c r="E21" s="474"/>
      <c r="F21" s="470"/>
      <c r="G21" s="469"/>
      <c r="H21" s="2066">
        <f>'{n}CL2'!C29</f>
        <v>371543.91801031947</v>
      </c>
      <c r="I21" s="2067">
        <f>H21/$D$8</f>
        <v>98.16219762491927</v>
      </c>
      <c r="J21" s="2068">
        <f>H21/$D$10</f>
        <v>371.5841645113456</v>
      </c>
      <c r="K21" s="2069">
        <f>'{n}CL2'!C37</f>
        <v>77792.02885223234</v>
      </c>
      <c r="L21" s="2071">
        <f>K21/($D$8*365*'{b}Capacity'!$C$7)</f>
        <v>0.05927243166808024</v>
      </c>
      <c r="M21" s="2072">
        <f>K21/($D$10*365*'{b}Capacity'!$C$7)</f>
        <v>0.2243704555606676</v>
      </c>
    </row>
    <row r="22" spans="2:13" ht="12.75">
      <c r="B22" s="2500"/>
      <c r="C22" s="1892" t="s">
        <v>1603</v>
      </c>
      <c r="D22" s="466">
        <v>2.5</v>
      </c>
      <c r="E22" s="467" t="s">
        <v>1692</v>
      </c>
      <c r="F22" s="157"/>
      <c r="G22" s="240"/>
      <c r="H22" s="2061"/>
      <c r="I22" s="2062"/>
      <c r="J22" s="2063"/>
      <c r="K22" s="2064"/>
      <c r="L22" s="2073"/>
      <c r="M22" s="2074"/>
    </row>
    <row r="23" spans="2:13" ht="12.75">
      <c r="B23" s="2500"/>
      <c r="C23" s="1892" t="s">
        <v>1614</v>
      </c>
      <c r="D23" s="454">
        <f>'{n}CL2'!B16</f>
        <v>2.5</v>
      </c>
      <c r="E23" s="467" t="s">
        <v>1692</v>
      </c>
      <c r="F23" s="157"/>
      <c r="G23" s="240"/>
      <c r="H23" s="2061"/>
      <c r="I23" s="2062"/>
      <c r="J23" s="2063"/>
      <c r="K23" s="2064"/>
      <c r="L23" s="2062"/>
      <c r="M23" s="2065"/>
    </row>
    <row r="24" spans="2:13" ht="12.75">
      <c r="B24" s="2500"/>
      <c r="C24" s="1995" t="s">
        <v>1615</v>
      </c>
      <c r="D24" s="466"/>
      <c r="E24" s="467" t="s">
        <v>1692</v>
      </c>
      <c r="F24" s="157"/>
      <c r="G24" s="240"/>
      <c r="H24" s="2061"/>
      <c r="I24" s="2062"/>
      <c r="J24" s="2063"/>
      <c r="K24" s="2064"/>
      <c r="L24" s="2062"/>
      <c r="M24" s="2065"/>
    </row>
    <row r="25" spans="2:13" ht="12.75">
      <c r="B25" s="2500"/>
      <c r="C25" s="1894"/>
      <c r="D25" s="474"/>
      <c r="E25" s="474"/>
      <c r="F25" s="470"/>
      <c r="G25" s="469"/>
      <c r="H25" s="2066"/>
      <c r="I25" s="2067"/>
      <c r="J25" s="2068"/>
      <c r="K25" s="2069"/>
      <c r="L25" s="2067"/>
      <c r="M25" s="2070"/>
    </row>
    <row r="26" spans="2:15" ht="12.75">
      <c r="B26" s="2500"/>
      <c r="C26" s="1994" t="s">
        <v>1390</v>
      </c>
      <c r="D26" s="474"/>
      <c r="E26" s="474"/>
      <c r="F26" s="470"/>
      <c r="G26" s="469"/>
      <c r="H26" s="2066" t="e">
        <f>'{n}CL2'!#REF!</f>
        <v>#REF!</v>
      </c>
      <c r="I26" s="2067" t="e">
        <f>H26/$D$8</f>
        <v>#REF!</v>
      </c>
      <c r="J26" s="2068" t="e">
        <f>H26/$D$10</f>
        <v>#REF!</v>
      </c>
      <c r="K26" s="2069" t="e">
        <f>'{n}CL2'!#REF!</f>
        <v>#REF!</v>
      </c>
      <c r="L26" s="2071" t="e">
        <f>K26/($D$8*365*'{b}Capacity'!$C$7)</f>
        <v>#REF!</v>
      </c>
      <c r="M26" s="2072" t="e">
        <f>K26/($D$10*365*'{b}Capacity'!$C$7)</f>
        <v>#REF!</v>
      </c>
      <c r="O26" s="159" t="s">
        <v>988</v>
      </c>
    </row>
    <row r="27" spans="2:13" ht="12.75">
      <c r="B27" s="2500"/>
      <c r="C27" s="1892" t="s">
        <v>1603</v>
      </c>
      <c r="D27" s="466">
        <v>2.5</v>
      </c>
      <c r="E27" s="467" t="s">
        <v>1692</v>
      </c>
      <c r="F27" s="157"/>
      <c r="G27" s="240"/>
      <c r="H27" s="2061"/>
      <c r="I27" s="2062"/>
      <c r="J27" s="2063"/>
      <c r="K27" s="2064"/>
      <c r="L27" s="2073"/>
      <c r="M27" s="2074"/>
    </row>
    <row r="28" spans="2:13" ht="12.75">
      <c r="B28" s="2500"/>
      <c r="C28" s="1892" t="s">
        <v>1614</v>
      </c>
      <c r="D28" s="454">
        <f>'{n}CL2'!B16</f>
        <v>2.5</v>
      </c>
      <c r="E28" s="467" t="s">
        <v>1692</v>
      </c>
      <c r="F28" s="157"/>
      <c r="G28" s="240"/>
      <c r="H28" s="2061"/>
      <c r="I28" s="2062"/>
      <c r="J28" s="2063"/>
      <c r="K28" s="2064"/>
      <c r="L28" s="2062"/>
      <c r="M28" s="2065"/>
    </row>
    <row r="29" spans="2:14" ht="12.75">
      <c r="B29" s="2500"/>
      <c r="C29" s="1892" t="s">
        <v>1615</v>
      </c>
      <c r="D29" s="466"/>
      <c r="E29" s="467" t="s">
        <v>1692</v>
      </c>
      <c r="F29" s="157"/>
      <c r="G29" s="240"/>
      <c r="H29" s="2061"/>
      <c r="I29" s="2062"/>
      <c r="J29" s="2063"/>
      <c r="K29" s="2064"/>
      <c r="L29" s="2062"/>
      <c r="M29" s="2065"/>
      <c r="N29" s="153"/>
    </row>
    <row r="30" spans="2:14" ht="13.5" thickBot="1">
      <c r="B30" s="2501"/>
      <c r="C30" s="1993"/>
      <c r="D30" s="489"/>
      <c r="E30" s="489"/>
      <c r="F30" s="465"/>
      <c r="G30" s="463"/>
      <c r="H30" s="2075"/>
      <c r="I30" s="2076"/>
      <c r="J30" s="2077"/>
      <c r="K30" s="2078"/>
      <c r="L30" s="2076"/>
      <c r="M30" s="2079"/>
      <c r="N30" s="153"/>
    </row>
    <row r="31" spans="2:13" ht="12.75" customHeight="1">
      <c r="B31" s="2498" t="s">
        <v>349</v>
      </c>
      <c r="C31" s="1819" t="s">
        <v>868</v>
      </c>
      <c r="D31" s="1820"/>
      <c r="E31" s="1820"/>
      <c r="F31" s="1809"/>
      <c r="G31" s="1821"/>
      <c r="H31" s="1822">
        <f>'{aa}MF-P output'!B24</f>
        <v>62355747.792887285</v>
      </c>
      <c r="I31" s="1262">
        <f>(H31/$C$8)</f>
        <v>164.7443799019479</v>
      </c>
      <c r="J31" s="2044">
        <f>'{aa}MF-P output'!J30</f>
        <v>0.054827264970464404</v>
      </c>
      <c r="K31" s="1823">
        <f>'{aa}MF-P output'!J14</f>
        <v>2670490.529347887</v>
      </c>
      <c r="L31" s="1810">
        <f>K31/$C$9</f>
        <v>0.019317211998917293</v>
      </c>
      <c r="M31" s="1264">
        <f>K31/$C$11</f>
        <v>0.07312356747282153</v>
      </c>
    </row>
    <row r="32" spans="2:13" ht="12.75">
      <c r="B32" s="2496"/>
      <c r="C32" s="439" t="s">
        <v>927</v>
      </c>
      <c r="D32" s="440" t="s">
        <v>926</v>
      </c>
      <c r="E32" s="446"/>
      <c r="F32" s="441"/>
      <c r="G32" s="442"/>
      <c r="H32" s="1268"/>
      <c r="I32" s="1247"/>
      <c r="J32" s="1248"/>
      <c r="K32" s="1269"/>
      <c r="L32" s="1249"/>
      <c r="M32" s="1250"/>
    </row>
    <row r="33" spans="2:13" ht="12.75">
      <c r="B33" s="2496"/>
      <c r="C33" s="439" t="s">
        <v>928</v>
      </c>
      <c r="D33" s="443">
        <f>'{z}MF-P input'!L15</f>
        <v>103</v>
      </c>
      <c r="E33" s="446"/>
      <c r="F33" s="441"/>
      <c r="G33" s="442"/>
      <c r="H33" s="1269"/>
      <c r="I33" s="1249"/>
      <c r="J33" s="1248"/>
      <c r="K33" s="1269"/>
      <c r="L33" s="1249"/>
      <c r="M33" s="1250"/>
    </row>
    <row r="34" spans="2:13" ht="12.75">
      <c r="B34" s="2496"/>
      <c r="C34" s="444" t="s">
        <v>925</v>
      </c>
      <c r="D34" s="445">
        <v>0.98</v>
      </c>
      <c r="E34" s="440" t="s">
        <v>385</v>
      </c>
      <c r="F34" s="441"/>
      <c r="G34" s="442"/>
      <c r="H34" s="1269"/>
      <c r="I34" s="1249"/>
      <c r="J34" s="1248"/>
      <c r="K34" s="1269"/>
      <c r="L34" s="1249"/>
      <c r="M34" s="1250"/>
    </row>
    <row r="35" spans="2:13" ht="12.75">
      <c r="B35" s="2496"/>
      <c r="C35" s="444"/>
      <c r="D35" s="445"/>
      <c r="E35" s="440"/>
      <c r="F35" s="441"/>
      <c r="G35" s="442"/>
      <c r="H35" s="1269"/>
      <c r="I35" s="1249"/>
      <c r="J35" s="1248"/>
      <c r="K35" s="1269"/>
      <c r="L35" s="1249"/>
      <c r="M35" s="1250"/>
    </row>
    <row r="36" spans="2:13" ht="12.75" customHeight="1">
      <c r="B36" s="2496"/>
      <c r="C36" s="473" t="s">
        <v>730</v>
      </c>
      <c r="D36" s="482"/>
      <c r="E36" s="474"/>
      <c r="F36" s="470"/>
      <c r="G36" s="469"/>
      <c r="H36" s="1276"/>
      <c r="I36" s="1262"/>
      <c r="J36" s="1263"/>
      <c r="K36" s="1275"/>
      <c r="L36" s="1262"/>
      <c r="M36" s="1267"/>
    </row>
    <row r="37" spans="2:13" ht="12.75">
      <c r="B37" s="2496"/>
      <c r="C37" s="240" t="s">
        <v>1538</v>
      </c>
      <c r="D37" s="454">
        <f>'{b}Capacity'!B32</f>
        <v>5153.867102396514</v>
      </c>
      <c r="E37" s="467" t="s">
        <v>1539</v>
      </c>
      <c r="F37" s="154">
        <f>D37*60/3.785</f>
        <v>81699.34640522876</v>
      </c>
      <c r="G37" s="240" t="s">
        <v>1540</v>
      </c>
      <c r="H37" s="1272"/>
      <c r="I37" s="1251"/>
      <c r="J37" s="1252"/>
      <c r="K37" s="1278"/>
      <c r="L37" s="1251"/>
      <c r="M37" s="1253"/>
    </row>
    <row r="38" spans="2:13" ht="12.75">
      <c r="B38" s="2496"/>
      <c r="C38" s="240" t="s">
        <v>1541</v>
      </c>
      <c r="D38" s="483">
        <v>0</v>
      </c>
      <c r="E38" s="467" t="s">
        <v>1539</v>
      </c>
      <c r="F38" s="484">
        <f>D38*60/3.785</f>
        <v>0</v>
      </c>
      <c r="G38" s="240" t="s">
        <v>1540</v>
      </c>
      <c r="H38" s="1272"/>
      <c r="I38" s="1251"/>
      <c r="J38" s="1252"/>
      <c r="K38" s="1278"/>
      <c r="L38" s="1251"/>
      <c r="M38" s="1253"/>
    </row>
    <row r="39" spans="2:13" ht="12.75">
      <c r="B39" s="2496"/>
      <c r="C39" s="240"/>
      <c r="D39" s="453" t="s">
        <v>731</v>
      </c>
      <c r="E39" s="467"/>
      <c r="F39" s="157"/>
      <c r="G39" s="240"/>
      <c r="H39" s="1272"/>
      <c r="I39" s="1251"/>
      <c r="J39" s="1252"/>
      <c r="K39" s="1278"/>
      <c r="L39" s="1251"/>
      <c r="M39" s="1253"/>
    </row>
    <row r="40" spans="2:13" ht="12.75">
      <c r="B40" s="2496"/>
      <c r="C40" s="240" t="s">
        <v>732</v>
      </c>
      <c r="D40" s="453">
        <v>12</v>
      </c>
      <c r="E40" s="467"/>
      <c r="F40" s="157"/>
      <c r="G40" s="240"/>
      <c r="H40" s="2080">
        <f>'{u}GAC'!$C16</f>
        <v>74243293.15712494</v>
      </c>
      <c r="I40" s="2081">
        <f>H40/$C$8</f>
        <v>196.15136897523098</v>
      </c>
      <c r="J40" s="2082">
        <f>H40/$C$10</f>
        <v>742.5133536325292</v>
      </c>
      <c r="K40" s="2080">
        <f>'{u}GAC'!$C22</f>
        <v>17655788.313168626</v>
      </c>
      <c r="L40" s="2083">
        <f>K40/$C$9</f>
        <v>0.12771459104809824</v>
      </c>
      <c r="M40" s="2084">
        <f>K40/$C$11</f>
        <v>0.4834520900993816</v>
      </c>
    </row>
    <row r="41" spans="2:13" ht="12.75">
      <c r="B41" s="2496"/>
      <c r="C41" s="240" t="s">
        <v>732</v>
      </c>
      <c r="D41" s="453">
        <v>6</v>
      </c>
      <c r="E41" s="467"/>
      <c r="F41" s="157"/>
      <c r="G41" s="240"/>
      <c r="H41" s="2080">
        <f>'{u}GAC'!$D16</f>
        <v>156931146.2058071</v>
      </c>
      <c r="I41" s="2081">
        <f>H41/$C$8</f>
        <v>414.6133321157386</v>
      </c>
      <c r="J41" s="2082">
        <f>H41/$C$10</f>
        <v>1569.4814535242383</v>
      </c>
      <c r="K41" s="2080">
        <f>'{u}GAC'!$D22</f>
        <v>23668968.59926148</v>
      </c>
      <c r="L41" s="2083">
        <f>K41/$C$9</f>
        <v>0.17121142322092406</v>
      </c>
      <c r="M41" s="2084">
        <f>K41/$C$11</f>
        <v>0.6481054335747183</v>
      </c>
    </row>
    <row r="42" spans="2:13" ht="12.75">
      <c r="B42" s="2496"/>
      <c r="C42" s="240" t="s">
        <v>732</v>
      </c>
      <c r="D42" s="453">
        <v>3</v>
      </c>
      <c r="E42" s="467"/>
      <c r="F42" s="157"/>
      <c r="G42" s="240"/>
      <c r="H42" s="2080">
        <f>'{u}GAC'!$E16</f>
        <v>209241528.27440944</v>
      </c>
      <c r="I42" s="2081">
        <f>H42/$C$8</f>
        <v>552.8177761543182</v>
      </c>
      <c r="J42" s="2082">
        <f>H42/$C$10</f>
        <v>2092.6419380323177</v>
      </c>
      <c r="K42" s="2080">
        <f>'{u}GAC'!$E22</f>
        <v>26132532.45415564</v>
      </c>
      <c r="L42" s="2083">
        <f>K42/$C$9</f>
        <v>0.1890318141696541</v>
      </c>
      <c r="M42" s="2084">
        <f>K42/$C$11</f>
        <v>0.7155629196759504</v>
      </c>
    </row>
    <row r="43" spans="2:13" ht="12.75">
      <c r="B43" s="2496"/>
      <c r="C43" s="240"/>
      <c r="D43" s="453"/>
      <c r="E43" s="467"/>
      <c r="F43" s="157"/>
      <c r="G43" s="240"/>
      <c r="H43" s="1272"/>
      <c r="I43" s="1251"/>
      <c r="J43" s="1252"/>
      <c r="K43" s="1278"/>
      <c r="L43" s="1251"/>
      <c r="M43" s="1253"/>
    </row>
    <row r="44" spans="2:13" ht="12.75">
      <c r="B44" s="2496"/>
      <c r="C44" s="473" t="s">
        <v>733</v>
      </c>
      <c r="D44" s="482"/>
      <c r="E44" s="474"/>
      <c r="F44" s="470"/>
      <c r="G44" s="469"/>
      <c r="H44" s="1276"/>
      <c r="I44" s="1262"/>
      <c r="J44" s="1263"/>
      <c r="K44" s="1275"/>
      <c r="L44" s="1262"/>
      <c r="M44" s="1267"/>
    </row>
    <row r="45" spans="2:13" ht="14.25">
      <c r="B45" s="2496"/>
      <c r="C45" s="240" t="s">
        <v>1655</v>
      </c>
      <c r="D45" s="485">
        <f>'{w}GravityFilt'!B16</f>
        <v>2120.448179271709</v>
      </c>
      <c r="E45" s="467" t="s">
        <v>143</v>
      </c>
      <c r="F45" s="154">
        <f>D45/0.0929</f>
        <v>22825.061133172323</v>
      </c>
      <c r="G45" s="240" t="s">
        <v>144</v>
      </c>
      <c r="H45" s="1272"/>
      <c r="I45" s="1251"/>
      <c r="J45" s="1252"/>
      <c r="K45" s="1278"/>
      <c r="L45" s="1251"/>
      <c r="M45" s="1253"/>
    </row>
    <row r="46" spans="2:13" ht="14.25">
      <c r="B46" s="2496"/>
      <c r="C46" s="240" t="s">
        <v>1656</v>
      </c>
      <c r="D46" s="483">
        <v>0</v>
      </c>
      <c r="E46" s="467" t="s">
        <v>143</v>
      </c>
      <c r="F46" s="157"/>
      <c r="G46" s="240"/>
      <c r="H46" s="1272"/>
      <c r="I46" s="1251"/>
      <c r="J46" s="1252"/>
      <c r="K46" s="1278"/>
      <c r="L46" s="1251"/>
      <c r="M46" s="1253"/>
    </row>
    <row r="47" spans="2:13" ht="12.75">
      <c r="B47" s="2496"/>
      <c r="C47" s="439" t="s">
        <v>737</v>
      </c>
      <c r="D47" s="453"/>
      <c r="E47" s="467"/>
      <c r="F47" s="157"/>
      <c r="G47" s="240"/>
      <c r="H47" s="2080">
        <f>'{w}GravityFilt'!N20</f>
        <v>11921848.64142077</v>
      </c>
      <c r="I47" s="2081">
        <f>H47/$C$8</f>
        <v>31.49761860348948</v>
      </c>
      <c r="J47" s="2082">
        <f>H47/$C$10</f>
        <v>119.23140043783512</v>
      </c>
      <c r="K47" s="2085">
        <f>'{w}GravityFilt'!N26</f>
        <v>670323.5692994453</v>
      </c>
      <c r="L47" s="2083">
        <f>K47/$C$9</f>
        <v>0.004848840448496293</v>
      </c>
      <c r="M47" s="2084">
        <f>K47/$C$11</f>
        <v>0.018354849122142358</v>
      </c>
    </row>
    <row r="48" spans="2:13" ht="12.75">
      <c r="B48" s="2496"/>
      <c r="C48" s="439" t="s">
        <v>736</v>
      </c>
      <c r="D48" s="453"/>
      <c r="E48" s="467"/>
      <c r="F48" s="157"/>
      <c r="G48" s="240"/>
      <c r="H48" s="2080">
        <f>'{w}GravityFilt'!I20</f>
        <v>5647058.205915945</v>
      </c>
      <c r="I48" s="2081">
        <f>H48/$C$8</f>
        <v>14.91957253874754</v>
      </c>
      <c r="J48" s="2082">
        <f>H48/$C$10</f>
        <v>56.47669908390033</v>
      </c>
      <c r="K48" s="2085">
        <f>'{w}GravityFilt'!I26</f>
        <v>59944.59286629269</v>
      </c>
      <c r="L48" s="2083">
        <f>K48/$C$9</f>
        <v>0.0004336141228966375</v>
      </c>
      <c r="M48" s="2084">
        <f>K48/$C$11</f>
        <v>0.001641407236954161</v>
      </c>
    </row>
    <row r="49" spans="2:13" ht="12.75">
      <c r="B49" s="2496"/>
      <c r="C49" s="1826" t="s">
        <v>1474</v>
      </c>
      <c r="D49" s="453"/>
      <c r="E49" s="467"/>
      <c r="F49" s="157"/>
      <c r="G49" s="240"/>
      <c r="H49" s="1272"/>
      <c r="I49" s="1251"/>
      <c r="J49" s="1252"/>
      <c r="K49" s="1278"/>
      <c r="L49" s="1251"/>
      <c r="M49" s="1253"/>
    </row>
    <row r="50" spans="2:13" ht="12.75">
      <c r="B50" s="2496"/>
      <c r="C50" s="240" t="s">
        <v>1773</v>
      </c>
      <c r="D50" s="453"/>
      <c r="E50" s="467"/>
      <c r="F50" s="157"/>
      <c r="G50" s="240"/>
      <c r="H50" s="1271">
        <f>'{w}GravityFilt'!C32</f>
        <v>1797257.9495798321</v>
      </c>
      <c r="I50" s="1251"/>
      <c r="J50" s="1252"/>
      <c r="K50" s="1278"/>
      <c r="L50" s="1251"/>
      <c r="M50" s="1253"/>
    </row>
    <row r="51" spans="2:13" ht="12.75">
      <c r="B51" s="2496"/>
      <c r="C51" s="240" t="s">
        <v>560</v>
      </c>
      <c r="D51" s="453"/>
      <c r="E51" s="467"/>
      <c r="F51" s="157"/>
      <c r="G51" s="240"/>
      <c r="H51" s="1271">
        <f>'{w}GravityFilt'!C33</f>
        <v>1797257.9495798321</v>
      </c>
      <c r="I51" s="1251"/>
      <c r="J51" s="1252"/>
      <c r="K51" s="1278"/>
      <c r="L51" s="1251"/>
      <c r="M51" s="1253"/>
    </row>
    <row r="52" spans="2:13" ht="12.75">
      <c r="B52" s="2496"/>
      <c r="C52" s="240" t="s">
        <v>561</v>
      </c>
      <c r="D52" s="453"/>
      <c r="E52" s="467"/>
      <c r="F52" s="157"/>
      <c r="G52" s="240"/>
      <c r="H52" s="1271">
        <f>'{w}GravityFilt'!C34</f>
        <v>2546115.4285714286</v>
      </c>
      <c r="I52" s="1251"/>
      <c r="J52" s="1252"/>
      <c r="K52" s="1278"/>
      <c r="L52" s="1251"/>
      <c r="M52" s="1253"/>
    </row>
    <row r="53" spans="2:13" ht="12.75">
      <c r="B53" s="2496"/>
      <c r="C53" s="240" t="s">
        <v>1442</v>
      </c>
      <c r="D53" s="453"/>
      <c r="E53" s="467"/>
      <c r="F53" s="157"/>
      <c r="G53" s="240"/>
      <c r="H53" s="1271">
        <f>'{w}GravityFilt'!C35</f>
        <v>2995429.9159663874</v>
      </c>
      <c r="I53" s="1251"/>
      <c r="J53" s="1252"/>
      <c r="K53" s="1278"/>
      <c r="L53" s="1251"/>
      <c r="M53" s="1253"/>
    </row>
    <row r="54" spans="2:13" ht="12.75">
      <c r="B54" s="2496"/>
      <c r="C54" s="240"/>
      <c r="D54" s="453"/>
      <c r="E54" s="467"/>
      <c r="F54" s="157"/>
      <c r="G54" s="240"/>
      <c r="H54" s="1272"/>
      <c r="I54" s="1251"/>
      <c r="J54" s="1252"/>
      <c r="K54" s="1278"/>
      <c r="L54" s="1251"/>
      <c r="M54" s="1253"/>
    </row>
    <row r="55" spans="2:13" ht="12.75">
      <c r="B55" s="2496"/>
      <c r="C55" s="473" t="s">
        <v>1765</v>
      </c>
      <c r="D55" s="482"/>
      <c r="E55" s="474"/>
      <c r="F55" s="470"/>
      <c r="G55" s="469"/>
      <c r="H55" s="1275"/>
      <c r="I55" s="1262"/>
      <c r="J55" s="1263"/>
      <c r="K55" s="1275"/>
      <c r="L55" s="1262"/>
      <c r="M55" s="1267"/>
    </row>
    <row r="56" spans="2:13" ht="12.75">
      <c r="B56" s="2496"/>
      <c r="C56" s="240" t="s">
        <v>1766</v>
      </c>
      <c r="D56" s="229">
        <v>1</v>
      </c>
      <c r="E56" s="467"/>
      <c r="F56" s="157"/>
      <c r="G56" s="486"/>
      <c r="H56" s="1271">
        <f>'{x}UFSCC'!C23*D56</f>
        <v>8059211.340718336</v>
      </c>
      <c r="I56" s="1251">
        <f>H56/$C$8</f>
        <v>21.29250023967856</v>
      </c>
      <c r="J56" s="1252">
        <f>H56/$C$10</f>
        <v>80.60084333228163</v>
      </c>
      <c r="K56" s="1278"/>
      <c r="L56" s="1251"/>
      <c r="M56" s="1253"/>
    </row>
    <row r="57" spans="2:13" ht="12.75">
      <c r="B57" s="2496"/>
      <c r="C57" s="240" t="s">
        <v>1537</v>
      </c>
      <c r="D57" s="228">
        <v>180</v>
      </c>
      <c r="E57" s="467"/>
      <c r="F57" s="157"/>
      <c r="G57" s="240"/>
      <c r="H57" s="1271"/>
      <c r="I57" s="1251"/>
      <c r="J57" s="1252"/>
      <c r="K57" s="1278"/>
      <c r="L57" s="1251"/>
      <c r="M57" s="1253"/>
    </row>
    <row r="58" spans="2:13" ht="14.25">
      <c r="B58" s="2496"/>
      <c r="C58" s="240" t="s">
        <v>1655</v>
      </c>
      <c r="D58" s="443">
        <f>'{x}UFSCC'!B10</f>
        <v>9856.770833333336</v>
      </c>
      <c r="E58" s="467" t="s">
        <v>143</v>
      </c>
      <c r="F58" s="154">
        <f>D58/0.0929</f>
        <v>106100.87011123075</v>
      </c>
      <c r="G58" s="240" t="s">
        <v>144</v>
      </c>
      <c r="H58" s="1272"/>
      <c r="I58" s="1251"/>
      <c r="J58" s="1252"/>
      <c r="K58" s="1278"/>
      <c r="L58" s="1251"/>
      <c r="M58" s="1253"/>
    </row>
    <row r="59" spans="2:13" ht="14.25">
      <c r="B59" s="2496"/>
      <c r="C59" s="240" t="s">
        <v>1656</v>
      </c>
      <c r="D59" s="228"/>
      <c r="E59" s="467" t="s">
        <v>143</v>
      </c>
      <c r="F59" s="484">
        <f>D59/0.0929</f>
        <v>0</v>
      </c>
      <c r="G59" s="240" t="s">
        <v>144</v>
      </c>
      <c r="H59" s="1272"/>
      <c r="I59" s="1251"/>
      <c r="J59" s="1252"/>
      <c r="K59" s="1278"/>
      <c r="L59" s="1251"/>
      <c r="M59" s="1253"/>
    </row>
    <row r="60" spans="2:13" ht="12.75">
      <c r="B60" s="2496"/>
      <c r="C60" s="240" t="s">
        <v>729</v>
      </c>
      <c r="D60" s="453">
        <v>70</v>
      </c>
      <c r="E60" s="467"/>
      <c r="F60" s="157"/>
      <c r="G60" s="240"/>
      <c r="H60" s="1272"/>
      <c r="I60" s="1251"/>
      <c r="J60" s="1252"/>
      <c r="K60" s="2086">
        <f>'{x}UFSCC'!C30*D56</f>
        <v>150351.8654080489</v>
      </c>
      <c r="L60" s="2083">
        <f>K60/$C$9</f>
        <v>0.001087582534594941</v>
      </c>
      <c r="M60" s="2084">
        <f>K60/$C$11</f>
        <v>0.004116945802281036</v>
      </c>
    </row>
    <row r="61" spans="2:13" ht="12.75">
      <c r="B61" s="2496"/>
      <c r="C61" s="240" t="s">
        <v>729</v>
      </c>
      <c r="D61" s="453">
        <v>110</v>
      </c>
      <c r="E61" s="467"/>
      <c r="F61" s="157"/>
      <c r="G61" s="240"/>
      <c r="H61" s="1272"/>
      <c r="I61" s="1251"/>
      <c r="J61" s="1252"/>
      <c r="K61" s="2087">
        <f>'{x}UFSCC'!E30*D56</f>
        <v>234070.65483864053</v>
      </c>
      <c r="L61" s="2083">
        <f>K61/$C$9</f>
        <v>0.0016931692558174146</v>
      </c>
      <c r="M61" s="2084">
        <f>K61/$C$11</f>
        <v>0.006409339832663801</v>
      </c>
    </row>
    <row r="62" spans="2:13" ht="12.75">
      <c r="B62" s="2496"/>
      <c r="C62" s="240" t="s">
        <v>729</v>
      </c>
      <c r="D62" s="453">
        <v>150</v>
      </c>
      <c r="E62" s="467"/>
      <c r="F62" s="157"/>
      <c r="G62" s="240"/>
      <c r="H62" s="1272"/>
      <c r="I62" s="1251"/>
      <c r="J62" s="1252"/>
      <c r="K62" s="2087">
        <f>'{x}UFSCC'!G30*D56</f>
        <v>319041.6567763629</v>
      </c>
      <c r="L62" s="2083">
        <f>K62/$C$9</f>
        <v>0.0023078139587859787</v>
      </c>
      <c r="M62" s="2084">
        <f>K62/$C$11</f>
        <v>0.008736022037728034</v>
      </c>
    </row>
    <row r="63" spans="2:13" ht="13.5" thickBot="1">
      <c r="B63" s="2497"/>
      <c r="C63" s="1811"/>
      <c r="D63" s="1812"/>
      <c r="E63" s="1812"/>
      <c r="F63" s="1813"/>
      <c r="G63" s="1814"/>
      <c r="H63" s="1815"/>
      <c r="I63" s="1816"/>
      <c r="J63" s="1817"/>
      <c r="K63" s="1815"/>
      <c r="L63" s="1816"/>
      <c r="M63" s="1818"/>
    </row>
    <row r="64" spans="1:20" ht="12.75" customHeight="1">
      <c r="A64" s="2506" t="s">
        <v>1605</v>
      </c>
      <c r="B64" s="2498" t="s">
        <v>1605</v>
      </c>
      <c r="C64" s="473" t="s">
        <v>1606</v>
      </c>
      <c r="D64" s="482"/>
      <c r="E64" s="474"/>
      <c r="F64" s="470"/>
      <c r="G64" s="469"/>
      <c r="H64" s="1276">
        <f>'{g}RO&amp;NF Output'!C37</f>
        <v>93010049.88204095</v>
      </c>
      <c r="I64" s="1990">
        <f>H64/$C$8</f>
        <v>245.7332889882191</v>
      </c>
      <c r="J64" s="1991">
        <f>H64/$C$10</f>
        <v>930.2012494688946</v>
      </c>
      <c r="K64" s="1276">
        <f>'{g}RO&amp;NF Output'!K24</f>
        <v>23847980.92692009</v>
      </c>
      <c r="L64" s="1810">
        <f>K64/$C$9</f>
        <v>0.17250632355694787</v>
      </c>
      <c r="M64" s="1264">
        <f>K64/$C$11</f>
        <v>0.6530071622557061</v>
      </c>
      <c r="N64" s="451"/>
      <c r="O64" s="452"/>
      <c r="P64" s="452"/>
      <c r="Q64" s="452"/>
      <c r="R64" s="452"/>
      <c r="S64" s="452"/>
      <c r="T64" s="452"/>
    </row>
    <row r="65" spans="1:20" ht="12.75">
      <c r="A65" s="2507"/>
      <c r="B65" s="2496"/>
      <c r="C65" s="240" t="s">
        <v>1533</v>
      </c>
      <c r="D65" s="440" t="str">
        <f>'{f}RO&amp;NF Input'!B28</f>
        <v>FilmTec</v>
      </c>
      <c r="E65" s="467"/>
      <c r="F65" s="157"/>
      <c r="G65" s="240"/>
      <c r="H65" s="1271"/>
      <c r="I65" s="1251"/>
      <c r="J65" s="1252"/>
      <c r="K65" s="1278"/>
      <c r="L65" s="1251"/>
      <c r="M65" s="1253"/>
      <c r="N65" s="451"/>
      <c r="O65" s="452"/>
      <c r="P65" s="452"/>
      <c r="Q65" s="452"/>
      <c r="R65" s="452"/>
      <c r="S65" s="452"/>
      <c r="T65" s="452"/>
    </row>
    <row r="66" spans="1:20" ht="12.75">
      <c r="A66" s="2507"/>
      <c r="B66" s="2496"/>
      <c r="C66" s="439" t="s">
        <v>750</v>
      </c>
      <c r="D66" s="453">
        <f>'{f}RO&amp;NF Input'!I17</f>
        <v>20139</v>
      </c>
      <c r="E66" s="467" t="s">
        <v>388</v>
      </c>
      <c r="F66" s="157"/>
      <c r="G66" s="240"/>
      <c r="H66" s="1272"/>
      <c r="I66" s="1251"/>
      <c r="J66" s="1252"/>
      <c r="K66" s="1278"/>
      <c r="L66" s="1251"/>
      <c r="M66" s="1253"/>
      <c r="N66" s="451"/>
      <c r="O66" s="452"/>
      <c r="P66" s="452"/>
      <c r="Q66" s="452"/>
      <c r="R66" s="452"/>
      <c r="S66" s="452"/>
      <c r="T66" s="452"/>
    </row>
    <row r="67" spans="1:20" ht="14.25">
      <c r="A67" s="2507"/>
      <c r="B67" s="2496"/>
      <c r="C67" s="439" t="s">
        <v>751</v>
      </c>
      <c r="D67" s="443">
        <f>'{f}RO&amp;NF Input'!I34</f>
        <v>1542.4682168324734</v>
      </c>
      <c r="E67" s="467" t="s">
        <v>147</v>
      </c>
      <c r="F67" s="154">
        <f>D67/6.9</f>
        <v>223.54611838151789</v>
      </c>
      <c r="G67" s="240" t="s">
        <v>761</v>
      </c>
      <c r="H67" s="1272"/>
      <c r="I67" s="1251"/>
      <c r="J67" s="1252"/>
      <c r="K67" s="1278"/>
      <c r="L67" s="1251"/>
      <c r="M67" s="1253"/>
      <c r="N67" s="451"/>
      <c r="O67" s="452"/>
      <c r="P67" s="452"/>
      <c r="Q67" s="452"/>
      <c r="R67" s="452"/>
      <c r="S67" s="452"/>
      <c r="T67" s="452"/>
    </row>
    <row r="68" spans="1:13" ht="12.75">
      <c r="A68" s="2507"/>
      <c r="B68" s="2496"/>
      <c r="C68" s="240" t="s">
        <v>1535</v>
      </c>
      <c r="D68" s="453">
        <f>'{f}RO&amp;NF Input'!D36</f>
        <v>0.995</v>
      </c>
      <c r="E68" s="467" t="s">
        <v>385</v>
      </c>
      <c r="F68" s="157"/>
      <c r="G68" s="240"/>
      <c r="H68" s="1272"/>
      <c r="I68" s="1251"/>
      <c r="J68" s="1252"/>
      <c r="K68" s="1278"/>
      <c r="L68" s="1251"/>
      <c r="M68" s="1253"/>
    </row>
    <row r="69" spans="1:13" ht="12.75">
      <c r="A69" s="2507"/>
      <c r="B69" s="2496"/>
      <c r="C69" s="240" t="s">
        <v>1534</v>
      </c>
      <c r="D69" s="228">
        <v>0.85</v>
      </c>
      <c r="E69" s="467" t="s">
        <v>385</v>
      </c>
      <c r="F69" s="157"/>
      <c r="G69" s="240"/>
      <c r="H69" s="1272"/>
      <c r="I69" s="1251"/>
      <c r="J69" s="1252"/>
      <c r="K69" s="1278"/>
      <c r="L69" s="1251"/>
      <c r="M69" s="1253"/>
    </row>
    <row r="70" spans="1:13" ht="12.75">
      <c r="A70" s="2507"/>
      <c r="B70" s="2496"/>
      <c r="C70" s="240" t="s">
        <v>386</v>
      </c>
      <c r="D70" s="228">
        <v>50</v>
      </c>
      <c r="E70" s="467" t="s">
        <v>1692</v>
      </c>
      <c r="F70" s="157"/>
      <c r="G70" s="240"/>
      <c r="H70" s="1272"/>
      <c r="I70" s="1251"/>
      <c r="J70" s="1252"/>
      <c r="K70" s="1278"/>
      <c r="L70" s="1251"/>
      <c r="M70" s="1253"/>
    </row>
    <row r="71" spans="1:13" ht="12.75">
      <c r="A71" s="2507"/>
      <c r="B71" s="2496"/>
      <c r="C71" s="240" t="s">
        <v>1536</v>
      </c>
      <c r="D71" s="228" t="s">
        <v>1206</v>
      </c>
      <c r="E71" s="467"/>
      <c r="F71" s="157"/>
      <c r="G71" s="240"/>
      <c r="H71" s="1272"/>
      <c r="I71" s="1251"/>
      <c r="J71" s="1252"/>
      <c r="K71" s="1278"/>
      <c r="L71" s="1251"/>
      <c r="M71" s="1253"/>
    </row>
    <row r="72" spans="1:13" ht="12.75">
      <c r="A72" s="2507"/>
      <c r="B72" s="2496"/>
      <c r="C72" s="240" t="s">
        <v>389</v>
      </c>
      <c r="D72" s="454">
        <f>'{f}RO&amp;NF Input'!B26</f>
        <v>9.467455621301776</v>
      </c>
      <c r="E72" s="467" t="s">
        <v>132</v>
      </c>
      <c r="F72" s="157"/>
      <c r="G72" s="240"/>
      <c r="H72" s="1272"/>
      <c r="I72" s="1251"/>
      <c r="J72" s="1252"/>
      <c r="K72" s="1278"/>
      <c r="L72" s="1251"/>
      <c r="M72" s="1253"/>
    </row>
    <row r="73" spans="1:13" ht="12.75">
      <c r="A73" s="2507"/>
      <c r="B73" s="2496"/>
      <c r="C73" s="240"/>
      <c r="D73" s="453"/>
      <c r="E73" s="467"/>
      <c r="F73" s="157"/>
      <c r="G73" s="240"/>
      <c r="H73" s="1272"/>
      <c r="I73" s="1254"/>
      <c r="J73" s="1255"/>
      <c r="K73" s="1279"/>
      <c r="L73" s="1254"/>
      <c r="M73" s="1256"/>
    </row>
    <row r="74" spans="1:13" ht="12.75">
      <c r="A74" s="2507"/>
      <c r="B74" s="2496"/>
      <c r="C74" s="1085" t="s">
        <v>567</v>
      </c>
      <c r="D74" s="448"/>
      <c r="E74" s="433"/>
      <c r="F74" s="449"/>
      <c r="G74" s="450"/>
      <c r="H74" s="1270">
        <f>'{y}IX '!K28</f>
        <v>2208277.829309988</v>
      </c>
      <c r="I74" s="2088">
        <f>H74/$C$8</f>
        <v>5.834287527899571</v>
      </c>
      <c r="J74" s="2089">
        <f>H74/$C$10</f>
        <v>22.085170350986317</v>
      </c>
      <c r="K74" s="1280">
        <f>'{y}IX '!K35</f>
        <v>3081755.964000629</v>
      </c>
      <c r="L74" s="2090">
        <f>K74/$C$9</f>
        <v>0.022292134209539724</v>
      </c>
      <c r="M74" s="2091">
        <f>K74/$C$11</f>
        <v>0.0843848677581338</v>
      </c>
    </row>
    <row r="75" spans="1:13" ht="12.75">
      <c r="A75" s="2507"/>
      <c r="B75" s="2496"/>
      <c r="C75" s="240" t="s">
        <v>1670</v>
      </c>
      <c r="D75" s="229">
        <v>20</v>
      </c>
      <c r="E75" s="467"/>
      <c r="F75" s="157"/>
      <c r="G75" s="240"/>
      <c r="H75" s="1272"/>
      <c r="I75" s="1251"/>
      <c r="J75" s="1252"/>
      <c r="K75" s="1278"/>
      <c r="L75" s="1251"/>
      <c r="M75" s="1253"/>
    </row>
    <row r="76" spans="1:13" ht="14.25">
      <c r="A76" s="2507"/>
      <c r="B76" s="2496"/>
      <c r="C76" s="240" t="s">
        <v>762</v>
      </c>
      <c r="D76" s="455">
        <f>F76/0.028</f>
        <v>1607.142857142857</v>
      </c>
      <c r="E76" s="467"/>
      <c r="F76" s="154">
        <v>45</v>
      </c>
      <c r="G76" s="240" t="s">
        <v>663</v>
      </c>
      <c r="H76" s="1272"/>
      <c r="I76" s="1251"/>
      <c r="J76" s="1252"/>
      <c r="K76" s="1278"/>
      <c r="L76" s="1251"/>
      <c r="M76" s="1253"/>
    </row>
    <row r="77" spans="1:13" ht="14.25">
      <c r="A77" s="2507"/>
      <c r="B77" s="2496"/>
      <c r="C77" s="240" t="s">
        <v>1542</v>
      </c>
      <c r="D77" s="456">
        <f>'{y}IX '!B21</f>
        <v>1577.0833333333335</v>
      </c>
      <c r="E77" s="467" t="s">
        <v>662</v>
      </c>
      <c r="F77" s="332">
        <f>D77/0.028</f>
        <v>56324.40476190476</v>
      </c>
      <c r="G77" s="240" t="s">
        <v>663</v>
      </c>
      <c r="H77" s="1272"/>
      <c r="I77" s="1251"/>
      <c r="J77" s="1252"/>
      <c r="K77" s="1278"/>
      <c r="L77" s="1251"/>
      <c r="M77" s="1253"/>
    </row>
    <row r="78" spans="1:13" ht="12.75">
      <c r="A78" s="2507"/>
      <c r="B78" s="2496"/>
      <c r="C78" s="240" t="s">
        <v>1544</v>
      </c>
      <c r="D78" s="457">
        <f>'{y}IX '!B9</f>
        <v>0.00010479041916167629</v>
      </c>
      <c r="E78" s="467"/>
      <c r="F78" s="157"/>
      <c r="G78" s="240"/>
      <c r="H78" s="1272"/>
      <c r="I78" s="1251"/>
      <c r="J78" s="1252"/>
      <c r="K78" s="1278"/>
      <c r="L78" s="1251"/>
      <c r="M78" s="1253"/>
    </row>
    <row r="79" spans="1:13" ht="12.75">
      <c r="A79" s="2507"/>
      <c r="B79" s="2496"/>
      <c r="C79" s="240" t="s">
        <v>1671</v>
      </c>
      <c r="D79" s="228">
        <v>11</v>
      </c>
      <c r="E79" s="467"/>
      <c r="F79" s="157"/>
      <c r="G79" s="240"/>
      <c r="H79" s="1272"/>
      <c r="I79" s="1251"/>
      <c r="J79" s="1252"/>
      <c r="K79" s="1278"/>
      <c r="L79" s="1251"/>
      <c r="M79" s="1253"/>
    </row>
    <row r="80" spans="1:13" ht="14.25">
      <c r="A80" s="2507"/>
      <c r="B80" s="2496"/>
      <c r="C80" s="240" t="s">
        <v>763</v>
      </c>
      <c r="D80" s="455">
        <f>F80/0.028</f>
        <v>6250</v>
      </c>
      <c r="E80" s="467"/>
      <c r="F80" s="154">
        <v>175</v>
      </c>
      <c r="G80" s="240" t="s">
        <v>663</v>
      </c>
      <c r="H80" s="1272"/>
      <c r="I80" s="1251"/>
      <c r="J80" s="1252"/>
      <c r="K80" s="1278"/>
      <c r="L80" s="1251"/>
      <c r="M80" s="1253"/>
    </row>
    <row r="81" spans="1:13" ht="14.25">
      <c r="A81" s="2507"/>
      <c r="B81" s="2496"/>
      <c r="C81" s="240" t="s">
        <v>1543</v>
      </c>
      <c r="D81" s="456">
        <f>'{y}IX '!C21</f>
        <v>1577.0833333333335</v>
      </c>
      <c r="E81" s="467" t="s">
        <v>662</v>
      </c>
      <c r="F81" s="332">
        <f>D81/0.028</f>
        <v>56324.40476190476</v>
      </c>
      <c r="G81" s="240" t="s">
        <v>663</v>
      </c>
      <c r="H81" s="1272"/>
      <c r="I81" s="1251"/>
      <c r="J81" s="1252"/>
      <c r="K81" s="1278"/>
      <c r="L81" s="1251"/>
      <c r="M81" s="1253"/>
    </row>
    <row r="82" spans="1:13" ht="12.75">
      <c r="A82" s="2507"/>
      <c r="B82" s="2496"/>
      <c r="C82" s="240" t="s">
        <v>1556</v>
      </c>
      <c r="D82" s="457">
        <f>'{y}IX '!B10</f>
        <v>0.0072071317254970525</v>
      </c>
      <c r="E82" s="467"/>
      <c r="F82" s="157"/>
      <c r="G82" s="240"/>
      <c r="H82" s="1272"/>
      <c r="I82" s="1251"/>
      <c r="J82" s="1252"/>
      <c r="K82" s="1278"/>
      <c r="L82" s="1251"/>
      <c r="M82" s="1253"/>
    </row>
    <row r="83" spans="1:13" ht="12.75">
      <c r="A83" s="2507"/>
      <c r="B83" s="2496"/>
      <c r="C83" s="240" t="s">
        <v>390</v>
      </c>
      <c r="D83" s="228">
        <v>1</v>
      </c>
      <c r="E83" s="467" t="s">
        <v>576</v>
      </c>
      <c r="F83" s="157"/>
      <c r="G83" s="240"/>
      <c r="H83" s="1272"/>
      <c r="I83" s="1251"/>
      <c r="J83" s="1252"/>
      <c r="K83" s="1278"/>
      <c r="L83" s="1251"/>
      <c r="M83" s="1253"/>
    </row>
    <row r="84" spans="1:13" ht="12.75">
      <c r="A84" s="2507"/>
      <c r="B84" s="2496"/>
      <c r="C84" s="240"/>
      <c r="D84" s="453"/>
      <c r="E84" s="467"/>
      <c r="F84" s="157"/>
      <c r="G84" s="240"/>
      <c r="H84" s="1272"/>
      <c r="I84" s="1251"/>
      <c r="J84" s="1252"/>
      <c r="K84" s="1278"/>
      <c r="L84" s="1251"/>
      <c r="M84" s="1253"/>
    </row>
    <row r="85" spans="1:13" ht="12.75">
      <c r="A85" s="2507"/>
      <c r="B85" s="2496"/>
      <c r="C85" s="447" t="s">
        <v>1232</v>
      </c>
      <c r="D85" s="448"/>
      <c r="E85" s="433"/>
      <c r="F85" s="449"/>
      <c r="G85" s="450"/>
      <c r="H85" s="1270">
        <f>'{dd}IonicsED'!B30+'{dd}IonicsED'!B32</f>
        <v>37892807.68966843</v>
      </c>
      <c r="I85" s="2088">
        <f>H85/$C$8</f>
        <v>100.11309825539875</v>
      </c>
      <c r="J85" s="2089">
        <f>H85/$C$10</f>
        <v>378.969123266969</v>
      </c>
      <c r="K85" s="1280">
        <f>'{dd}IonicsED'!B27</f>
        <v>66640633.111069</v>
      </c>
      <c r="L85" s="2090">
        <f>K85/$C$9</f>
        <v>0.48205047851749494</v>
      </c>
      <c r="M85" s="2091">
        <f>K85/$C$11</f>
        <v>1.824758701884911</v>
      </c>
    </row>
    <row r="86" spans="1:13" ht="12.75">
      <c r="A86" s="2507"/>
      <c r="B86" s="2496"/>
      <c r="C86" s="240" t="s">
        <v>141</v>
      </c>
      <c r="D86" s="228">
        <v>3</v>
      </c>
      <c r="E86" s="467"/>
      <c r="F86" s="157"/>
      <c r="G86" s="240"/>
      <c r="H86" s="1272"/>
      <c r="I86" s="1251"/>
      <c r="J86" s="1252"/>
      <c r="K86" s="1278"/>
      <c r="L86" s="1251"/>
      <c r="M86" s="1253"/>
    </row>
    <row r="87" spans="1:13" ht="12.75">
      <c r="A87" s="2507"/>
      <c r="B87" s="2496"/>
      <c r="C87" s="240" t="s">
        <v>806</v>
      </c>
      <c r="D87" s="453">
        <v>1000</v>
      </c>
      <c r="E87" s="467" t="s">
        <v>1692</v>
      </c>
      <c r="F87" s="157"/>
      <c r="G87" s="240"/>
      <c r="H87" s="1272"/>
      <c r="I87" s="1251"/>
      <c r="J87" s="1252"/>
      <c r="K87" s="1278"/>
      <c r="L87" s="1251"/>
      <c r="M87" s="1253"/>
    </row>
    <row r="88" spans="1:13" ht="12.75">
      <c r="A88" s="2507"/>
      <c r="B88" s="2496"/>
      <c r="C88" s="240"/>
      <c r="D88" s="453"/>
      <c r="E88" s="467"/>
      <c r="F88" s="157"/>
      <c r="G88" s="240"/>
      <c r="H88" s="1272"/>
      <c r="I88" s="1251"/>
      <c r="J88" s="1252"/>
      <c r="K88" s="1278"/>
      <c r="L88" s="1251"/>
      <c r="M88" s="1253"/>
    </row>
    <row r="89" spans="1:13" ht="12.75">
      <c r="A89" s="2507"/>
      <c r="B89" s="2496"/>
      <c r="C89" s="447" t="s">
        <v>1680</v>
      </c>
      <c r="D89" s="448"/>
      <c r="E89" s="433"/>
      <c r="F89" s="449"/>
      <c r="G89" s="450"/>
      <c r="H89" s="1270">
        <f>IF(D92=1,'{ee}ED2'!G27,'{ee}ED2'!G27+'{ee}ED2'!G77)</f>
        <v>0</v>
      </c>
      <c r="I89" s="2088">
        <f>H89/$C$8</f>
        <v>0</v>
      </c>
      <c r="J89" s="2089">
        <f>H89/$C$10</f>
        <v>0</v>
      </c>
      <c r="K89" s="1280">
        <f>IF(D92=1,'{ee}ED2'!G36,'{ee}ED2'!G36+'{ee}ED2'!G86)</f>
        <v>150865.1843696237</v>
      </c>
      <c r="L89" s="2090">
        <f>K89/$C$9</f>
        <v>0.0010912956693523315</v>
      </c>
      <c r="M89" s="2091">
        <f>K89/$C$11</f>
        <v>0.004131001539723011</v>
      </c>
    </row>
    <row r="90" spans="1:13" ht="14.25">
      <c r="A90" s="2507"/>
      <c r="B90" s="2496"/>
      <c r="C90" s="240" t="s">
        <v>1654</v>
      </c>
      <c r="D90" s="458">
        <f>'{ee}ED2'!B50</f>
        <v>0</v>
      </c>
      <c r="E90" s="467" t="s">
        <v>143</v>
      </c>
      <c r="F90" s="154">
        <f>D90/0.0929</f>
        <v>0</v>
      </c>
      <c r="G90" s="240" t="s">
        <v>144</v>
      </c>
      <c r="H90" s="1272"/>
      <c r="I90" s="1251"/>
      <c r="J90" s="1252"/>
      <c r="K90" s="1278"/>
      <c r="L90" s="1251"/>
      <c r="M90" s="1253"/>
    </row>
    <row r="91" spans="1:13" ht="12.75">
      <c r="A91" s="2507"/>
      <c r="B91" s="2496"/>
      <c r="C91" s="240" t="s">
        <v>127</v>
      </c>
      <c r="D91" s="459">
        <v>500</v>
      </c>
      <c r="E91" s="467" t="s">
        <v>1692</v>
      </c>
      <c r="F91" s="154"/>
      <c r="G91" s="240"/>
      <c r="H91" s="1272"/>
      <c r="I91" s="1251"/>
      <c r="J91" s="1252"/>
      <c r="K91" s="1278"/>
      <c r="L91" s="1251"/>
      <c r="M91" s="1253"/>
    </row>
    <row r="92" spans="1:13" ht="12.75">
      <c r="A92" s="2507"/>
      <c r="B92" s="2496"/>
      <c r="C92" s="240" t="s">
        <v>1610</v>
      </c>
      <c r="D92" s="460">
        <v>2</v>
      </c>
      <c r="E92" s="467" t="s">
        <v>387</v>
      </c>
      <c r="F92" s="157"/>
      <c r="G92" s="240"/>
      <c r="H92" s="1272"/>
      <c r="I92" s="1251"/>
      <c r="J92" s="1252"/>
      <c r="K92" s="1278"/>
      <c r="L92" s="1251"/>
      <c r="M92" s="1253"/>
    </row>
    <row r="93" spans="1:13" ht="12.75">
      <c r="A93" s="2507"/>
      <c r="B93" s="2496"/>
      <c r="C93" s="240" t="s">
        <v>1559</v>
      </c>
      <c r="D93" s="461">
        <v>0.5</v>
      </c>
      <c r="E93" s="440" t="s">
        <v>385</v>
      </c>
      <c r="F93" s="157"/>
      <c r="G93" s="240"/>
      <c r="H93" s="1272"/>
      <c r="I93" s="1251"/>
      <c r="J93" s="1252"/>
      <c r="K93" s="1278"/>
      <c r="L93" s="1251"/>
      <c r="M93" s="1253"/>
    </row>
    <row r="94" spans="1:13" ht="12.75">
      <c r="A94" s="2507"/>
      <c r="B94" s="2496"/>
      <c r="C94" s="240" t="s">
        <v>1534</v>
      </c>
      <c r="D94" s="462">
        <f>1-0.5^D92</f>
        <v>0.75</v>
      </c>
      <c r="E94" s="440" t="s">
        <v>385</v>
      </c>
      <c r="F94" s="157"/>
      <c r="G94" s="240"/>
      <c r="H94" s="1272"/>
      <c r="I94" s="1251"/>
      <c r="J94" s="1252"/>
      <c r="K94" s="1278"/>
      <c r="L94" s="1251"/>
      <c r="M94" s="1253"/>
    </row>
    <row r="95" spans="1:13" ht="13.5" thickBot="1">
      <c r="A95" s="2507"/>
      <c r="B95" s="2497"/>
      <c r="C95" s="463"/>
      <c r="D95" s="464"/>
      <c r="E95" s="1825"/>
      <c r="F95" s="465"/>
      <c r="G95" s="463"/>
      <c r="H95" s="1273"/>
      <c r="I95" s="1257"/>
      <c r="J95" s="1258"/>
      <c r="K95" s="1281"/>
      <c r="L95" s="1257"/>
      <c r="M95" s="1259"/>
    </row>
    <row r="96" spans="1:13" ht="12.75">
      <c r="A96" s="2507"/>
      <c r="B96" s="2481" t="s">
        <v>345</v>
      </c>
      <c r="C96" s="1727" t="s">
        <v>779</v>
      </c>
      <c r="D96" s="1935"/>
      <c r="E96" s="1350"/>
      <c r="F96" s="1936"/>
      <c r="G96" s="1937"/>
      <c r="H96" s="1938"/>
      <c r="I96" s="1939"/>
      <c r="J96" s="1940"/>
      <c r="K96" s="1941"/>
      <c r="L96" s="1942"/>
      <c r="M96" s="1943"/>
    </row>
    <row r="97" spans="1:13" ht="73.5" customHeight="1" thickBot="1">
      <c r="A97" s="2507"/>
      <c r="B97" s="2482"/>
      <c r="C97" s="1893"/>
      <c r="D97" s="480"/>
      <c r="E97" s="489"/>
      <c r="F97" s="481"/>
      <c r="G97" s="463"/>
      <c r="H97" s="1273"/>
      <c r="I97" s="1257"/>
      <c r="J97" s="1258"/>
      <c r="K97" s="1281"/>
      <c r="L97" s="1265"/>
      <c r="M97" s="1266"/>
    </row>
    <row r="98" spans="1:13" ht="12.75">
      <c r="A98" s="2507"/>
      <c r="B98" s="2481"/>
      <c r="C98" s="1824" t="s">
        <v>1617</v>
      </c>
      <c r="D98" s="1904"/>
      <c r="E98" s="1060"/>
      <c r="F98" s="1905"/>
      <c r="G98" s="1906"/>
      <c r="H98" s="1822"/>
      <c r="I98" s="1907"/>
      <c r="J98" s="1908"/>
      <c r="K98" s="1909"/>
      <c r="L98" s="1907"/>
      <c r="M98" s="1910"/>
    </row>
    <row r="99" spans="1:13" ht="12.75">
      <c r="A99" s="2507"/>
      <c r="B99" s="2509"/>
      <c r="C99" s="1903"/>
      <c r="D99" s="1911"/>
      <c r="E99" s="1912"/>
      <c r="F99" s="204"/>
      <c r="G99" s="1913"/>
      <c r="H99" s="1914"/>
      <c r="I99" s="1915"/>
      <c r="J99" s="1916"/>
      <c r="K99" s="1917"/>
      <c r="L99" s="1915"/>
      <c r="M99" s="1918"/>
    </row>
    <row r="100" spans="1:13" ht="12.75">
      <c r="A100" s="2507"/>
      <c r="B100" s="2509"/>
      <c r="C100" s="1903"/>
      <c r="D100" s="1911"/>
      <c r="E100" s="1912"/>
      <c r="F100" s="204"/>
      <c r="G100" s="1913"/>
      <c r="H100" s="1914"/>
      <c r="I100" s="1915"/>
      <c r="J100" s="1916"/>
      <c r="K100" s="1917"/>
      <c r="L100" s="1915"/>
      <c r="M100" s="1918"/>
    </row>
    <row r="101" spans="1:13" ht="12.75">
      <c r="A101" s="2507"/>
      <c r="B101" s="2509"/>
      <c r="C101" s="1462" t="s">
        <v>1618</v>
      </c>
      <c r="D101" s="1919"/>
      <c r="E101" s="502"/>
      <c r="F101" s="1920"/>
      <c r="G101" s="1881"/>
      <c r="H101" s="1921"/>
      <c r="I101" s="1922"/>
      <c r="J101" s="1923"/>
      <c r="K101" s="1924"/>
      <c r="L101" s="1922"/>
      <c r="M101" s="1925"/>
    </row>
    <row r="102" spans="1:13" ht="12.75">
      <c r="A102" s="2507"/>
      <c r="B102" s="2509"/>
      <c r="C102" s="1903"/>
      <c r="D102" s="1911"/>
      <c r="E102" s="1912"/>
      <c r="F102" s="204"/>
      <c r="G102" s="1913"/>
      <c r="H102" s="1914"/>
      <c r="I102" s="1915"/>
      <c r="J102" s="1916"/>
      <c r="K102" s="1917"/>
      <c r="L102" s="1915"/>
      <c r="M102" s="1918"/>
    </row>
    <row r="103" spans="1:13" ht="13.5" thickBot="1">
      <c r="A103" s="2507"/>
      <c r="B103" s="2482"/>
      <c r="C103" s="1893"/>
      <c r="D103" s="1926"/>
      <c r="E103" s="1927"/>
      <c r="F103" s="1928"/>
      <c r="G103" s="1929"/>
      <c r="H103" s="1930"/>
      <c r="I103" s="1931"/>
      <c r="J103" s="1932"/>
      <c r="K103" s="1933"/>
      <c r="L103" s="1931"/>
      <c r="M103" s="1934"/>
    </row>
    <row r="104" spans="1:13" ht="15.75" customHeight="1">
      <c r="A104" s="2507"/>
      <c r="B104" s="2496" t="s">
        <v>1021</v>
      </c>
      <c r="C104" s="469" t="s">
        <v>1023</v>
      </c>
      <c r="D104" s="466">
        <v>1</v>
      </c>
      <c r="E104" s="474" t="s">
        <v>764</v>
      </c>
      <c r="F104" s="470"/>
      <c r="G104" s="469"/>
      <c r="H104" s="1275"/>
      <c r="I104" s="1262"/>
      <c r="J104" s="1263"/>
      <c r="K104" s="1275"/>
      <c r="L104" s="1262"/>
      <c r="M104" s="1895"/>
    </row>
    <row r="105" spans="1:14" ht="12.75">
      <c r="A105" s="2507"/>
      <c r="B105" s="2496"/>
      <c r="C105" s="447" t="s">
        <v>1028</v>
      </c>
      <c r="D105" s="471">
        <v>300</v>
      </c>
      <c r="E105" s="433" t="s">
        <v>1027</v>
      </c>
      <c r="F105" s="449"/>
      <c r="G105" s="450"/>
      <c r="H105" s="1270">
        <f>'{m}De-Cl2'!C27</f>
        <v>2499499.6658068094</v>
      </c>
      <c r="I105" s="2088">
        <f>H105/$C$8</f>
        <v>6.603697928155374</v>
      </c>
      <c r="J105" s="2089">
        <f>H105/$C$10</f>
        <v>24.997704174218637</v>
      </c>
      <c r="K105" s="1280">
        <f>'{m}De-Cl2'!C35</f>
        <v>2462340.1159154247</v>
      </c>
      <c r="L105" s="2090">
        <f>K105/$C$9</f>
        <v>0.017811538932584036</v>
      </c>
      <c r="M105" s="2091">
        <f>K105/$C$11</f>
        <v>0.06742397759079295</v>
      </c>
      <c r="N105" s="2479" t="s">
        <v>1392</v>
      </c>
    </row>
    <row r="106" spans="1:14" ht="12.75">
      <c r="A106" s="2507"/>
      <c r="B106" s="2496"/>
      <c r="C106" s="240" t="s">
        <v>1025</v>
      </c>
      <c r="D106" s="472">
        <f>D$104*1.47</f>
        <v>1.47</v>
      </c>
      <c r="E106" s="467" t="s">
        <v>1692</v>
      </c>
      <c r="F106" s="157"/>
      <c r="G106" s="240"/>
      <c r="H106" s="1272"/>
      <c r="I106" s="1251"/>
      <c r="J106" s="1252"/>
      <c r="K106" s="1278"/>
      <c r="L106" s="1251"/>
      <c r="M106" s="1896"/>
      <c r="N106" s="2475"/>
    </row>
    <row r="107" spans="1:14" ht="12.75">
      <c r="A107" s="2507"/>
      <c r="B107" s="2496"/>
      <c r="C107" s="240" t="s">
        <v>1026</v>
      </c>
      <c r="D107" s="466"/>
      <c r="E107" s="467" t="s">
        <v>1692</v>
      </c>
      <c r="F107" s="157"/>
      <c r="G107" s="240"/>
      <c r="H107" s="1272"/>
      <c r="I107" s="1251"/>
      <c r="J107" s="1252"/>
      <c r="K107" s="1278"/>
      <c r="L107" s="1251"/>
      <c r="M107" s="1896"/>
      <c r="N107" s="2475"/>
    </row>
    <row r="108" spans="1:14" ht="12.75">
      <c r="A108" s="2507"/>
      <c r="B108" s="2496"/>
      <c r="C108" s="240"/>
      <c r="D108" s="462"/>
      <c r="E108" s="467"/>
      <c r="F108" s="157"/>
      <c r="G108" s="240"/>
      <c r="H108" s="1272"/>
      <c r="I108" s="1251"/>
      <c r="J108" s="1252"/>
      <c r="K108" s="1278"/>
      <c r="L108" s="1251"/>
      <c r="M108" s="1896"/>
      <c r="N108" s="2475"/>
    </row>
    <row r="109" spans="1:14" ht="12.75">
      <c r="A109" s="2507"/>
      <c r="B109" s="2496"/>
      <c r="C109" s="447" t="s">
        <v>1024</v>
      </c>
      <c r="D109" s="471">
        <v>300</v>
      </c>
      <c r="E109" s="433" t="s">
        <v>1027</v>
      </c>
      <c r="F109" s="449"/>
      <c r="G109" s="450"/>
      <c r="H109" s="1270">
        <f>'{m}De-Cl2'!D27</f>
        <v>480298.9483965993</v>
      </c>
      <c r="I109" s="2088">
        <f>H109/$C$8</f>
        <v>1.2689536285247007</v>
      </c>
      <c r="J109" s="2089">
        <f>H109/$C$10</f>
        <v>4.803509754953688</v>
      </c>
      <c r="K109" s="1280">
        <f>'{m}De-Cl2'!D35</f>
        <v>504695.3940340262</v>
      </c>
      <c r="L109" s="2090">
        <f>K109/$C$9</f>
        <v>0.0036507554751797184</v>
      </c>
      <c r="M109" s="2091">
        <f>K109/$C$11</f>
        <v>0.01381960628330006</v>
      </c>
      <c r="N109" s="2475"/>
    </row>
    <row r="110" spans="1:14" ht="12.75">
      <c r="A110" s="2507"/>
      <c r="B110" s="2496"/>
      <c r="C110" s="240" t="s">
        <v>1025</v>
      </c>
      <c r="D110" s="472">
        <f>D$104*0.9</f>
        <v>0.9</v>
      </c>
      <c r="E110" s="467" t="s">
        <v>1692</v>
      </c>
      <c r="F110" s="157"/>
      <c r="G110" s="240"/>
      <c r="H110" s="1272"/>
      <c r="I110" s="1251"/>
      <c r="J110" s="1252"/>
      <c r="K110" s="1278"/>
      <c r="L110" s="1251"/>
      <c r="M110" s="1896"/>
      <c r="N110" s="2475"/>
    </row>
    <row r="111" spans="1:14" ht="12.75">
      <c r="A111" s="2507"/>
      <c r="B111" s="2496"/>
      <c r="C111" s="240" t="s">
        <v>1026</v>
      </c>
      <c r="D111" s="466"/>
      <c r="E111" s="467" t="s">
        <v>1692</v>
      </c>
      <c r="F111" s="157"/>
      <c r="G111" s="240"/>
      <c r="H111" s="1272"/>
      <c r="I111" s="1251"/>
      <c r="J111" s="1252"/>
      <c r="K111" s="1278"/>
      <c r="L111" s="1251"/>
      <c r="M111" s="1896"/>
      <c r="N111" s="2475"/>
    </row>
    <row r="112" spans="1:14" ht="12.75">
      <c r="A112" s="2507"/>
      <c r="B112" s="2496"/>
      <c r="C112" s="240"/>
      <c r="D112" s="462"/>
      <c r="E112" s="467"/>
      <c r="F112" s="157"/>
      <c r="G112" s="240"/>
      <c r="H112" s="1272"/>
      <c r="I112" s="1251"/>
      <c r="J112" s="1252"/>
      <c r="K112" s="1278"/>
      <c r="L112" s="1251"/>
      <c r="M112" s="1896"/>
      <c r="N112" s="2475"/>
    </row>
    <row r="113" spans="1:14" ht="12.75">
      <c r="A113" s="2507"/>
      <c r="B113" s="2496"/>
      <c r="C113" s="447" t="s">
        <v>1029</v>
      </c>
      <c r="D113" s="471">
        <v>300</v>
      </c>
      <c r="E113" s="433" t="s">
        <v>1027</v>
      </c>
      <c r="F113" s="449"/>
      <c r="G113" s="450"/>
      <c r="H113" s="1270">
        <f>'{m}De-Cl2'!E27</f>
        <v>480298.9483965993</v>
      </c>
      <c r="I113" s="2088">
        <f>H113/$C$8</f>
        <v>1.2689536285247007</v>
      </c>
      <c r="J113" s="2089">
        <f>H113/$C$10</f>
        <v>4.803509754953688</v>
      </c>
      <c r="K113" s="1280">
        <f>'{m}De-Cl2'!E35</f>
        <v>504695.3940340262</v>
      </c>
      <c r="L113" s="2090">
        <f>K113/$C$9</f>
        <v>0.0036507554751797184</v>
      </c>
      <c r="M113" s="2091">
        <f>K113/$C$11</f>
        <v>0.01381960628330006</v>
      </c>
      <c r="N113" s="2475"/>
    </row>
    <row r="114" spans="1:14" ht="12.75">
      <c r="A114" s="2507"/>
      <c r="B114" s="2496"/>
      <c r="C114" s="240" t="s">
        <v>1025</v>
      </c>
      <c r="D114" s="472">
        <f>D$104*0.9</f>
        <v>0.9</v>
      </c>
      <c r="E114" s="467" t="s">
        <v>1692</v>
      </c>
      <c r="F114" s="157"/>
      <c r="G114" s="240"/>
      <c r="H114" s="1272"/>
      <c r="I114" s="1251"/>
      <c r="J114" s="1252"/>
      <c r="K114" s="1278"/>
      <c r="L114" s="1251"/>
      <c r="M114" s="1896"/>
      <c r="N114" s="2475"/>
    </row>
    <row r="115" spans="1:14" ht="12.75">
      <c r="A115" s="2507"/>
      <c r="B115" s="2496"/>
      <c r="C115" s="240" t="s">
        <v>1026</v>
      </c>
      <c r="D115" s="466"/>
      <c r="E115" s="467" t="s">
        <v>1692</v>
      </c>
      <c r="F115" s="157"/>
      <c r="G115" s="240"/>
      <c r="H115" s="1272"/>
      <c r="I115" s="1251"/>
      <c r="J115" s="1252"/>
      <c r="K115" s="1278"/>
      <c r="L115" s="1251"/>
      <c r="M115" s="1896"/>
      <c r="N115" s="2475"/>
    </row>
    <row r="116" spans="1:14" ht="13.5" thickBot="1">
      <c r="A116" s="2508"/>
      <c r="B116" s="2497"/>
      <c r="C116" s="463"/>
      <c r="D116" s="464"/>
      <c r="E116" s="489"/>
      <c r="F116" s="465"/>
      <c r="G116" s="463"/>
      <c r="H116" s="1273"/>
      <c r="I116" s="1257"/>
      <c r="J116" s="1258"/>
      <c r="K116" s="1281"/>
      <c r="L116" s="1257"/>
      <c r="M116" s="1897"/>
      <c r="N116" s="2504"/>
    </row>
    <row r="117" spans="2:13" ht="12.75">
      <c r="B117" s="2496" t="s">
        <v>1607</v>
      </c>
      <c r="C117" s="447" t="s">
        <v>216</v>
      </c>
      <c r="D117" s="433"/>
      <c r="E117" s="433"/>
      <c r="F117" s="449"/>
      <c r="G117" s="450"/>
      <c r="H117" s="1270">
        <f>'{n}CL2'!C29</f>
        <v>371543.91801031947</v>
      </c>
      <c r="I117" s="1251">
        <f>H117/$C$8</f>
        <v>0.9816219762491927</v>
      </c>
      <c r="J117" s="1252">
        <f>H117/$C$10</f>
        <v>3.7158416451134566</v>
      </c>
      <c r="K117" s="1280">
        <f>'{n}CL2'!C37</f>
        <v>77792.02885223234</v>
      </c>
      <c r="L117" s="1810">
        <f>K117/$C$9</f>
        <v>0.0005627150130846622</v>
      </c>
      <c r="M117" s="1264">
        <f>K117/$C$11</f>
        <v>0.002130107037680812</v>
      </c>
    </row>
    <row r="118" spans="2:13" ht="12.75">
      <c r="B118" s="2496"/>
      <c r="C118" s="240" t="s">
        <v>1603</v>
      </c>
      <c r="D118" s="466">
        <v>2.5</v>
      </c>
      <c r="E118" s="467" t="s">
        <v>1692</v>
      </c>
      <c r="F118" s="157"/>
      <c r="G118" s="240"/>
      <c r="H118" s="1272"/>
      <c r="I118" s="1251"/>
      <c r="J118" s="1252"/>
      <c r="K118" s="1278"/>
      <c r="L118" s="1260"/>
      <c r="M118" s="1261"/>
    </row>
    <row r="119" spans="2:13" ht="12.75">
      <c r="B119" s="2496"/>
      <c r="C119" s="240" t="s">
        <v>1614</v>
      </c>
      <c r="D119" s="454">
        <f>'{n}CL2'!B16</f>
        <v>2.5</v>
      </c>
      <c r="E119" s="467" t="s">
        <v>1692</v>
      </c>
      <c r="F119" s="157"/>
      <c r="G119" s="240"/>
      <c r="H119" s="1272"/>
      <c r="I119" s="1251"/>
      <c r="J119" s="1252"/>
      <c r="K119" s="1278"/>
      <c r="L119" s="1251"/>
      <c r="M119" s="1253"/>
    </row>
    <row r="120" spans="2:13" ht="12.75">
      <c r="B120" s="2496"/>
      <c r="C120" s="240" t="s">
        <v>1615</v>
      </c>
      <c r="D120" s="466"/>
      <c r="E120" s="467" t="s">
        <v>1692</v>
      </c>
      <c r="F120" s="157"/>
      <c r="G120" s="240"/>
      <c r="H120" s="1272"/>
      <c r="I120" s="1251"/>
      <c r="J120" s="1252"/>
      <c r="K120" s="1278"/>
      <c r="L120" s="1251"/>
      <c r="M120" s="1253"/>
    </row>
    <row r="121" spans="2:13" ht="12.75">
      <c r="B121" s="2496"/>
      <c r="C121" s="240"/>
      <c r="D121" s="467"/>
      <c r="E121" s="467"/>
      <c r="F121" s="157"/>
      <c r="G121" s="240"/>
      <c r="H121" s="1272"/>
      <c r="I121" s="1251"/>
      <c r="J121" s="1252"/>
      <c r="K121" s="1278"/>
      <c r="L121" s="1251"/>
      <c r="M121" s="1253"/>
    </row>
    <row r="122" spans="2:13" ht="12.75">
      <c r="B122" s="2496"/>
      <c r="C122" s="447" t="s">
        <v>921</v>
      </c>
      <c r="D122" s="433"/>
      <c r="E122" s="433"/>
      <c r="F122" s="449"/>
      <c r="G122" s="450"/>
      <c r="H122" s="1274" t="e">
        <f>'{o}NHCL'!B26</f>
        <v>#VALUE!</v>
      </c>
      <c r="I122" s="2088" t="e">
        <f>H122/$C$8</f>
        <v>#VALUE!</v>
      </c>
      <c r="J122" s="2089" t="e">
        <f>H122/$C$10</f>
        <v>#VALUE!</v>
      </c>
      <c r="K122" s="1282">
        <f>'{o}NHCL'!B27</f>
        <v>57885.48972818793</v>
      </c>
      <c r="L122" s="2090">
        <f>K122/$C$9</f>
        <v>0.00041871943167445276</v>
      </c>
      <c r="M122" s="2091">
        <f>K122/$C$11</f>
        <v>0.0015850247238547905</v>
      </c>
    </row>
    <row r="123" spans="2:13" ht="12.75">
      <c r="B123" s="2496"/>
      <c r="C123" s="240" t="s">
        <v>1604</v>
      </c>
      <c r="D123" s="228">
        <v>3</v>
      </c>
      <c r="E123" s="467" t="s">
        <v>1692</v>
      </c>
      <c r="F123" s="157"/>
      <c r="G123" s="240"/>
      <c r="H123" s="1272"/>
      <c r="I123" s="1251"/>
      <c r="J123" s="1252"/>
      <c r="K123" s="1278"/>
      <c r="L123" s="1260"/>
      <c r="M123" s="1261"/>
    </row>
    <row r="124" spans="2:13" ht="12.75">
      <c r="B124" s="2496"/>
      <c r="C124" s="240" t="s">
        <v>1616</v>
      </c>
      <c r="D124" s="454">
        <f>'{o}NHCL'!B15</f>
        <v>4.14396887159533</v>
      </c>
      <c r="E124" s="467" t="s">
        <v>1692</v>
      </c>
      <c r="F124" s="157"/>
      <c r="G124" s="240"/>
      <c r="H124" s="1272"/>
      <c r="I124" s="1251"/>
      <c r="J124" s="1252"/>
      <c r="K124" s="1278"/>
      <c r="L124" s="1251"/>
      <c r="M124" s="1253"/>
    </row>
    <row r="125" spans="2:13" ht="12.75">
      <c r="B125" s="2496"/>
      <c r="C125" s="240" t="s">
        <v>1650</v>
      </c>
      <c r="D125" s="454">
        <f>'{o}NHCL'!B16</f>
        <v>0.9922178988326847</v>
      </c>
      <c r="E125" s="467" t="s">
        <v>1692</v>
      </c>
      <c r="F125" s="157"/>
      <c r="G125" s="240"/>
      <c r="H125" s="1272"/>
      <c r="I125" s="1251"/>
      <c r="J125" s="1252"/>
      <c r="K125" s="1278"/>
      <c r="L125" s="1251"/>
      <c r="M125" s="1253"/>
    </row>
    <row r="126" spans="2:13" ht="12.75">
      <c r="B126" s="2496"/>
      <c r="C126" s="240" t="s">
        <v>1648</v>
      </c>
      <c r="D126" s="466">
        <v>6</v>
      </c>
      <c r="E126" s="467" t="s">
        <v>1692</v>
      </c>
      <c r="F126" s="157"/>
      <c r="G126" s="240"/>
      <c r="H126" s="1272"/>
      <c r="I126" s="1251"/>
      <c r="J126" s="1252"/>
      <c r="K126" s="1278"/>
      <c r="L126" s="1251"/>
      <c r="M126" s="1253"/>
    </row>
    <row r="127" spans="2:13" ht="12.75">
      <c r="B127" s="2496"/>
      <c r="C127" s="240" t="s">
        <v>1649</v>
      </c>
      <c r="D127" s="466">
        <v>2</v>
      </c>
      <c r="E127" s="467" t="s">
        <v>1692</v>
      </c>
      <c r="F127" s="157"/>
      <c r="G127" s="240"/>
      <c r="H127" s="1272"/>
      <c r="I127" s="1251"/>
      <c r="J127" s="1252"/>
      <c r="K127" s="1278"/>
      <c r="L127" s="1251"/>
      <c r="M127" s="1253"/>
    </row>
    <row r="128" spans="2:13" ht="12.75">
      <c r="B128" s="2496"/>
      <c r="C128" s="240"/>
      <c r="D128" s="467"/>
      <c r="E128" s="467"/>
      <c r="F128" s="157"/>
      <c r="G128" s="240"/>
      <c r="H128" s="1272"/>
      <c r="I128" s="1251"/>
      <c r="J128" s="1252"/>
      <c r="K128" s="1278"/>
      <c r="L128" s="1251"/>
      <c r="M128" s="1253"/>
    </row>
    <row r="129" spans="2:13" ht="12.75">
      <c r="B129" s="2496"/>
      <c r="C129" s="447" t="s">
        <v>1651</v>
      </c>
      <c r="D129" s="433"/>
      <c r="E129" s="433"/>
      <c r="F129" s="449"/>
      <c r="G129" s="450"/>
      <c r="H129" s="1270">
        <f>'{p} Ozone'!B16</f>
        <v>2927245.377046288</v>
      </c>
      <c r="I129" s="2088">
        <f>H129/$C$8</f>
        <v>7.733805487572754</v>
      </c>
      <c r="J129" s="2089">
        <f>H129/$C$10</f>
        <v>29.275624630712784</v>
      </c>
      <c r="K129" s="1280">
        <f>'{p} Ozone'!B18</f>
        <v>233063.88020386588</v>
      </c>
      <c r="L129" s="2090">
        <f>K129/$C$9</f>
        <v>0.0016858866690262068</v>
      </c>
      <c r="M129" s="2091">
        <f>K129/$C$11</f>
        <v>0.006381772255798495</v>
      </c>
    </row>
    <row r="130" spans="2:13" ht="12.75">
      <c r="B130" s="2496"/>
      <c r="C130" s="240" t="s">
        <v>1652</v>
      </c>
      <c r="D130" s="468">
        <v>1</v>
      </c>
      <c r="E130" s="467" t="s">
        <v>1692</v>
      </c>
      <c r="F130" s="157"/>
      <c r="G130" s="240"/>
      <c r="H130" s="1272"/>
      <c r="I130" s="1251"/>
      <c r="J130" s="1252"/>
      <c r="K130" s="1278"/>
      <c r="L130" s="1251"/>
      <c r="M130" s="1253"/>
    </row>
    <row r="131" spans="2:13" ht="12.75">
      <c r="B131" s="2496"/>
      <c r="C131" s="240" t="s">
        <v>1653</v>
      </c>
      <c r="D131" s="466">
        <v>2</v>
      </c>
      <c r="E131" s="467" t="s">
        <v>381</v>
      </c>
      <c r="F131" s="157"/>
      <c r="G131" s="240"/>
      <c r="H131" s="1272"/>
      <c r="I131" s="1251"/>
      <c r="J131" s="1252"/>
      <c r="K131" s="1278"/>
      <c r="L131" s="1251"/>
      <c r="M131" s="1253"/>
    </row>
    <row r="132" spans="2:13" ht="12.75">
      <c r="B132" s="2496"/>
      <c r="C132" s="240"/>
      <c r="D132" s="477"/>
      <c r="E132" s="467"/>
      <c r="F132" s="157"/>
      <c r="G132" s="240"/>
      <c r="H132" s="1272"/>
      <c r="I132" s="1251"/>
      <c r="J132" s="1252"/>
      <c r="K132" s="1278"/>
      <c r="L132" s="1251"/>
      <c r="M132" s="1253"/>
    </row>
    <row r="133" spans="2:13" ht="12.75">
      <c r="B133" s="2496"/>
      <c r="C133" s="1891" t="s">
        <v>922</v>
      </c>
      <c r="D133" s="433"/>
      <c r="E133" s="433"/>
      <c r="F133" s="449"/>
      <c r="G133" s="450"/>
      <c r="H133" s="1270">
        <f>'{n}CL2'!C45</f>
        <v>0</v>
      </c>
      <c r="I133" s="2088">
        <f>H133/$C$8</f>
        <v>0</v>
      </c>
      <c r="J133" s="2089">
        <f>H133/$C$10</f>
        <v>0</v>
      </c>
      <c r="K133" s="1280">
        <f>'{n}CL2'!C53</f>
        <v>0</v>
      </c>
      <c r="L133" s="2090">
        <f>K133/$C$9</f>
        <v>0</v>
      </c>
      <c r="M133" s="2091">
        <f>K133/$C$11</f>
        <v>0</v>
      </c>
    </row>
    <row r="134" spans="2:13" ht="12.75">
      <c r="B134" s="2496"/>
      <c r="C134" s="1892" t="s">
        <v>1603</v>
      </c>
      <c r="D134" s="466">
        <v>2.5</v>
      </c>
      <c r="E134" s="467" t="s">
        <v>1692</v>
      </c>
      <c r="F134" s="157"/>
      <c r="G134" s="240"/>
      <c r="H134" s="1272"/>
      <c r="I134" s="1251"/>
      <c r="J134" s="1252"/>
      <c r="K134" s="1278"/>
      <c r="L134" s="1260"/>
      <c r="M134" s="1261"/>
    </row>
    <row r="135" spans="2:13" ht="12.75">
      <c r="B135" s="2496"/>
      <c r="C135" s="1892" t="s">
        <v>1614</v>
      </c>
      <c r="D135" s="454" t="str">
        <f>'{n}CL2'!B32</f>
        <v>%</v>
      </c>
      <c r="E135" s="467" t="s">
        <v>1692</v>
      </c>
      <c r="F135" s="157"/>
      <c r="G135" s="240"/>
      <c r="H135" s="1272"/>
      <c r="I135" s="1251"/>
      <c r="J135" s="1252"/>
      <c r="K135" s="1278"/>
      <c r="L135" s="1251"/>
      <c r="M135" s="1253"/>
    </row>
    <row r="136" spans="2:13" ht="12.75">
      <c r="B136" s="2496"/>
      <c r="C136" s="1892" t="s">
        <v>1615</v>
      </c>
      <c r="D136" s="466"/>
      <c r="E136" s="467" t="s">
        <v>1692</v>
      </c>
      <c r="F136" s="157"/>
      <c r="G136" s="240"/>
      <c r="H136" s="1272"/>
      <c r="I136" s="1251"/>
      <c r="J136" s="1252"/>
      <c r="K136" s="1278"/>
      <c r="L136" s="1251"/>
      <c r="M136" s="1253"/>
    </row>
    <row r="137" spans="2:13" ht="13.5" thickBot="1">
      <c r="B137" s="2497"/>
      <c r="C137" s="1893"/>
      <c r="D137" s="464"/>
      <c r="E137" s="489"/>
      <c r="F137" s="465"/>
      <c r="G137" s="463"/>
      <c r="H137" s="1273"/>
      <c r="I137" s="1257"/>
      <c r="J137" s="1258"/>
      <c r="K137" s="1281"/>
      <c r="L137" s="1257"/>
      <c r="M137" s="1259"/>
    </row>
    <row r="138" spans="2:14" ht="12.75">
      <c r="B138" s="2496" t="s">
        <v>1395</v>
      </c>
      <c r="C138" s="473" t="s">
        <v>1612</v>
      </c>
      <c r="D138" s="474"/>
      <c r="E138" s="474"/>
      <c r="F138" s="470"/>
      <c r="G138" s="469"/>
      <c r="H138" s="1275"/>
      <c r="I138" s="1262"/>
      <c r="J138" s="1263"/>
      <c r="K138" s="1275"/>
      <c r="L138" s="1262"/>
      <c r="M138" s="1895"/>
      <c r="N138" s="2493"/>
    </row>
    <row r="139" spans="2:14" ht="12.75">
      <c r="B139" s="2496"/>
      <c r="C139" s="240" t="str">
        <f>IF('{e}H20 Analysis'!$C$43&gt;5000,"","Feed LSI (for TDS&gt;5000)")</f>
        <v>Feed LSI (for TDS&gt;5000)</v>
      </c>
      <c r="D139" s="445">
        <f>IF('{e}H20 Analysis'!$C$43&gt;5000,"",'{ii}LSI'!B18)</f>
        <v>-1.7700000000000005</v>
      </c>
      <c r="E139" s="467" t="str">
        <f>IF('{e}H20 Analysis'!$C$43&gt;5000,"","Conc LSI")</f>
        <v>Conc LSI</v>
      </c>
      <c r="F139" s="475">
        <f>IF('{e}H20 Analysis'!$C$43&gt;5000,"",'{ii}LSI'!B37)</f>
        <v>0.6204514391915357</v>
      </c>
      <c r="G139" s="240"/>
      <c r="H139" s="1272"/>
      <c r="I139" s="1251"/>
      <c r="J139" s="1252"/>
      <c r="K139" s="1278"/>
      <c r="L139" s="1251"/>
      <c r="M139" s="1896"/>
      <c r="N139" s="2493"/>
    </row>
    <row r="140" spans="2:14" ht="12.75">
      <c r="B140" s="2496"/>
      <c r="C140" s="1901">
        <f>IF('{e}H20 Analysis'!$C$43&lt;5000,"","Feed S&amp;DSI (for TDS&gt;5000)")</f>
      </c>
      <c r="D140" s="476">
        <f>IF('{e}H20 Analysis'!C44&lt;5000,"",'{hh}S&amp;DSI'!B21)</f>
      </c>
      <c r="E140" s="467">
        <f>IF('{e}H20 Analysis'!C44&lt;5000,"","Conc S&amp;DSI")</f>
      </c>
      <c r="F140" s="475">
        <f>IF('{e}H20 Analysis'!C44&lt;5000,"",'{hh}S&amp;DSI'!B27)</f>
      </c>
      <c r="G140" s="240"/>
      <c r="H140" s="1272"/>
      <c r="I140" s="1251"/>
      <c r="J140" s="1252"/>
      <c r="K140" s="1278"/>
      <c r="L140" s="1251"/>
      <c r="M140" s="1896"/>
      <c r="N140" s="2493"/>
    </row>
    <row r="141" spans="2:14" ht="15.75">
      <c r="B141" s="2496"/>
      <c r="C141" s="240" t="s">
        <v>1504</v>
      </c>
      <c r="D141" s="477">
        <f>'{hh}S&amp;DSI'!B9/1.49</f>
        <v>99.02079436681703</v>
      </c>
      <c r="E141" s="467" t="str">
        <f>IF('{e}H20 Analysis'!$C$43&lt;15000,"Conc LSI","Conc S&amp;DSI")</f>
        <v>Conc LSI</v>
      </c>
      <c r="F141" s="475">
        <f>IF('{e}H20 Analysis'!$C$43&lt;5000,'{ii}LSI'!B$59,'{hh}S&amp;DSI'!B37)</f>
        <v>0.31874557939509174</v>
      </c>
      <c r="G141" s="240" t="s">
        <v>1387</v>
      </c>
      <c r="H141" s="1270" t="e">
        <f>'{i}Acid'!C23</f>
        <v>#NUM!</v>
      </c>
      <c r="I141" s="2088" t="e">
        <f>H141/$C$8</f>
        <v>#NUM!</v>
      </c>
      <c r="J141" s="2089" t="e">
        <f>H141/$C$10</f>
        <v>#NUM!</v>
      </c>
      <c r="K141" s="1280">
        <f>'{i}Acid'!C42</f>
        <v>151275.977899636</v>
      </c>
      <c r="L141" s="2090">
        <f>K141/$C$9</f>
        <v>0.001094267178002081</v>
      </c>
      <c r="M141" s="2091">
        <f>K141/$C$11</f>
        <v>0.004142249918280859</v>
      </c>
      <c r="N141" s="2493"/>
    </row>
    <row r="142" spans="2:14" ht="12.75">
      <c r="B142" s="2496"/>
      <c r="C142" s="240" t="s">
        <v>706</v>
      </c>
      <c r="D142" s="228">
        <v>7</v>
      </c>
      <c r="E142" s="467" t="s">
        <v>1692</v>
      </c>
      <c r="F142" s="157"/>
      <c r="G142" s="240"/>
      <c r="H142" s="1272"/>
      <c r="I142" s="1251"/>
      <c r="J142" s="1252"/>
      <c r="K142" s="1278"/>
      <c r="L142" s="1251"/>
      <c r="M142" s="1896"/>
      <c r="N142" s="2493"/>
    </row>
    <row r="143" spans="2:14" ht="12.75">
      <c r="B143" s="2496"/>
      <c r="C143" s="240"/>
      <c r="D143" s="476"/>
      <c r="E143" s="467"/>
      <c r="F143" s="157"/>
      <c r="G143" s="240"/>
      <c r="H143" s="1272"/>
      <c r="I143" s="1251"/>
      <c r="J143" s="1252"/>
      <c r="K143" s="1278"/>
      <c r="L143" s="1251"/>
      <c r="M143" s="1896"/>
      <c r="N143" s="2493"/>
    </row>
    <row r="144" spans="2:14" ht="12.75">
      <c r="B144" s="2496"/>
      <c r="C144" s="240" t="s">
        <v>1505</v>
      </c>
      <c r="D144" s="477">
        <f>'{hh}S&amp;DSI'!B9/2.01</f>
        <v>73.40347443112309</v>
      </c>
      <c r="E144" s="467" t="str">
        <f>IF('{e}H20 Analysis'!$C$43&lt;15000,"Conc LSI","Conc S&amp;DSI")</f>
        <v>Conc LSI</v>
      </c>
      <c r="F144" s="475">
        <f>IF('{e}H20 Analysis'!$C$43&lt;5000,'{ii}LSI'!C59,'{hh}S&amp;DSI'!D37)</f>
        <v>-1.4342587392449166</v>
      </c>
      <c r="G144" s="240" t="s">
        <v>1387</v>
      </c>
      <c r="H144" s="1270" t="e">
        <f>'{i}Acid'!D23</f>
        <v>#NUM!</v>
      </c>
      <c r="I144" s="2088" t="e">
        <f>H144/$C$8</f>
        <v>#NUM!</v>
      </c>
      <c r="J144" s="2089" t="e">
        <f>H144/$C$10</f>
        <v>#NUM!</v>
      </c>
      <c r="K144" s="1280">
        <f>'{i}Acid'!D42</f>
        <v>2708708.738065546</v>
      </c>
      <c r="L144" s="2090">
        <f>K144/$C$9</f>
        <v>0.019593666542344627</v>
      </c>
      <c r="M144" s="2091">
        <f>K144/$C$11</f>
        <v>0.0741700612660568</v>
      </c>
      <c r="N144" s="2493"/>
    </row>
    <row r="145" spans="2:14" ht="12.75">
      <c r="B145" s="2496"/>
      <c r="C145" s="240" t="s">
        <v>706</v>
      </c>
      <c r="D145" s="228"/>
      <c r="E145" s="467" t="s">
        <v>1692</v>
      </c>
      <c r="F145" s="157"/>
      <c r="G145" s="240"/>
      <c r="H145" s="1272"/>
      <c r="I145" s="1251"/>
      <c r="J145" s="1252"/>
      <c r="K145" s="1278"/>
      <c r="L145" s="1251"/>
      <c r="M145" s="1896"/>
      <c r="N145" s="2493"/>
    </row>
    <row r="146" spans="2:14" ht="12.75">
      <c r="B146" s="2496"/>
      <c r="C146" s="240"/>
      <c r="D146" s="453"/>
      <c r="E146" s="467"/>
      <c r="F146" s="157"/>
      <c r="G146" s="240"/>
      <c r="H146" s="1272"/>
      <c r="I146" s="1251"/>
      <c r="J146" s="1252"/>
      <c r="K146" s="1278"/>
      <c r="L146" s="1251"/>
      <c r="M146" s="1896"/>
      <c r="N146" s="2493"/>
    </row>
    <row r="147" spans="2:14" ht="12.75">
      <c r="B147" s="2496"/>
      <c r="C147" s="447" t="s">
        <v>710</v>
      </c>
      <c r="D147" s="448"/>
      <c r="E147" s="433"/>
      <c r="F147" s="449"/>
      <c r="G147" s="450"/>
      <c r="H147" s="1270">
        <f>'{k}Alum'!C29</f>
        <v>118586.8762353536</v>
      </c>
      <c r="I147" s="2088">
        <f>H147/$C$8</f>
        <v>0.313307466936205</v>
      </c>
      <c r="J147" s="2089">
        <f>H147/$C$10</f>
        <v>1.1859972184149798</v>
      </c>
      <c r="K147" s="1280">
        <f>'{k}Alum'!C38</f>
        <v>198161.56937165686</v>
      </c>
      <c r="L147" s="2090">
        <f>K147/$C$9</f>
        <v>0.001433417944577097</v>
      </c>
      <c r="M147" s="2091">
        <f>K147/$C$11</f>
        <v>0.00542607462158159</v>
      </c>
      <c r="N147" s="2493" t="s">
        <v>1393</v>
      </c>
    </row>
    <row r="148" spans="2:14" ht="12.75">
      <c r="B148" s="2496"/>
      <c r="C148" s="240" t="s">
        <v>1506</v>
      </c>
      <c r="D148" s="443">
        <f>'{k}Alum'!B17</f>
        <v>327.65839723744136</v>
      </c>
      <c r="E148" s="467" t="s">
        <v>1692</v>
      </c>
      <c r="F148" s="157"/>
      <c r="G148" s="240"/>
      <c r="H148" s="1272"/>
      <c r="I148" s="1251"/>
      <c r="J148" s="1252"/>
      <c r="K148" s="1278"/>
      <c r="L148" s="1260"/>
      <c r="M148" s="1898"/>
      <c r="N148" s="2493"/>
    </row>
    <row r="149" spans="2:14" ht="12.75">
      <c r="B149" s="2496"/>
      <c r="C149" s="240" t="s">
        <v>1507</v>
      </c>
      <c r="D149" s="228"/>
      <c r="E149" s="467" t="s">
        <v>1692</v>
      </c>
      <c r="F149" s="157"/>
      <c r="G149" s="240"/>
      <c r="H149" s="1272"/>
      <c r="I149" s="1251"/>
      <c r="J149" s="1252"/>
      <c r="K149" s="1278"/>
      <c r="L149" s="1260"/>
      <c r="M149" s="1898"/>
      <c r="N149" s="2493"/>
    </row>
    <row r="150" spans="2:14" ht="12.75">
      <c r="B150" s="2496"/>
      <c r="C150" s="240" t="s">
        <v>708</v>
      </c>
      <c r="D150" s="443">
        <f>IF(ISBLANK(D149),'{k}Alum'!B18,'{k}Alum'!B15)</f>
        <v>63.99313898574384</v>
      </c>
      <c r="E150" s="467" t="s">
        <v>400</v>
      </c>
      <c r="F150" s="478">
        <f>D150*2.2</f>
        <v>140.78490576863646</v>
      </c>
      <c r="G150" s="240" t="s">
        <v>1772</v>
      </c>
      <c r="H150" s="1272"/>
      <c r="I150" s="1251"/>
      <c r="J150" s="1252"/>
      <c r="K150" s="1278"/>
      <c r="L150" s="1260"/>
      <c r="M150" s="1898"/>
      <c r="N150" s="2493"/>
    </row>
    <row r="151" spans="2:14" ht="12.75">
      <c r="B151" s="2496"/>
      <c r="C151" s="240"/>
      <c r="D151" s="453"/>
      <c r="E151" s="467"/>
      <c r="F151" s="157"/>
      <c r="G151" s="240"/>
      <c r="H151" s="1272"/>
      <c r="I151" s="1251"/>
      <c r="J151" s="1252"/>
      <c r="K151" s="1278"/>
      <c r="L151" s="1260"/>
      <c r="M151" s="1898"/>
      <c r="N151" s="2493"/>
    </row>
    <row r="152" spans="2:14" ht="12.75">
      <c r="B152" s="2496"/>
      <c r="C152" s="447" t="s">
        <v>711</v>
      </c>
      <c r="D152" s="448" t="s">
        <v>713</v>
      </c>
      <c r="E152" s="433"/>
      <c r="F152" s="449"/>
      <c r="G152" s="450"/>
      <c r="H152" s="1270">
        <f>'{k}Alum'!C60</f>
        <v>163392.95830165164</v>
      </c>
      <c r="I152" s="2088">
        <f>H152/$C$8</f>
        <v>0.43168549088943625</v>
      </c>
      <c r="J152" s="2089">
        <f>H152/$C$10</f>
        <v>1.634106574067781</v>
      </c>
      <c r="K152" s="1280">
        <f>'{k}Alum'!C77</f>
        <v>371822.89476311504</v>
      </c>
      <c r="L152" s="2090">
        <f>K152/$C$9</f>
        <v>0.002689611367370825</v>
      </c>
      <c r="M152" s="2091">
        <f>K152/$C$11</f>
        <v>0.010181281766159197</v>
      </c>
      <c r="N152" s="2493" t="s">
        <v>1393</v>
      </c>
    </row>
    <row r="153" spans="2:14" ht="12.75">
      <c r="B153" s="2496"/>
      <c r="C153" s="240" t="s">
        <v>707</v>
      </c>
      <c r="D153" s="443">
        <f>'{c}Report'!D148*2</f>
        <v>655.3167944748827</v>
      </c>
      <c r="E153" s="467" t="s">
        <v>1692</v>
      </c>
      <c r="F153" s="157"/>
      <c r="G153" s="240"/>
      <c r="H153" s="1272"/>
      <c r="I153" s="1251"/>
      <c r="J153" s="1252"/>
      <c r="K153" s="1278"/>
      <c r="L153" s="1260"/>
      <c r="M153" s="1898"/>
      <c r="N153" s="2493"/>
    </row>
    <row r="154" spans="2:14" ht="12.75">
      <c r="B154" s="2496"/>
      <c r="C154" s="240" t="s">
        <v>706</v>
      </c>
      <c r="D154" s="228"/>
      <c r="E154" s="467" t="s">
        <v>1692</v>
      </c>
      <c r="F154" s="157"/>
      <c r="G154" s="240"/>
      <c r="H154" s="1272"/>
      <c r="I154" s="1251"/>
      <c r="J154" s="1252"/>
      <c r="K154" s="1278"/>
      <c r="L154" s="1260"/>
      <c r="M154" s="1898"/>
      <c r="N154" s="2493"/>
    </row>
    <row r="155" spans="2:14" ht="12.75">
      <c r="B155" s="2496"/>
      <c r="C155" s="240" t="s">
        <v>708</v>
      </c>
      <c r="D155" s="443">
        <f>'{k}Alum'!B50</f>
        <v>127.98627797148768</v>
      </c>
      <c r="E155" s="467" t="s">
        <v>400</v>
      </c>
      <c r="F155" s="478">
        <f>D155*2.2</f>
        <v>281.5698115372729</v>
      </c>
      <c r="G155" s="240" t="s">
        <v>1772</v>
      </c>
      <c r="H155" s="1272"/>
      <c r="I155" s="1251"/>
      <c r="J155" s="1252"/>
      <c r="K155" s="1278"/>
      <c r="L155" s="1260"/>
      <c r="M155" s="1898"/>
      <c r="N155" s="2493"/>
    </row>
    <row r="156" spans="2:14" ht="12.75">
      <c r="B156" s="2496"/>
      <c r="C156" s="240"/>
      <c r="D156" s="453"/>
      <c r="E156" s="467"/>
      <c r="F156" s="157"/>
      <c r="G156" s="240"/>
      <c r="H156" s="1272"/>
      <c r="I156" s="1251"/>
      <c r="J156" s="1252"/>
      <c r="K156" s="1278"/>
      <c r="L156" s="1260"/>
      <c r="M156" s="1898"/>
      <c r="N156" s="2493"/>
    </row>
    <row r="157" spans="2:14" ht="12.75">
      <c r="B157" s="2496"/>
      <c r="C157" s="447" t="s">
        <v>1108</v>
      </c>
      <c r="D157" s="448" t="s">
        <v>713</v>
      </c>
      <c r="E157" s="433"/>
      <c r="F157" s="449"/>
      <c r="G157" s="450"/>
      <c r="H157" s="1270">
        <f>'{L}PACl'!C29</f>
        <v>74546.55038955795</v>
      </c>
      <c r="I157" s="2088">
        <f>H157/$C$8</f>
        <v>0.19695257698694302</v>
      </c>
      <c r="J157" s="2089">
        <f>H157/$C$10</f>
        <v>0.7455462544521441</v>
      </c>
      <c r="K157" s="1280">
        <f>'{L}PACl'!C38</f>
        <v>260653.24390594114</v>
      </c>
      <c r="L157" s="2090">
        <f>K157/$C$9</f>
        <v>0.001885456591364918</v>
      </c>
      <c r="M157" s="2091">
        <f>K157/$C$11</f>
        <v>0.007137226235518676</v>
      </c>
      <c r="N157" s="2493"/>
    </row>
    <row r="158" spans="2:14" ht="12.75">
      <c r="B158" s="2496"/>
      <c r="C158" s="240" t="s">
        <v>707</v>
      </c>
      <c r="D158" s="443">
        <f>'{L}PACl'!B16</f>
        <v>97.78808474512381</v>
      </c>
      <c r="E158" s="467" t="s">
        <v>1692</v>
      </c>
      <c r="F158" s="157"/>
      <c r="G158" s="240"/>
      <c r="H158" s="1272"/>
      <c r="I158" s="1251"/>
      <c r="J158" s="1252"/>
      <c r="K158" s="1278"/>
      <c r="L158" s="1260"/>
      <c r="M158" s="1898"/>
      <c r="N158" s="2493"/>
    </row>
    <row r="159" spans="2:14" ht="12.75">
      <c r="B159" s="2496"/>
      <c r="C159" s="240" t="s">
        <v>706</v>
      </c>
      <c r="D159" s="228"/>
      <c r="E159" s="467" t="s">
        <v>1692</v>
      </c>
      <c r="F159" s="157"/>
      <c r="G159" s="240"/>
      <c r="H159" s="1272"/>
      <c r="I159" s="1251"/>
      <c r="J159" s="1252"/>
      <c r="K159" s="1278"/>
      <c r="L159" s="1260"/>
      <c r="M159" s="1898"/>
      <c r="N159" s="2493"/>
    </row>
    <row r="160" spans="2:14" ht="12.75">
      <c r="B160" s="2496"/>
      <c r="C160" s="240" t="s">
        <v>708</v>
      </c>
      <c r="D160" s="443">
        <f>'{L}PACl'!B19</f>
        <v>16.233679857907617</v>
      </c>
      <c r="E160" s="467" t="s">
        <v>400</v>
      </c>
      <c r="F160" s="478">
        <f>D160*2.2</f>
        <v>35.714095687396764</v>
      </c>
      <c r="G160" s="240" t="s">
        <v>1772</v>
      </c>
      <c r="H160" s="1272"/>
      <c r="I160" s="1251"/>
      <c r="J160" s="1252"/>
      <c r="K160" s="1278"/>
      <c r="L160" s="1260"/>
      <c r="M160" s="1898"/>
      <c r="N160" s="2493"/>
    </row>
    <row r="161" spans="2:14" ht="12.75">
      <c r="B161" s="2496"/>
      <c r="C161" s="240"/>
      <c r="D161" s="453"/>
      <c r="E161" s="467"/>
      <c r="F161" s="157"/>
      <c r="G161" s="240"/>
      <c r="H161" s="1272"/>
      <c r="I161" s="1251"/>
      <c r="J161" s="1252"/>
      <c r="K161" s="1278"/>
      <c r="L161" s="1260"/>
      <c r="M161" s="1898"/>
      <c r="N161" s="2493"/>
    </row>
    <row r="162" spans="2:14" ht="12.75">
      <c r="B162" s="2496"/>
      <c r="C162" s="447" t="s">
        <v>712</v>
      </c>
      <c r="D162" s="448" t="s">
        <v>713</v>
      </c>
      <c r="E162" s="433"/>
      <c r="F162" s="449"/>
      <c r="G162" s="450"/>
      <c r="H162" s="1270">
        <f>'{j}IronCoag'!$C$26</f>
        <v>445537.059849182</v>
      </c>
      <c r="I162" s="2088">
        <f>H162/$C$8</f>
        <v>1.1771124434588691</v>
      </c>
      <c r="J162" s="2089">
        <f>H162/$C$10</f>
        <v>4.455853214593638</v>
      </c>
      <c r="K162" s="1280">
        <f>'{j}IronCoag'!$C$35</f>
        <v>140349.65572283106</v>
      </c>
      <c r="L162" s="2090">
        <f>K162/$C$9</f>
        <v>0.0010152307314997401</v>
      </c>
      <c r="M162" s="2091">
        <f>K162/$C$11</f>
        <v>0.003843064563326432</v>
      </c>
      <c r="N162" s="2493" t="s">
        <v>1394</v>
      </c>
    </row>
    <row r="163" spans="2:14" ht="12.75">
      <c r="B163" s="2496"/>
      <c r="C163" s="240" t="s">
        <v>707</v>
      </c>
      <c r="D163" s="443">
        <f>'{j}IronCoag'!B13</f>
        <v>258.6100999903304</v>
      </c>
      <c r="E163" s="467" t="s">
        <v>1692</v>
      </c>
      <c r="F163" s="157"/>
      <c r="G163" s="240"/>
      <c r="H163" s="1272"/>
      <c r="I163" s="1251"/>
      <c r="J163" s="1252"/>
      <c r="K163" s="1278"/>
      <c r="L163" s="1260"/>
      <c r="M163" s="1898"/>
      <c r="N163" s="2493"/>
    </row>
    <row r="164" spans="2:14" ht="12.75">
      <c r="B164" s="2496"/>
      <c r="C164" s="240" t="s">
        <v>706</v>
      </c>
      <c r="D164" s="228"/>
      <c r="E164" s="467" t="s">
        <v>1692</v>
      </c>
      <c r="F164" s="157"/>
      <c r="G164" s="240"/>
      <c r="H164" s="1272"/>
      <c r="I164" s="1251"/>
      <c r="J164" s="1252"/>
      <c r="K164" s="1278"/>
      <c r="L164" s="1260"/>
      <c r="M164" s="1898"/>
      <c r="N164" s="2493"/>
    </row>
    <row r="165" spans="2:14" ht="12.75">
      <c r="B165" s="2496"/>
      <c r="C165" s="240" t="s">
        <v>708</v>
      </c>
      <c r="D165" s="443">
        <f>'{j}IronCoag'!B14</f>
        <v>1212.1848030506512</v>
      </c>
      <c r="E165" s="467" t="s">
        <v>1771</v>
      </c>
      <c r="F165" s="478">
        <f>D165*2.2</f>
        <v>2666.806566711433</v>
      </c>
      <c r="G165" s="240" t="s">
        <v>89</v>
      </c>
      <c r="H165" s="1272"/>
      <c r="I165" s="1251"/>
      <c r="J165" s="1252"/>
      <c r="K165" s="1278"/>
      <c r="L165" s="1260"/>
      <c r="M165" s="1898"/>
      <c r="N165" s="2493"/>
    </row>
    <row r="166" spans="2:14" ht="12.75">
      <c r="B166" s="2496"/>
      <c r="C166" s="240"/>
      <c r="D166" s="453"/>
      <c r="E166" s="467"/>
      <c r="F166" s="157"/>
      <c r="G166" s="240"/>
      <c r="H166" s="1272"/>
      <c r="I166" s="1251"/>
      <c r="J166" s="1252"/>
      <c r="K166" s="1278"/>
      <c r="L166" s="1260"/>
      <c r="M166" s="1898"/>
      <c r="N166" s="2493"/>
    </row>
    <row r="167" spans="2:14" ht="12.75">
      <c r="B167" s="2496"/>
      <c r="C167" s="447" t="s">
        <v>1531</v>
      </c>
      <c r="D167" s="448"/>
      <c r="E167" s="433"/>
      <c r="F167" s="449"/>
      <c r="G167" s="450"/>
      <c r="H167" s="1270">
        <f>'{j}IronCoag'!$D$26</f>
        <v>455307.19937649166</v>
      </c>
      <c r="I167" s="2088">
        <f>H167/$C$8</f>
        <v>1.2029252295283794</v>
      </c>
      <c r="J167" s="2089">
        <f>H167/$C$10</f>
        <v>4.553565193109023</v>
      </c>
      <c r="K167" s="1280">
        <f>'{j}IronCoag'!$D$35</f>
        <v>780775.9178332903</v>
      </c>
      <c r="L167" s="2090">
        <f>K167/$C$9</f>
        <v>0.005647806559388139</v>
      </c>
      <c r="M167" s="2091">
        <f>K167/$C$11</f>
        <v>0.021379263427973458</v>
      </c>
      <c r="N167" s="2493" t="s">
        <v>1393</v>
      </c>
    </row>
    <row r="168" spans="2:14" ht="12.75">
      <c r="B168" s="2496"/>
      <c r="C168" s="240" t="s">
        <v>1025</v>
      </c>
      <c r="D168" s="443">
        <f>'{j}IronCoag'!C13</f>
        <v>265.701235251795</v>
      </c>
      <c r="E168" s="467" t="s">
        <v>1692</v>
      </c>
      <c r="F168" s="157" t="s">
        <v>1532</v>
      </c>
      <c r="G168" s="240"/>
      <c r="H168" s="1272"/>
      <c r="I168" s="1251"/>
      <c r="J168" s="1252"/>
      <c r="K168" s="1278"/>
      <c r="L168" s="1260"/>
      <c r="M168" s="1898"/>
      <c r="N168" s="2493"/>
    </row>
    <row r="169" spans="2:14" ht="12.75">
      <c r="B169" s="2496"/>
      <c r="C169" s="240" t="s">
        <v>1026</v>
      </c>
      <c r="D169" s="228"/>
      <c r="E169" s="467"/>
      <c r="F169" s="157"/>
      <c r="G169" s="240"/>
      <c r="H169" s="1272"/>
      <c r="I169" s="1251"/>
      <c r="J169" s="1252"/>
      <c r="K169" s="1278"/>
      <c r="L169" s="1260"/>
      <c r="M169" s="1898"/>
      <c r="N169" s="2493"/>
    </row>
    <row r="170" spans="2:14" ht="12.75">
      <c r="B170" s="2496"/>
      <c r="C170" s="240" t="s">
        <v>708</v>
      </c>
      <c r="D170" s="443">
        <f>'{j}IronCoag'!C14</f>
        <v>1245.4231274650706</v>
      </c>
      <c r="E170" s="467" t="s">
        <v>1771</v>
      </c>
      <c r="F170" s="478">
        <f>D170*2.2</f>
        <v>2739.9308804231555</v>
      </c>
      <c r="G170" s="240" t="s">
        <v>89</v>
      </c>
      <c r="H170" s="1272"/>
      <c r="I170" s="1251"/>
      <c r="J170" s="1252"/>
      <c r="K170" s="1278"/>
      <c r="L170" s="1260"/>
      <c r="M170" s="1898"/>
      <c r="N170" s="2493"/>
    </row>
    <row r="171" spans="2:14" ht="12.75">
      <c r="B171" s="2496"/>
      <c r="C171" s="240"/>
      <c r="D171" s="453"/>
      <c r="E171" s="467"/>
      <c r="F171" s="157"/>
      <c r="G171" s="240"/>
      <c r="H171" s="1272"/>
      <c r="I171" s="1251"/>
      <c r="J171" s="1252"/>
      <c r="K171" s="1278"/>
      <c r="L171" s="1260"/>
      <c r="M171" s="1898"/>
      <c r="N171" s="2493"/>
    </row>
    <row r="172" spans="2:14" ht="12.75">
      <c r="B172" s="2496"/>
      <c r="C172" s="447" t="s">
        <v>718</v>
      </c>
      <c r="D172" s="448" t="s">
        <v>713</v>
      </c>
      <c r="E172" s="433"/>
      <c r="F172" s="449"/>
      <c r="G172" s="450"/>
      <c r="H172" s="1270">
        <f>'{q}LimeFeed'!C37</f>
        <v>240455.5870226874</v>
      </c>
      <c r="I172" s="2088">
        <f>H172/$C$8</f>
        <v>0.6352855667706403</v>
      </c>
      <c r="J172" s="2089">
        <f>H172/$C$10</f>
        <v>2.4048163373092497</v>
      </c>
      <c r="K172" s="1280">
        <f>'{q}LimeFeed'!C44</f>
        <v>106015.63237404471</v>
      </c>
      <c r="L172" s="2090">
        <f>K172/$C$9</f>
        <v>0.000766872761113588</v>
      </c>
      <c r="M172" s="2091">
        <f>K172/$C$11</f>
        <v>0.002902927818646988</v>
      </c>
      <c r="N172" s="2493"/>
    </row>
    <row r="173" spans="2:14" ht="12.75">
      <c r="B173" s="2496"/>
      <c r="C173" s="240" t="s">
        <v>723</v>
      </c>
      <c r="D173" s="479" t="s">
        <v>1206</v>
      </c>
      <c r="E173" s="467"/>
      <c r="F173" s="157"/>
      <c r="G173" s="240"/>
      <c r="H173" s="1272"/>
      <c r="I173" s="1251"/>
      <c r="J173" s="1252"/>
      <c r="K173" s="1278"/>
      <c r="L173" s="1260"/>
      <c r="M173" s="1898"/>
      <c r="N173" s="2493"/>
    </row>
    <row r="174" spans="2:14" ht="12.75">
      <c r="B174" s="2496"/>
      <c r="C174" s="240" t="s">
        <v>719</v>
      </c>
      <c r="D174" s="443">
        <f>'{q}LimeFeed'!G18</f>
        <v>6.3510101010101</v>
      </c>
      <c r="E174" s="467" t="s">
        <v>1692</v>
      </c>
      <c r="F174" s="157"/>
      <c r="G174" s="240"/>
      <c r="H174" s="1272"/>
      <c r="I174" s="1251"/>
      <c r="J174" s="1252"/>
      <c r="K174" s="1278"/>
      <c r="L174" s="1251"/>
      <c r="M174" s="1896"/>
      <c r="N174" s="2493"/>
    </row>
    <row r="175" spans="2:14" ht="12.75">
      <c r="B175" s="2496"/>
      <c r="C175" s="240" t="s">
        <v>720</v>
      </c>
      <c r="D175" s="443">
        <f>'{q}LimeFeed'!I18</f>
        <v>0</v>
      </c>
      <c r="E175" s="467" t="s">
        <v>1692</v>
      </c>
      <c r="F175" s="157"/>
      <c r="G175" s="240"/>
      <c r="H175" s="1272"/>
      <c r="I175" s="1251"/>
      <c r="J175" s="1252"/>
      <c r="K175" s="1278"/>
      <c r="L175" s="1251"/>
      <c r="M175" s="1896"/>
      <c r="N175" s="2493"/>
    </row>
    <row r="176" spans="2:14" ht="12.75">
      <c r="B176" s="2496"/>
      <c r="C176" s="240" t="s">
        <v>721</v>
      </c>
      <c r="D176" s="228"/>
      <c r="E176" s="467" t="s">
        <v>1692</v>
      </c>
      <c r="F176" s="157"/>
      <c r="G176" s="240"/>
      <c r="H176" s="1272"/>
      <c r="I176" s="1251"/>
      <c r="J176" s="1252"/>
      <c r="K176" s="1278"/>
      <c r="L176" s="1251"/>
      <c r="M176" s="1896"/>
      <c r="N176" s="2493"/>
    </row>
    <row r="177" spans="2:14" ht="12.75">
      <c r="B177" s="2496"/>
      <c r="C177" s="240" t="s">
        <v>722</v>
      </c>
      <c r="D177" s="228"/>
      <c r="E177" s="467" t="s">
        <v>1692</v>
      </c>
      <c r="F177" s="157"/>
      <c r="G177" s="240"/>
      <c r="H177" s="1272"/>
      <c r="I177" s="1251"/>
      <c r="J177" s="1252"/>
      <c r="K177" s="1278"/>
      <c r="L177" s="1251"/>
      <c r="M177" s="1896"/>
      <c r="N177" s="2493"/>
    </row>
    <row r="178" spans="2:14" ht="12.75">
      <c r="B178" s="2496"/>
      <c r="C178" s="240" t="s">
        <v>1557</v>
      </c>
      <c r="D178" s="443">
        <f>'{q}LimeFeed'!B26</f>
        <v>117.8361432957021</v>
      </c>
      <c r="E178" s="467" t="s">
        <v>400</v>
      </c>
      <c r="F178" s="154">
        <f>D178*2.2</f>
        <v>259.2395152505446</v>
      </c>
      <c r="G178" s="240" t="s">
        <v>1772</v>
      </c>
      <c r="H178" s="1272"/>
      <c r="I178" s="1251"/>
      <c r="J178" s="1252"/>
      <c r="K178" s="1278"/>
      <c r="L178" s="1251"/>
      <c r="M178" s="1896"/>
      <c r="N178" s="2493"/>
    </row>
    <row r="179" spans="2:14" ht="12.75">
      <c r="B179" s="2496"/>
      <c r="C179" s="240" t="s">
        <v>1558</v>
      </c>
      <c r="D179" s="443">
        <f>'{q}LimeFeed'!B27</f>
        <v>0</v>
      </c>
      <c r="E179" s="467" t="s">
        <v>400</v>
      </c>
      <c r="F179" s="154">
        <f>D179*2.2</f>
        <v>0</v>
      </c>
      <c r="G179" s="240" t="s">
        <v>1772</v>
      </c>
      <c r="H179" s="1272"/>
      <c r="I179" s="1251"/>
      <c r="J179" s="1252"/>
      <c r="K179" s="1278"/>
      <c r="L179" s="1251"/>
      <c r="M179" s="1896"/>
      <c r="N179" s="2493"/>
    </row>
    <row r="180" spans="2:14" ht="12.75">
      <c r="B180" s="2496"/>
      <c r="C180" s="240"/>
      <c r="D180" s="443"/>
      <c r="E180" s="467"/>
      <c r="F180" s="157"/>
      <c r="G180" s="240"/>
      <c r="H180" s="1272"/>
      <c r="I180" s="1251"/>
      <c r="J180" s="1252"/>
      <c r="K180" s="1278"/>
      <c r="L180" s="1251"/>
      <c r="M180" s="1896"/>
      <c r="N180" s="2493"/>
    </row>
    <row r="181" spans="2:14" ht="12.75">
      <c r="B181" s="2496"/>
      <c r="C181" s="447" t="s">
        <v>1017</v>
      </c>
      <c r="D181" s="448" t="s">
        <v>713</v>
      </c>
      <c r="E181" s="433"/>
      <c r="F181" s="449"/>
      <c r="G181" s="450"/>
      <c r="H181" s="1270">
        <f>'{r}Antiscalent'!C21</f>
        <v>164315.48026594965</v>
      </c>
      <c r="I181" s="2088">
        <f>H181/$C$8</f>
        <v>0.4341228012310426</v>
      </c>
      <c r="J181" s="2089">
        <f>H181/$C$10</f>
        <v>1.643332793008001</v>
      </c>
      <c r="K181" s="1280">
        <f>'{r}Antiscalent'!C28</f>
        <v>182717.33128189316</v>
      </c>
      <c r="L181" s="2090">
        <f>K181/$C$9</f>
        <v>0.0013217007832304992</v>
      </c>
      <c r="M181" s="2091">
        <f>K181/$C$11</f>
        <v>0.005003179361848566</v>
      </c>
      <c r="N181" s="2493" t="s">
        <v>1392</v>
      </c>
    </row>
    <row r="182" spans="2:14" ht="12.75">
      <c r="B182" s="2496"/>
      <c r="C182" s="240" t="s">
        <v>715</v>
      </c>
      <c r="D182" s="453">
        <v>0.5</v>
      </c>
      <c r="E182" s="467" t="s">
        <v>1692</v>
      </c>
      <c r="F182" s="157"/>
      <c r="G182" s="240"/>
      <c r="H182" s="1272"/>
      <c r="I182" s="1251"/>
      <c r="J182" s="1252"/>
      <c r="K182" s="1278"/>
      <c r="L182" s="1260"/>
      <c r="M182" s="1898"/>
      <c r="N182" s="2493"/>
    </row>
    <row r="183" spans="2:14" ht="12.75">
      <c r="B183" s="2496"/>
      <c r="C183" s="240" t="s">
        <v>706</v>
      </c>
      <c r="D183" s="228"/>
      <c r="E183" s="467" t="s">
        <v>1692</v>
      </c>
      <c r="F183" s="157"/>
      <c r="G183" s="240"/>
      <c r="H183" s="1272"/>
      <c r="I183" s="1251"/>
      <c r="J183" s="1252"/>
      <c r="K183" s="1278"/>
      <c r="L183" s="1260"/>
      <c r="M183" s="1898"/>
      <c r="N183" s="2493"/>
    </row>
    <row r="184" spans="2:14" ht="12.75">
      <c r="B184" s="2496"/>
      <c r="C184" s="240" t="s">
        <v>708</v>
      </c>
      <c r="D184" s="454">
        <f>'{r}Antiscalent'!B10</f>
        <v>222.64705882352942</v>
      </c>
      <c r="E184" s="467" t="s">
        <v>1771</v>
      </c>
      <c r="F184" s="478">
        <f>D184*2.2</f>
        <v>489.82352941176475</v>
      </c>
      <c r="G184" s="240" t="s">
        <v>89</v>
      </c>
      <c r="H184" s="1272"/>
      <c r="I184" s="1251"/>
      <c r="J184" s="1252"/>
      <c r="K184" s="1278"/>
      <c r="L184" s="1260"/>
      <c r="M184" s="1898"/>
      <c r="N184" s="2493"/>
    </row>
    <row r="185" spans="2:14" ht="12.75">
      <c r="B185" s="2496"/>
      <c r="C185" s="240" t="s">
        <v>1019</v>
      </c>
      <c r="D185" s="453">
        <v>990</v>
      </c>
      <c r="E185" s="467" t="s">
        <v>1020</v>
      </c>
      <c r="F185" s="157"/>
      <c r="G185" s="240"/>
      <c r="H185" s="1272"/>
      <c r="I185" s="1251"/>
      <c r="J185" s="1252"/>
      <c r="K185" s="1278"/>
      <c r="L185" s="1260"/>
      <c r="M185" s="1898"/>
      <c r="N185" s="2493"/>
    </row>
    <row r="186" spans="2:14" ht="12.75">
      <c r="B186" s="2496"/>
      <c r="C186" s="240"/>
      <c r="D186" s="453"/>
      <c r="E186" s="467"/>
      <c r="F186" s="157"/>
      <c r="G186" s="240"/>
      <c r="H186" s="1272"/>
      <c r="I186" s="1251"/>
      <c r="J186" s="1252"/>
      <c r="K186" s="1278"/>
      <c r="L186" s="1260"/>
      <c r="M186" s="1898"/>
      <c r="N186" s="2493"/>
    </row>
    <row r="187" spans="2:14" ht="12.75">
      <c r="B187" s="2496"/>
      <c r="C187" s="447" t="s">
        <v>1018</v>
      </c>
      <c r="D187" s="448" t="s">
        <v>713</v>
      </c>
      <c r="E187" s="433"/>
      <c r="F187" s="449"/>
      <c r="G187" s="450"/>
      <c r="H187" s="1270">
        <f>'{s}PolyElectrolyte'!C22</f>
        <v>164315.48026594965</v>
      </c>
      <c r="I187" s="2088">
        <f>H187/$C$8</f>
        <v>0.4341228012310426</v>
      </c>
      <c r="J187" s="2089">
        <f>H187/$C$10</f>
        <v>1.643332793008001</v>
      </c>
      <c r="K187" s="1280">
        <f>'{s}PolyElectrolyte'!C29</f>
        <v>182717.33128189316</v>
      </c>
      <c r="L187" s="2090">
        <f>K187/$C$9</f>
        <v>0.0013217007832304992</v>
      </c>
      <c r="M187" s="2091">
        <f>K187/$C$11</f>
        <v>0.005003179361848566</v>
      </c>
      <c r="N187" s="2493"/>
    </row>
    <row r="188" spans="2:14" ht="12.75">
      <c r="B188" s="2496"/>
      <c r="C188" s="240" t="s">
        <v>715</v>
      </c>
      <c r="D188" s="453">
        <v>0.5</v>
      </c>
      <c r="E188" s="467" t="s">
        <v>1692</v>
      </c>
      <c r="F188" s="157"/>
      <c r="G188" s="240"/>
      <c r="H188" s="1272"/>
      <c r="I188" s="1251"/>
      <c r="J188" s="1252"/>
      <c r="K188" s="1278"/>
      <c r="L188" s="1260"/>
      <c r="M188" s="1898"/>
      <c r="N188" s="2493"/>
    </row>
    <row r="189" spans="2:14" ht="12.75">
      <c r="B189" s="2496"/>
      <c r="C189" s="240" t="s">
        <v>706</v>
      </c>
      <c r="D189" s="228"/>
      <c r="E189" s="467" t="s">
        <v>1692</v>
      </c>
      <c r="F189" s="157"/>
      <c r="G189" s="240"/>
      <c r="H189" s="1272"/>
      <c r="I189" s="1251"/>
      <c r="J189" s="1252"/>
      <c r="K189" s="1278"/>
      <c r="L189" s="1260"/>
      <c r="M189" s="1898"/>
      <c r="N189" s="2493"/>
    </row>
    <row r="190" spans="2:14" ht="12.75">
      <c r="B190" s="2496"/>
      <c r="C190" s="240" t="s">
        <v>708</v>
      </c>
      <c r="D190" s="454">
        <f>'{s}PolyElectrolyte'!B10</f>
        <v>222.64705882352942</v>
      </c>
      <c r="E190" s="467" t="s">
        <v>1771</v>
      </c>
      <c r="F190" s="478">
        <f>D190*2.2</f>
        <v>489.82352941176475</v>
      </c>
      <c r="G190" s="240" t="s">
        <v>89</v>
      </c>
      <c r="H190" s="1272"/>
      <c r="I190" s="1251"/>
      <c r="J190" s="1252"/>
      <c r="K190" s="1278"/>
      <c r="L190" s="1260"/>
      <c r="M190" s="1898"/>
      <c r="N190" s="2493"/>
    </row>
    <row r="191" spans="2:14" ht="12.75">
      <c r="B191" s="2496"/>
      <c r="C191" s="240" t="s">
        <v>1019</v>
      </c>
      <c r="D191" s="453">
        <v>990</v>
      </c>
      <c r="E191" s="467" t="s">
        <v>1020</v>
      </c>
      <c r="F191" s="157"/>
      <c r="G191" s="240"/>
      <c r="H191" s="1272"/>
      <c r="I191" s="1251"/>
      <c r="J191" s="1252"/>
      <c r="K191" s="1278"/>
      <c r="L191" s="1260"/>
      <c r="M191" s="1898"/>
      <c r="N191" s="2493"/>
    </row>
    <row r="192" spans="2:14" ht="12.75">
      <c r="B192" s="2496"/>
      <c r="C192" s="240"/>
      <c r="D192" s="453"/>
      <c r="E192" s="467"/>
      <c r="F192" s="157"/>
      <c r="G192" s="240"/>
      <c r="H192" s="1272"/>
      <c r="I192" s="1251"/>
      <c r="J192" s="1252"/>
      <c r="K192" s="1278"/>
      <c r="L192" s="1260"/>
      <c r="M192" s="1898"/>
      <c r="N192" s="2493"/>
    </row>
    <row r="193" spans="2:14" ht="12.75">
      <c r="B193" s="2496"/>
      <c r="C193" s="447" t="s">
        <v>716</v>
      </c>
      <c r="D193" s="448" t="s">
        <v>713</v>
      </c>
      <c r="E193" s="433"/>
      <c r="F193" s="449"/>
      <c r="G193" s="450"/>
      <c r="H193" s="1274">
        <f>'{t}KMnO4'!C26</f>
        <v>94662.48911313673</v>
      </c>
      <c r="I193" s="2088">
        <f>H193/$C$8</f>
        <v>0.2500990465340468</v>
      </c>
      <c r="J193" s="2089">
        <f>H193/$C$10</f>
        <v>0.9467274317404463</v>
      </c>
      <c r="K193" s="1282">
        <f>'{t}KMnO4'!C33</f>
        <v>1309257.0947322738</v>
      </c>
      <c r="L193" s="2090">
        <f>K193/$C$9</f>
        <v>0.009470618443348604</v>
      </c>
      <c r="M193" s="2091">
        <f>K193/$C$11</f>
        <v>0.03585017376163625</v>
      </c>
      <c r="N193" s="2493"/>
    </row>
    <row r="194" spans="2:14" ht="12.75">
      <c r="B194" s="2496"/>
      <c r="C194" s="240" t="s">
        <v>707</v>
      </c>
      <c r="D194" s="443">
        <f>IF('{t}KMnO4'!B12&lt;0,"No Need",'{t}KMnO4'!B12)</f>
        <v>0</v>
      </c>
      <c r="E194" s="467" t="s">
        <v>1692</v>
      </c>
      <c r="F194" s="157"/>
      <c r="G194" s="240"/>
      <c r="H194" s="1272"/>
      <c r="I194" s="1251"/>
      <c r="J194" s="1252"/>
      <c r="K194" s="1278"/>
      <c r="L194" s="1260"/>
      <c r="M194" s="1898"/>
      <c r="N194" s="2493"/>
    </row>
    <row r="195" spans="2:14" ht="12.75">
      <c r="B195" s="2496"/>
      <c r="C195" s="240" t="s">
        <v>706</v>
      </c>
      <c r="D195" s="228">
        <v>2</v>
      </c>
      <c r="E195" s="467" t="s">
        <v>1692</v>
      </c>
      <c r="F195" s="157"/>
      <c r="G195" s="240"/>
      <c r="H195" s="1272"/>
      <c r="I195" s="1251"/>
      <c r="J195" s="1252"/>
      <c r="K195" s="1278"/>
      <c r="L195" s="1260"/>
      <c r="M195" s="1898"/>
      <c r="N195" s="2493"/>
    </row>
    <row r="196" spans="2:14" ht="12.75">
      <c r="B196" s="2496"/>
      <c r="C196" s="240" t="s">
        <v>708</v>
      </c>
      <c r="D196" s="443">
        <f>'{t}KMnO4'!B14</f>
        <v>890.5882352941177</v>
      </c>
      <c r="E196" s="467" t="s">
        <v>1771</v>
      </c>
      <c r="F196" s="478">
        <f>D196*2.2</f>
        <v>1959.294117647059</v>
      </c>
      <c r="G196" s="240" t="s">
        <v>89</v>
      </c>
      <c r="H196" s="1272"/>
      <c r="I196" s="1251"/>
      <c r="J196" s="1252"/>
      <c r="K196" s="1278"/>
      <c r="L196" s="1260"/>
      <c r="M196" s="1898"/>
      <c r="N196" s="2493"/>
    </row>
    <row r="197" spans="1:14" ht="13.5" thickBot="1">
      <c r="A197" s="463"/>
      <c r="B197" s="2497"/>
      <c r="C197" s="463"/>
      <c r="D197" s="480"/>
      <c r="E197" s="489"/>
      <c r="F197" s="481"/>
      <c r="G197" s="463"/>
      <c r="H197" s="1273"/>
      <c r="I197" s="1257"/>
      <c r="J197" s="1258"/>
      <c r="K197" s="1281"/>
      <c r="L197" s="1265"/>
      <c r="M197" s="1899"/>
      <c r="N197" s="2493"/>
    </row>
    <row r="198" spans="1:13" ht="12.75" customHeight="1">
      <c r="A198" s="161"/>
      <c r="B198" s="2498" t="s">
        <v>1608</v>
      </c>
      <c r="C198" s="1997" t="s">
        <v>652</v>
      </c>
      <c r="D198" s="1998"/>
      <c r="E198" s="1986"/>
      <c r="F198" s="1987"/>
      <c r="G198" s="1988"/>
      <c r="H198" s="1989"/>
      <c r="I198" s="1990"/>
      <c r="J198" s="1991"/>
      <c r="K198" s="1992"/>
      <c r="L198" s="1990"/>
      <c r="M198" s="1999"/>
    </row>
    <row r="199" spans="1:13" ht="12.75">
      <c r="A199" s="153"/>
      <c r="B199" s="2496"/>
      <c r="C199" s="240" t="s">
        <v>1576</v>
      </c>
      <c r="D199" s="453"/>
      <c r="E199" s="467"/>
      <c r="F199" s="157"/>
      <c r="G199" s="240"/>
      <c r="H199" s="2092">
        <f>'{ff}Pumps'!C23</f>
        <v>9003236.81674026</v>
      </c>
      <c r="I199" s="2093">
        <f>H199/$C$8</f>
        <v>23.78662302969685</v>
      </c>
      <c r="J199" s="2094">
        <f>H199/$C$10</f>
        <v>90.04212068284477</v>
      </c>
      <c r="K199" s="2095">
        <f>'{ff}Pumps'!C31</f>
        <v>22789632.87628446</v>
      </c>
      <c r="L199" s="2096">
        <f>K199/$C$9</f>
        <v>0.16485067623744148</v>
      </c>
      <c r="M199" s="2097">
        <f>K199/$C$11</f>
        <v>0.6240273983359735</v>
      </c>
    </row>
    <row r="200" spans="1:13" ht="12.75">
      <c r="A200" s="153"/>
      <c r="B200" s="2496"/>
      <c r="C200" s="240" t="s">
        <v>1600</v>
      </c>
      <c r="D200" s="453"/>
      <c r="E200" s="467"/>
      <c r="F200" s="157"/>
      <c r="G200" s="240"/>
      <c r="H200" s="1270">
        <f>'{ff}Pumps'!D23</f>
        <v>4748361.857708605</v>
      </c>
      <c r="I200" s="2088">
        <f>H200/$C$8</f>
        <v>12.545209663695124</v>
      </c>
      <c r="J200" s="2089">
        <f>H200/$C$10</f>
        <v>47.48876211304816</v>
      </c>
      <c r="K200" s="1280"/>
      <c r="L200" s="2088"/>
      <c r="M200" s="2098"/>
    </row>
    <row r="201" spans="1:13" ht="12.75">
      <c r="A201" s="153"/>
      <c r="B201" s="2496"/>
      <c r="C201" s="240" t="s">
        <v>1601</v>
      </c>
      <c r="D201" s="482"/>
      <c r="E201" s="467"/>
      <c r="F201" s="157"/>
      <c r="G201" s="240"/>
      <c r="H201" s="1276">
        <f>'{ff}Pumps'!E23</f>
        <v>1728164.3838244262</v>
      </c>
      <c r="I201" s="1262">
        <f>H201/$C$8</f>
        <v>4.565823999536132</v>
      </c>
      <c r="J201" s="1263">
        <f>H201/$C$10</f>
        <v>17.28351582608407</v>
      </c>
      <c r="K201" s="1275"/>
      <c r="L201" s="1262"/>
      <c r="M201" s="1267"/>
    </row>
    <row r="202" spans="1:13" ht="12.75">
      <c r="A202" s="153"/>
      <c r="B202" s="2496"/>
      <c r="C202" s="240" t="s">
        <v>1562</v>
      </c>
      <c r="D202" s="229">
        <v>1</v>
      </c>
      <c r="E202" s="467" t="s">
        <v>391</v>
      </c>
      <c r="F202" s="153"/>
      <c r="G202" s="240"/>
      <c r="H202" s="1272"/>
      <c r="I202" s="1251"/>
      <c r="J202" s="1252"/>
      <c r="K202" s="1278"/>
      <c r="L202" s="1251"/>
      <c r="M202" s="1253"/>
    </row>
    <row r="203" spans="1:13" ht="12.75">
      <c r="A203" s="153"/>
      <c r="B203" s="2496"/>
      <c r="C203" s="240" t="s">
        <v>941</v>
      </c>
      <c r="D203" s="228">
        <v>1</v>
      </c>
      <c r="E203" s="467" t="s">
        <v>159</v>
      </c>
      <c r="F203" s="272">
        <f>D203/0.3048</f>
        <v>3.280839895013123</v>
      </c>
      <c r="G203" s="240" t="s">
        <v>160</v>
      </c>
      <c r="H203" s="1272"/>
      <c r="I203" s="1251"/>
      <c r="J203" s="1252"/>
      <c r="K203" s="1278"/>
      <c r="L203" s="1251"/>
      <c r="M203" s="1253"/>
    </row>
    <row r="204" spans="1:13" ht="12.75">
      <c r="A204" s="153"/>
      <c r="B204" s="2496"/>
      <c r="C204" s="240" t="s">
        <v>1566</v>
      </c>
      <c r="D204" s="228">
        <v>1750</v>
      </c>
      <c r="E204" s="467" t="s">
        <v>147</v>
      </c>
      <c r="F204" s="154">
        <f>D204/6.89</f>
        <v>253.9912917271408</v>
      </c>
      <c r="G204" s="240" t="s">
        <v>148</v>
      </c>
      <c r="H204" s="1272"/>
      <c r="I204" s="1251" t="s">
        <v>1602</v>
      </c>
      <c r="J204" s="1252"/>
      <c r="K204" s="1278"/>
      <c r="L204" s="1251"/>
      <c r="M204" s="1253"/>
    </row>
    <row r="205" spans="1:13" ht="14.25">
      <c r="A205" s="153"/>
      <c r="B205" s="2496"/>
      <c r="C205" s="240" t="s">
        <v>1563</v>
      </c>
      <c r="D205" s="242">
        <f>'{b}Capacity'!B32/1000</f>
        <v>5.153867102396514</v>
      </c>
      <c r="E205" s="467" t="s">
        <v>1561</v>
      </c>
      <c r="F205" s="154">
        <f>D205*1000*60/3.785</f>
        <v>81699.34640522876</v>
      </c>
      <c r="G205" s="240" t="s">
        <v>1540</v>
      </c>
      <c r="H205" s="1272"/>
      <c r="I205" s="1251"/>
      <c r="J205" s="1252"/>
      <c r="K205" s="1278"/>
      <c r="L205" s="1251"/>
      <c r="M205" s="1253"/>
    </row>
    <row r="206" spans="1:13" ht="14.25">
      <c r="A206" s="153"/>
      <c r="B206" s="2496"/>
      <c r="C206" s="240" t="s">
        <v>1564</v>
      </c>
      <c r="D206" s="242">
        <f>D205/D202</f>
        <v>5.153867102396514</v>
      </c>
      <c r="E206" s="467" t="s">
        <v>1561</v>
      </c>
      <c r="F206" s="154">
        <f>D206*1000*60/3.785</f>
        <v>81699.34640522876</v>
      </c>
      <c r="G206" s="240" t="s">
        <v>1540</v>
      </c>
      <c r="H206" s="1272"/>
      <c r="I206" s="1251"/>
      <c r="J206" s="1252"/>
      <c r="K206" s="1278"/>
      <c r="L206" s="1251"/>
      <c r="M206" s="1253"/>
    </row>
    <row r="207" spans="1:13" ht="12.75">
      <c r="A207" s="153"/>
      <c r="B207" s="2496"/>
      <c r="C207" s="240" t="s">
        <v>1568</v>
      </c>
      <c r="D207" s="228">
        <v>75</v>
      </c>
      <c r="E207" s="467" t="s">
        <v>132</v>
      </c>
      <c r="F207" s="153"/>
      <c r="G207" s="240"/>
      <c r="H207" s="1272"/>
      <c r="I207" s="1251"/>
      <c r="J207" s="1252"/>
      <c r="K207" s="1278"/>
      <c r="L207" s="1251"/>
      <c r="M207" s="1253"/>
    </row>
    <row r="208" spans="1:13" ht="12.75">
      <c r="A208" s="153"/>
      <c r="B208" s="2496"/>
      <c r="C208" s="240" t="s">
        <v>1560</v>
      </c>
      <c r="D208" s="228">
        <v>0.1</v>
      </c>
      <c r="E208" s="467" t="s">
        <v>159</v>
      </c>
      <c r="F208" s="189">
        <f>D208/0.0254</f>
        <v>3.9370078740157486</v>
      </c>
      <c r="G208" s="240" t="s">
        <v>113</v>
      </c>
      <c r="H208" s="1272"/>
      <c r="I208" s="1251"/>
      <c r="J208" s="1252"/>
      <c r="K208" s="1278"/>
      <c r="L208" s="1251"/>
      <c r="M208" s="1253"/>
    </row>
    <row r="209" spans="1:13" ht="12.75">
      <c r="A209" s="153"/>
      <c r="B209" s="2496"/>
      <c r="C209" s="240" t="s">
        <v>1569</v>
      </c>
      <c r="D209" s="228">
        <v>87</v>
      </c>
      <c r="E209" s="467" t="s">
        <v>132</v>
      </c>
      <c r="F209" s="154"/>
      <c r="G209" s="240"/>
      <c r="H209" s="1272"/>
      <c r="I209" s="1251"/>
      <c r="J209" s="1252"/>
      <c r="K209" s="1278"/>
      <c r="L209" s="1251"/>
      <c r="M209" s="1253"/>
    </row>
    <row r="210" spans="1:13" ht="12.75">
      <c r="A210" s="153"/>
      <c r="B210" s="2496"/>
      <c r="C210" s="240" t="s">
        <v>1567</v>
      </c>
      <c r="D210" s="385">
        <f>(D203*9.81+(D206*4/(D208^2*PI())^2*0.5)+(D204-101.3))*D206*1000*100/(746*D207)</f>
        <v>111482.22893647291</v>
      </c>
      <c r="E210" s="467"/>
      <c r="F210" s="154"/>
      <c r="G210" s="240"/>
      <c r="H210" s="1272"/>
      <c r="I210" s="1251"/>
      <c r="J210" s="1252"/>
      <c r="K210" s="1278"/>
      <c r="L210" s="1251"/>
      <c r="M210" s="1253"/>
    </row>
    <row r="211" spans="1:13" ht="12.75">
      <c r="A211" s="153"/>
      <c r="B211" s="2496"/>
      <c r="C211" s="240" t="s">
        <v>1570</v>
      </c>
      <c r="D211" s="385">
        <f>D210*100/D209</f>
        <v>128140.49303042862</v>
      </c>
      <c r="E211" s="467" t="s">
        <v>1572</v>
      </c>
      <c r="F211" s="153"/>
      <c r="G211" s="240"/>
      <c r="H211" s="1272"/>
      <c r="I211" s="1251"/>
      <c r="J211" s="1252"/>
      <c r="K211" s="1278"/>
      <c r="L211" s="1251"/>
      <c r="M211" s="1253"/>
    </row>
    <row r="212" spans="1:13" ht="13.5" thickBot="1">
      <c r="A212" s="166"/>
      <c r="B212" s="2497"/>
      <c r="C212" s="463"/>
      <c r="D212" s="2000"/>
      <c r="E212" s="489"/>
      <c r="F212" s="465"/>
      <c r="G212" s="463"/>
      <c r="H212" s="1273"/>
      <c r="I212" s="1257"/>
      <c r="J212" s="1258"/>
      <c r="K212" s="1281"/>
      <c r="L212" s="1257"/>
      <c r="M212" s="1259"/>
    </row>
    <row r="213" spans="2:13" ht="12.75">
      <c r="B213" s="2496" t="s">
        <v>919</v>
      </c>
      <c r="C213" s="473" t="s">
        <v>1609</v>
      </c>
      <c r="D213" s="474"/>
      <c r="E213" s="474"/>
      <c r="F213" s="470"/>
      <c r="G213" s="469"/>
      <c r="H213" s="1276"/>
      <c r="I213" s="1262"/>
      <c r="J213" s="1263"/>
      <c r="K213" s="1275"/>
      <c r="L213" s="1262"/>
      <c r="M213" s="1267"/>
    </row>
    <row r="214" spans="2:13" ht="14.25">
      <c r="B214" s="2496"/>
      <c r="C214" s="240" t="s">
        <v>752</v>
      </c>
      <c r="D214" s="487">
        <v>60000</v>
      </c>
      <c r="E214" s="467" t="s">
        <v>662</v>
      </c>
      <c r="F214" s="478">
        <f>D214/3.785</f>
        <v>15852.047556142668</v>
      </c>
      <c r="G214" s="240" t="s">
        <v>1675</v>
      </c>
      <c r="H214" s="1277">
        <f>'{v}Clearwell'!C19</f>
        <v>8118781.160382317</v>
      </c>
      <c r="I214" s="1251">
        <f>H214/$C$8</f>
        <v>21.449884175382607</v>
      </c>
      <c r="J214" s="1252">
        <f>H214/$C$10</f>
        <v>81.19660605633507</v>
      </c>
      <c r="K214" s="1278"/>
      <c r="L214" s="1251"/>
      <c r="M214" s="1253"/>
    </row>
    <row r="215" spans="2:13" ht="14.25">
      <c r="B215" s="2496"/>
      <c r="C215" s="240" t="s">
        <v>935</v>
      </c>
      <c r="D215" s="487">
        <v>55000</v>
      </c>
      <c r="E215" s="467" t="s">
        <v>662</v>
      </c>
      <c r="F215" s="478">
        <f>D215/3.785</f>
        <v>14531.043593130778</v>
      </c>
      <c r="G215" s="240" t="s">
        <v>1675</v>
      </c>
      <c r="H215" s="1272">
        <f>'{v}Clearwell'!H19</f>
        <v>4317924.284855407</v>
      </c>
      <c r="I215" s="1251">
        <f>H215/$C$8</f>
        <v>11.407990184558537</v>
      </c>
      <c r="J215" s="1252">
        <f>H215/$C$10</f>
        <v>43.183920124529735</v>
      </c>
      <c r="K215" s="1278"/>
      <c r="L215" s="1251"/>
      <c r="M215" s="1253"/>
    </row>
    <row r="216" spans="2:13" ht="15" thickBot="1">
      <c r="B216" s="2505"/>
      <c r="C216" s="463" t="s">
        <v>753</v>
      </c>
      <c r="D216" s="488">
        <f>D8</f>
        <v>3785.0000000000005</v>
      </c>
      <c r="E216" s="489" t="s">
        <v>662</v>
      </c>
      <c r="F216" s="481">
        <f>D216/3.785</f>
        <v>1000.0000000000001</v>
      </c>
      <c r="G216" s="463" t="s">
        <v>1675</v>
      </c>
      <c r="H216" s="1273"/>
      <c r="I216" s="1257"/>
      <c r="J216" s="1258"/>
      <c r="K216" s="1281"/>
      <c r="L216" s="1257"/>
      <c r="M216" s="1259"/>
    </row>
  </sheetData>
  <mergeCells count="30">
    <mergeCell ref="N105:N116"/>
    <mergeCell ref="B213:B216"/>
    <mergeCell ref="B198:B212"/>
    <mergeCell ref="A64:A116"/>
    <mergeCell ref="B64:B95"/>
    <mergeCell ref="B104:B116"/>
    <mergeCell ref="B98:B103"/>
    <mergeCell ref="N181:N186"/>
    <mergeCell ref="N187:N192"/>
    <mergeCell ref="N193:N197"/>
    <mergeCell ref="H13:J13"/>
    <mergeCell ref="K13:M13"/>
    <mergeCell ref="E13:E14"/>
    <mergeCell ref="F13:G14"/>
    <mergeCell ref="D13:D14"/>
    <mergeCell ref="B117:B137"/>
    <mergeCell ref="B138:B197"/>
    <mergeCell ref="B31:B63"/>
    <mergeCell ref="B17:B30"/>
    <mergeCell ref="B15:B16"/>
    <mergeCell ref="C13:C14"/>
    <mergeCell ref="B13:B14"/>
    <mergeCell ref="B96:B97"/>
    <mergeCell ref="N172:N180"/>
    <mergeCell ref="N147:N151"/>
    <mergeCell ref="N138:N146"/>
    <mergeCell ref="N167:N171"/>
    <mergeCell ref="N162:N166"/>
    <mergeCell ref="N157:N161"/>
    <mergeCell ref="N152:N156"/>
  </mergeCells>
  <printOptions/>
  <pageMargins left="0.75" right="0.75" top="1" bottom="1" header="0.5" footer="0.5"/>
  <pageSetup fitToHeight="2" fitToWidth="1" horizontalDpi="600" verticalDpi="600" orientation="portrait" paperSize="17" scale="69" r:id="rId3"/>
  <legacyDrawing r:id="rId2"/>
</worksheet>
</file>

<file path=xl/worksheets/sheet11.xml><?xml version="1.0" encoding="utf-8"?>
<worksheet xmlns="http://schemas.openxmlformats.org/spreadsheetml/2006/main" xmlns:r="http://schemas.openxmlformats.org/officeDocument/2006/relationships">
  <sheetPr codeName="Sheet3">
    <pageSetUpPr fitToPage="1"/>
  </sheetPr>
  <dimension ref="A1:CZ98"/>
  <sheetViews>
    <sheetView zoomScaleSheetLayoutView="100" workbookViewId="0" topLeftCell="A4">
      <selection activeCell="B7" sqref="B7"/>
    </sheetView>
  </sheetViews>
  <sheetFormatPr defaultColWidth="9.140625" defaultRowHeight="12.75"/>
  <cols>
    <col min="1" max="1" width="30.00390625" style="407" customWidth="1"/>
    <col min="2" max="2" width="14.421875" style="407" bestFit="1" customWidth="1"/>
    <col min="3" max="3" width="39.421875" style="407" bestFit="1" customWidth="1"/>
    <col min="4" max="4" width="19.8515625" style="407" bestFit="1" customWidth="1"/>
    <col min="5" max="5" width="17.00390625" style="407" bestFit="1" customWidth="1"/>
    <col min="6" max="6" width="17.00390625" style="407" customWidth="1"/>
    <col min="7" max="7" width="14.00390625" style="407" bestFit="1" customWidth="1"/>
    <col min="8" max="9" width="16.7109375" style="407" bestFit="1" customWidth="1"/>
    <col min="10" max="11" width="16.421875" style="407" bestFit="1" customWidth="1"/>
    <col min="12" max="12" width="18.28125" style="407" bestFit="1" customWidth="1"/>
    <col min="13" max="13" width="44.57421875" style="407" bestFit="1" customWidth="1"/>
    <col min="14" max="14" width="21.57421875" style="407" customWidth="1"/>
    <col min="15" max="29" width="8.7109375" style="407" customWidth="1"/>
    <col min="30" max="30" width="8.7109375" style="2292" customWidth="1"/>
    <col min="31" max="85" width="8.7109375" style="407" customWidth="1"/>
    <col min="86" max="86" width="9.140625" style="407" bestFit="1" customWidth="1"/>
    <col min="87" max="88" width="8.7109375" style="407" customWidth="1"/>
    <col min="89" max="89" width="11.57421875" style="407" bestFit="1" customWidth="1"/>
    <col min="90" max="100" width="8.7109375" style="407" customWidth="1"/>
    <col min="101" max="101" width="9.140625" style="407" bestFit="1" customWidth="1"/>
    <col min="102" max="103" width="8.7109375" style="407" customWidth="1"/>
    <col min="104" max="104" width="14.421875" style="407" customWidth="1"/>
    <col min="105" max="16384" width="8.7109375" style="407" customWidth="1"/>
  </cols>
  <sheetData>
    <row r="1" spans="1:104" ht="30">
      <c r="A1" s="381" t="s">
        <v>846</v>
      </c>
      <c r="B1" s="382" t="s">
        <v>847</v>
      </c>
      <c r="BX1" s="407" t="s">
        <v>255</v>
      </c>
      <c r="CM1" s="2525" t="s">
        <v>256</v>
      </c>
      <c r="CN1" s="2525"/>
      <c r="CO1" s="2525"/>
      <c r="CP1" s="2525"/>
      <c r="CQ1" s="2525"/>
      <c r="CR1" s="2525"/>
      <c r="CS1" s="2525"/>
      <c r="CT1" s="2525"/>
      <c r="CU1" s="2525"/>
      <c r="CV1" s="2525"/>
      <c r="CW1" s="2525"/>
      <c r="CX1" s="2525"/>
      <c r="CY1" s="2525"/>
      <c r="CZ1" s="2525"/>
    </row>
    <row r="2" spans="1:104" ht="24.75" thickBot="1">
      <c r="A2" s="396" t="str">
        <f>'{a}Project &amp; Stage Info'!C3</f>
        <v>Model Development</v>
      </c>
      <c r="B2" s="397">
        <f>'{a}Project &amp; Stage Info'!C5</f>
        <v>38145</v>
      </c>
      <c r="O2" s="1"/>
      <c r="P2" s="2275" t="s">
        <v>1337</v>
      </c>
      <c r="Q2" s="2276"/>
      <c r="R2" s="2276"/>
      <c r="S2" s="2276"/>
      <c r="T2" s="2276"/>
      <c r="U2" s="2276"/>
      <c r="V2" s="2276"/>
      <c r="W2" s="2276"/>
      <c r="X2" s="2276"/>
      <c r="Y2" s="2276"/>
      <c r="Z2" s="2276"/>
      <c r="AA2" s="2276"/>
      <c r="AB2" s="2276"/>
      <c r="AC2" s="2276"/>
      <c r="AD2" s="1"/>
      <c r="AE2" s="2293" t="s">
        <v>1333</v>
      </c>
      <c r="AF2" s="2276"/>
      <c r="AG2" s="2276"/>
      <c r="AH2" s="2276"/>
      <c r="AI2" s="2276"/>
      <c r="AJ2" s="2276"/>
      <c r="AK2" s="2276"/>
      <c r="AL2" s="2276"/>
      <c r="AM2" s="2276"/>
      <c r="AN2" s="2276"/>
      <c r="AO2" s="2276"/>
      <c r="AP2" s="2276"/>
      <c r="AQ2" s="2276"/>
      <c r="AR2" s="2277"/>
      <c r="AT2" s="2275" t="s">
        <v>1338</v>
      </c>
      <c r="AU2" s="2276"/>
      <c r="AV2" s="2276"/>
      <c r="AW2" s="2276"/>
      <c r="AX2" s="2276"/>
      <c r="AY2" s="2276"/>
      <c r="AZ2" s="2276"/>
      <c r="BA2" s="2276"/>
      <c r="BB2" s="2276"/>
      <c r="BC2" s="2276"/>
      <c r="BD2" s="2276"/>
      <c r="BE2" s="2276"/>
      <c r="BF2" s="2276"/>
      <c r="BG2" s="2277"/>
      <c r="BI2" s="2275" t="s">
        <v>1349</v>
      </c>
      <c r="BJ2" s="2276"/>
      <c r="BK2" s="2276"/>
      <c r="BL2" s="2276"/>
      <c r="BM2" s="2276"/>
      <c r="BN2" s="2276"/>
      <c r="BO2" s="2276"/>
      <c r="BP2" s="2276"/>
      <c r="BQ2" s="2276"/>
      <c r="BR2" s="2276"/>
      <c r="BS2" s="2276"/>
      <c r="BT2" s="2276"/>
      <c r="BU2" s="2276"/>
      <c r="BV2" s="2277"/>
      <c r="BX2" s="2317"/>
      <c r="BY2" s="2318" t="s">
        <v>234</v>
      </c>
      <c r="BZ2" s="2318" t="s">
        <v>235</v>
      </c>
      <c r="CA2" s="2318" t="s">
        <v>236</v>
      </c>
      <c r="CB2" s="2318" t="s">
        <v>237</v>
      </c>
      <c r="CC2" s="2318" t="s">
        <v>238</v>
      </c>
      <c r="CD2" s="2318" t="s">
        <v>239</v>
      </c>
      <c r="CE2" s="2318" t="s">
        <v>240</v>
      </c>
      <c r="CF2" s="2318" t="s">
        <v>241</v>
      </c>
      <c r="CG2" s="2318" t="s">
        <v>242</v>
      </c>
      <c r="CH2" s="2318" t="s">
        <v>243</v>
      </c>
      <c r="CI2" s="2318" t="s">
        <v>244</v>
      </c>
      <c r="CJ2" s="2318" t="s">
        <v>245</v>
      </c>
      <c r="CK2" s="2318" t="s">
        <v>246</v>
      </c>
      <c r="CM2" s="2521"/>
      <c r="CN2" s="2521"/>
      <c r="CO2" s="2521"/>
      <c r="CP2" s="2521"/>
      <c r="CQ2" s="2521"/>
      <c r="CR2" s="2521"/>
      <c r="CS2" s="2521"/>
      <c r="CT2" s="2521"/>
      <c r="CU2" s="2521"/>
      <c r="CV2" s="2521"/>
      <c r="CW2" s="2521"/>
      <c r="CX2" s="2521"/>
      <c r="CY2" s="2521"/>
      <c r="CZ2" s="2521"/>
    </row>
    <row r="3" spans="15:104" s="639" customFormat="1" ht="15">
      <c r="O3" s="1"/>
      <c r="P3" s="2278" t="s">
        <v>1334</v>
      </c>
      <c r="Q3"/>
      <c r="R3"/>
      <c r="S3"/>
      <c r="T3"/>
      <c r="U3"/>
      <c r="V3"/>
      <c r="W3"/>
      <c r="X3"/>
      <c r="Y3"/>
      <c r="Z3"/>
      <c r="AA3"/>
      <c r="AB3"/>
      <c r="AC3" s="1"/>
      <c r="AD3" s="1"/>
      <c r="AE3" s="2288" t="s">
        <v>1334</v>
      </c>
      <c r="AF3"/>
      <c r="AG3"/>
      <c r="AH3"/>
      <c r="AI3"/>
      <c r="AJ3"/>
      <c r="AK3"/>
      <c r="AL3"/>
      <c r="AM3"/>
      <c r="AN3"/>
      <c r="AO3"/>
      <c r="AP3"/>
      <c r="AQ3"/>
      <c r="AR3" s="2279"/>
      <c r="AT3" s="2278" t="s">
        <v>1334</v>
      </c>
      <c r="AU3"/>
      <c r="AV3"/>
      <c r="AW3"/>
      <c r="AX3"/>
      <c r="AY3"/>
      <c r="AZ3"/>
      <c r="BA3"/>
      <c r="BB3"/>
      <c r="BC3"/>
      <c r="BD3"/>
      <c r="BE3"/>
      <c r="BF3"/>
      <c r="BG3" s="2279"/>
      <c r="BI3" s="2278" t="s">
        <v>1334</v>
      </c>
      <c r="BJ3"/>
      <c r="BK3"/>
      <c r="BL3"/>
      <c r="BM3"/>
      <c r="BN3"/>
      <c r="BO3"/>
      <c r="BP3"/>
      <c r="BQ3"/>
      <c r="BR3"/>
      <c r="BS3"/>
      <c r="BT3"/>
      <c r="BU3"/>
      <c r="BV3" s="2279"/>
      <c r="BX3" s="2320">
        <v>1990</v>
      </c>
      <c r="BY3" s="2321">
        <v>4680</v>
      </c>
      <c r="BZ3" s="2321">
        <v>4685</v>
      </c>
      <c r="CA3" s="2321">
        <v>4691</v>
      </c>
      <c r="CB3" s="2321">
        <v>4693</v>
      </c>
      <c r="CC3" s="2321">
        <v>4707</v>
      </c>
      <c r="CD3" s="2321">
        <v>4732</v>
      </c>
      <c r="CE3" s="2321">
        <v>4734</v>
      </c>
      <c r="CF3" s="2321">
        <v>4752</v>
      </c>
      <c r="CG3" s="2321">
        <v>4774</v>
      </c>
      <c r="CH3" s="2321">
        <v>4771</v>
      </c>
      <c r="CI3" s="2321">
        <v>4787</v>
      </c>
      <c r="CJ3" s="2321">
        <v>4777</v>
      </c>
      <c r="CK3" s="2321">
        <v>4732</v>
      </c>
      <c r="CM3" s="2521"/>
      <c r="CN3" s="2521"/>
      <c r="CO3" s="2521"/>
      <c r="CP3" s="2521"/>
      <c r="CQ3" s="2521"/>
      <c r="CR3" s="2521"/>
      <c r="CS3" s="2521"/>
      <c r="CT3" s="2521"/>
      <c r="CU3" s="2521"/>
      <c r="CV3" s="2521"/>
      <c r="CW3" s="2521"/>
      <c r="CX3" s="2521"/>
      <c r="CY3" s="2521"/>
      <c r="CZ3" s="2521"/>
    </row>
    <row r="4" spans="1:104" ht="18">
      <c r="A4" s="418" t="s">
        <v>767</v>
      </c>
      <c r="O4" s="1"/>
      <c r="P4" s="2280" t="s">
        <v>1303</v>
      </c>
      <c r="Q4"/>
      <c r="R4"/>
      <c r="S4"/>
      <c r="T4"/>
      <c r="U4"/>
      <c r="V4"/>
      <c r="W4"/>
      <c r="X4"/>
      <c r="Y4"/>
      <c r="Z4"/>
      <c r="AA4"/>
      <c r="AB4"/>
      <c r="AC4" s="1"/>
      <c r="AD4" s="1"/>
      <c r="AE4" s="2287" t="s">
        <v>1303</v>
      </c>
      <c r="AF4"/>
      <c r="AG4"/>
      <c r="AH4"/>
      <c r="AI4"/>
      <c r="AJ4"/>
      <c r="AK4"/>
      <c r="AL4"/>
      <c r="AM4"/>
      <c r="AN4"/>
      <c r="AO4"/>
      <c r="AP4"/>
      <c r="AQ4"/>
      <c r="AR4" s="2279"/>
      <c r="AT4" s="2280" t="s">
        <v>1339</v>
      </c>
      <c r="AU4"/>
      <c r="AV4"/>
      <c r="AW4"/>
      <c r="AX4"/>
      <c r="AY4"/>
      <c r="AZ4"/>
      <c r="BA4"/>
      <c r="BB4"/>
      <c r="BC4"/>
      <c r="BD4"/>
      <c r="BE4"/>
      <c r="BF4"/>
      <c r="BG4" s="2279"/>
      <c r="BI4" s="2280" t="s">
        <v>1324</v>
      </c>
      <c r="BJ4"/>
      <c r="BK4"/>
      <c r="BL4"/>
      <c r="BM4"/>
      <c r="BN4"/>
      <c r="BO4"/>
      <c r="BP4"/>
      <c r="BQ4"/>
      <c r="BR4"/>
      <c r="BS4"/>
      <c r="BT4"/>
      <c r="BU4"/>
      <c r="BV4" s="2279"/>
      <c r="BX4" s="2320">
        <v>1991</v>
      </c>
      <c r="BY4" s="2321">
        <v>4777</v>
      </c>
      <c r="BZ4" s="2321">
        <v>4773</v>
      </c>
      <c r="CA4" s="2321">
        <v>4772</v>
      </c>
      <c r="CB4" s="2321">
        <v>4766</v>
      </c>
      <c r="CC4" s="2321">
        <v>4801</v>
      </c>
      <c r="CD4" s="2321">
        <v>4818</v>
      </c>
      <c r="CE4" s="2321">
        <v>4854</v>
      </c>
      <c r="CF4" s="2321">
        <v>4892</v>
      </c>
      <c r="CG4" s="2321">
        <v>4891</v>
      </c>
      <c r="CH4" s="2321">
        <v>4892</v>
      </c>
      <c r="CI4" s="2321">
        <v>4896</v>
      </c>
      <c r="CJ4" s="2321">
        <v>4889</v>
      </c>
      <c r="CK4" s="2321">
        <v>4835</v>
      </c>
      <c r="CM4" s="2526" t="s">
        <v>257</v>
      </c>
      <c r="CN4" s="2526"/>
      <c r="CO4" s="2526"/>
      <c r="CP4" s="2526"/>
      <c r="CQ4" s="2526"/>
      <c r="CR4" s="2526"/>
      <c r="CS4" s="2526"/>
      <c r="CT4" s="2526"/>
      <c r="CU4" s="2526"/>
      <c r="CV4" s="2526"/>
      <c r="CW4" s="2526"/>
      <c r="CX4" s="2526"/>
      <c r="CY4" s="2526"/>
      <c r="CZ4" s="2526"/>
    </row>
    <row r="5" spans="2:104" s="639" customFormat="1" ht="15.75" thickBot="1">
      <c r="B5" s="1842" t="s">
        <v>980</v>
      </c>
      <c r="C5" s="1842" t="s">
        <v>981</v>
      </c>
      <c r="O5" s="1"/>
      <c r="P5" s="2280" t="s">
        <v>1304</v>
      </c>
      <c r="Q5"/>
      <c r="R5"/>
      <c r="S5"/>
      <c r="T5"/>
      <c r="U5"/>
      <c r="V5"/>
      <c r="W5"/>
      <c r="X5"/>
      <c r="Y5"/>
      <c r="Z5"/>
      <c r="AA5"/>
      <c r="AB5"/>
      <c r="AC5" s="1"/>
      <c r="AD5" s="1"/>
      <c r="AE5" s="2287" t="s">
        <v>1335</v>
      </c>
      <c r="AF5"/>
      <c r="AG5"/>
      <c r="AH5"/>
      <c r="AI5"/>
      <c r="AJ5"/>
      <c r="AK5"/>
      <c r="AL5"/>
      <c r="AM5"/>
      <c r="AN5"/>
      <c r="AO5"/>
      <c r="AP5"/>
      <c r="AQ5"/>
      <c r="AR5" s="2279"/>
      <c r="AT5" s="2280" t="s">
        <v>1340</v>
      </c>
      <c r="AU5"/>
      <c r="AV5"/>
      <c r="AW5"/>
      <c r="AX5"/>
      <c r="AY5"/>
      <c r="AZ5"/>
      <c r="BA5"/>
      <c r="BB5"/>
      <c r="BC5"/>
      <c r="BD5"/>
      <c r="BE5"/>
      <c r="BF5"/>
      <c r="BG5" s="2279"/>
      <c r="BI5" s="2280" t="s">
        <v>1325</v>
      </c>
      <c r="BJ5"/>
      <c r="BK5"/>
      <c r="BL5"/>
      <c r="BM5"/>
      <c r="BN5"/>
      <c r="BO5"/>
      <c r="BP5"/>
      <c r="BQ5"/>
      <c r="BR5"/>
      <c r="BS5"/>
      <c r="BT5"/>
      <c r="BU5"/>
      <c r="BV5" s="2279"/>
      <c r="BX5" s="2320">
        <v>1992</v>
      </c>
      <c r="BY5" s="2321">
        <v>4888</v>
      </c>
      <c r="BZ5" s="2321">
        <v>4884</v>
      </c>
      <c r="CA5" s="2321">
        <v>4927</v>
      </c>
      <c r="CB5" s="2321">
        <v>4946</v>
      </c>
      <c r="CC5" s="2321">
        <v>4965</v>
      </c>
      <c r="CD5" s="2321">
        <v>4973</v>
      </c>
      <c r="CE5" s="2321">
        <v>4992</v>
      </c>
      <c r="CF5" s="2321">
        <v>5032</v>
      </c>
      <c r="CG5" s="2321">
        <v>5042</v>
      </c>
      <c r="CH5" s="2321">
        <v>5052</v>
      </c>
      <c r="CI5" s="2321">
        <v>5058</v>
      </c>
      <c r="CJ5" s="2321">
        <v>5059</v>
      </c>
      <c r="CK5" s="2321">
        <v>4985</v>
      </c>
      <c r="CM5" s="2326" t="s">
        <v>258</v>
      </c>
      <c r="CN5" s="2326"/>
      <c r="CO5" s="2326"/>
      <c r="CP5" s="2326"/>
      <c r="CQ5" s="2326"/>
      <c r="CR5" s="2326"/>
      <c r="CS5" s="2326"/>
      <c r="CT5" s="2326"/>
      <c r="CU5" s="2326"/>
      <c r="CV5" s="2326"/>
      <c r="CW5" s="2326"/>
      <c r="CX5" s="2326"/>
      <c r="CY5" s="2326"/>
      <c r="CZ5" s="2326"/>
    </row>
    <row r="6" spans="1:104" ht="14.25" thickBot="1">
      <c r="A6" s="491" t="s">
        <v>676</v>
      </c>
      <c r="B6" s="625" t="s">
        <v>423</v>
      </c>
      <c r="C6" s="1841">
        <v>2006</v>
      </c>
      <c r="O6" s="1"/>
      <c r="P6" s="2280" t="s">
        <v>1305</v>
      </c>
      <c r="Q6"/>
      <c r="R6"/>
      <c r="S6"/>
      <c r="T6"/>
      <c r="U6"/>
      <c r="V6"/>
      <c r="W6"/>
      <c r="X6"/>
      <c r="Y6"/>
      <c r="Z6"/>
      <c r="AA6"/>
      <c r="AB6"/>
      <c r="AC6" s="1"/>
      <c r="AD6" s="1"/>
      <c r="AE6" s="2287" t="s">
        <v>1305</v>
      </c>
      <c r="AF6"/>
      <c r="AG6"/>
      <c r="AH6"/>
      <c r="AI6"/>
      <c r="AJ6"/>
      <c r="AK6"/>
      <c r="AL6"/>
      <c r="AM6"/>
      <c r="AN6"/>
      <c r="AO6"/>
      <c r="AP6"/>
      <c r="AQ6"/>
      <c r="AR6" s="2279"/>
      <c r="AT6" s="2280" t="s">
        <v>1305</v>
      </c>
      <c r="AU6"/>
      <c r="AV6"/>
      <c r="AW6"/>
      <c r="AX6"/>
      <c r="AY6"/>
      <c r="AZ6"/>
      <c r="BA6"/>
      <c r="BB6"/>
      <c r="BC6"/>
      <c r="BD6"/>
      <c r="BE6"/>
      <c r="BF6"/>
      <c r="BG6" s="2279"/>
      <c r="BI6" s="2280" t="s">
        <v>1350</v>
      </c>
      <c r="BJ6"/>
      <c r="BK6"/>
      <c r="BL6"/>
      <c r="BM6"/>
      <c r="BN6"/>
      <c r="BO6"/>
      <c r="BP6"/>
      <c r="BQ6"/>
      <c r="BR6"/>
      <c r="BS6"/>
      <c r="BT6"/>
      <c r="BU6"/>
      <c r="BV6" s="2279"/>
      <c r="BX6" s="2320">
        <v>1993</v>
      </c>
      <c r="BY6" s="2321">
        <v>5071</v>
      </c>
      <c r="BZ6" s="2321">
        <v>5070</v>
      </c>
      <c r="CA6" s="2321">
        <v>5106</v>
      </c>
      <c r="CB6" s="2321">
        <v>5167</v>
      </c>
      <c r="CC6" s="2321">
        <v>5262</v>
      </c>
      <c r="CD6" s="2321">
        <v>5260</v>
      </c>
      <c r="CE6" s="2321">
        <v>5252</v>
      </c>
      <c r="CF6" s="2321">
        <v>5230</v>
      </c>
      <c r="CG6" s="2321">
        <v>5255</v>
      </c>
      <c r="CH6" s="2321">
        <v>5264</v>
      </c>
      <c r="CI6" s="2321">
        <v>5278</v>
      </c>
      <c r="CJ6" s="2321">
        <v>5310</v>
      </c>
      <c r="CK6" s="2321">
        <v>5210</v>
      </c>
      <c r="CM6" s="2521"/>
      <c r="CN6" s="2521"/>
      <c r="CO6" s="2521"/>
      <c r="CP6" s="2521"/>
      <c r="CQ6" s="2521"/>
      <c r="CR6" s="2521"/>
      <c r="CS6" s="2521"/>
      <c r="CT6" s="2521"/>
      <c r="CU6" s="2521"/>
      <c r="CV6" s="2521"/>
      <c r="CW6" s="2521"/>
      <c r="CX6" s="2521"/>
      <c r="CY6" s="2316"/>
      <c r="CZ6" s="2316"/>
    </row>
    <row r="7" spans="1:104" ht="14.25" thickBot="1">
      <c r="A7" s="491"/>
      <c r="E7" s="407" t="s">
        <v>990</v>
      </c>
      <c r="O7" s="2296"/>
      <c r="P7" s="2510"/>
      <c r="Q7" s="2511"/>
      <c r="R7" s="2511"/>
      <c r="S7" s="2511"/>
      <c r="T7" s="2511"/>
      <c r="U7" s="2511"/>
      <c r="V7" s="2511"/>
      <c r="W7" s="2511"/>
      <c r="X7" s="2511"/>
      <c r="Y7" s="2511"/>
      <c r="Z7" s="2511"/>
      <c r="AA7" s="2511"/>
      <c r="AB7" s="2511"/>
      <c r="AC7" s="2512"/>
      <c r="AD7" s="2300"/>
      <c r="AE7" s="2510"/>
      <c r="AF7" s="2511"/>
      <c r="AG7" s="2511"/>
      <c r="AH7" s="2511"/>
      <c r="AI7" s="2511"/>
      <c r="AJ7" s="2511"/>
      <c r="AK7" s="2511"/>
      <c r="AL7" s="2511"/>
      <c r="AM7" s="2511"/>
      <c r="AN7" s="2511"/>
      <c r="AO7" s="2511"/>
      <c r="AP7" s="2511"/>
      <c r="AQ7" s="2511"/>
      <c r="AR7" s="2512"/>
      <c r="AT7" s="2510"/>
      <c r="AU7" s="2511"/>
      <c r="AV7" s="2511"/>
      <c r="AW7" s="2511"/>
      <c r="AX7" s="2511"/>
      <c r="AY7" s="2511"/>
      <c r="AZ7" s="2511"/>
      <c r="BA7" s="2511"/>
      <c r="BB7" s="2511"/>
      <c r="BC7" s="2511"/>
      <c r="BD7" s="2511"/>
      <c r="BE7" s="2511"/>
      <c r="BF7" s="2511"/>
      <c r="BG7" s="2512"/>
      <c r="BI7" s="2510"/>
      <c r="BJ7" s="2511"/>
      <c r="BK7" s="2511"/>
      <c r="BL7" s="2511"/>
      <c r="BM7" s="2511"/>
      <c r="BN7" s="2511"/>
      <c r="BO7" s="2511"/>
      <c r="BP7" s="2511"/>
      <c r="BQ7" s="2511"/>
      <c r="BR7" s="2511"/>
      <c r="BS7" s="2511"/>
      <c r="BT7" s="2511"/>
      <c r="BU7" s="2511"/>
      <c r="BV7" s="2512"/>
      <c r="BX7" s="2320">
        <v>1994</v>
      </c>
      <c r="BY7" s="2321">
        <v>5336</v>
      </c>
      <c r="BZ7" s="2321">
        <v>5371</v>
      </c>
      <c r="CA7" s="2321">
        <v>5381</v>
      </c>
      <c r="CB7" s="2321">
        <v>5405</v>
      </c>
      <c r="CC7" s="2321">
        <v>5405</v>
      </c>
      <c r="CD7" s="2321">
        <v>5408</v>
      </c>
      <c r="CE7" s="2321">
        <v>5409</v>
      </c>
      <c r="CF7" s="2321">
        <v>5424</v>
      </c>
      <c r="CG7" s="2321">
        <v>5437</v>
      </c>
      <c r="CH7" s="2321">
        <v>5437</v>
      </c>
      <c r="CI7" s="2321">
        <v>5439</v>
      </c>
      <c r="CJ7" s="2321">
        <v>5439</v>
      </c>
      <c r="CK7" s="2321">
        <v>5408</v>
      </c>
      <c r="CM7" s="2521"/>
      <c r="CN7" s="2521"/>
      <c r="CO7" s="2521"/>
      <c r="CP7" s="2521"/>
      <c r="CQ7" s="2521"/>
      <c r="CR7" s="2521"/>
      <c r="CS7" s="2521"/>
      <c r="CT7" s="2521"/>
      <c r="CU7" s="2521"/>
      <c r="CV7" s="2521"/>
      <c r="CW7" s="2521"/>
      <c r="CX7" s="2521"/>
      <c r="CY7" s="2316"/>
      <c r="CZ7" s="2316"/>
    </row>
    <row r="8" spans="1:104" s="2309" customFormat="1" ht="39" thickBot="1">
      <c r="A8" s="2305" t="s">
        <v>1755</v>
      </c>
      <c r="B8" s="2306" t="str">
        <f>B6&amp;" "&amp;C6</f>
        <v>November 2006</v>
      </c>
      <c r="C8" s="2359" t="s">
        <v>1062</v>
      </c>
      <c r="D8" s="2308" t="s">
        <v>1042</v>
      </c>
      <c r="E8" s="2308" t="s">
        <v>989</v>
      </c>
      <c r="F8" s="2308" t="s">
        <v>1043</v>
      </c>
      <c r="G8" s="2370" t="s">
        <v>1363</v>
      </c>
      <c r="H8" s="2370" t="s">
        <v>1041</v>
      </c>
      <c r="I8" s="2370" t="s">
        <v>1370</v>
      </c>
      <c r="J8" s="2370" t="s">
        <v>1364</v>
      </c>
      <c r="K8" s="2370" t="s">
        <v>1365</v>
      </c>
      <c r="L8" s="2371" t="s">
        <v>1362</v>
      </c>
      <c r="M8" s="2371" t="s">
        <v>264</v>
      </c>
      <c r="N8" s="2307" t="s">
        <v>1788</v>
      </c>
      <c r="O8" s="2289"/>
      <c r="P8" s="2281" t="s">
        <v>981</v>
      </c>
      <c r="Q8" s="2281" t="s">
        <v>1306</v>
      </c>
      <c r="R8" s="2281" t="s">
        <v>1307</v>
      </c>
      <c r="S8" s="2281" t="s">
        <v>1308</v>
      </c>
      <c r="T8" s="2281" t="s">
        <v>1309</v>
      </c>
      <c r="U8" s="2281" t="s">
        <v>1310</v>
      </c>
      <c r="V8" s="2281" t="s">
        <v>1311</v>
      </c>
      <c r="W8" s="2281" t="s">
        <v>1312</v>
      </c>
      <c r="X8" s="2281" t="s">
        <v>1313</v>
      </c>
      <c r="Y8" s="2281" t="s">
        <v>1314</v>
      </c>
      <c r="Z8" s="2281" t="s">
        <v>1315</v>
      </c>
      <c r="AA8" s="2281" t="s">
        <v>1316</v>
      </c>
      <c r="AB8" s="2281" t="s">
        <v>1317</v>
      </c>
      <c r="AC8" s="2298" t="s">
        <v>1318</v>
      </c>
      <c r="AD8" s="2289"/>
      <c r="AE8" s="2294" t="s">
        <v>981</v>
      </c>
      <c r="AF8" s="2281" t="s">
        <v>1306</v>
      </c>
      <c r="AG8" s="2281" t="s">
        <v>1307</v>
      </c>
      <c r="AH8" s="2281" t="s">
        <v>1308</v>
      </c>
      <c r="AI8" s="2281" t="s">
        <v>1309</v>
      </c>
      <c r="AJ8" s="2281" t="s">
        <v>1310</v>
      </c>
      <c r="AK8" s="2281" t="s">
        <v>1311</v>
      </c>
      <c r="AL8" s="2281" t="s">
        <v>1312</v>
      </c>
      <c r="AM8" s="2281" t="s">
        <v>1313</v>
      </c>
      <c r="AN8" s="2281" t="s">
        <v>1314</v>
      </c>
      <c r="AO8" s="2281" t="s">
        <v>1315</v>
      </c>
      <c r="AP8" s="2281" t="s">
        <v>1316</v>
      </c>
      <c r="AQ8" s="2281" t="s">
        <v>1317</v>
      </c>
      <c r="AR8" s="2281" t="s">
        <v>1318</v>
      </c>
      <c r="AT8" s="2281" t="s">
        <v>981</v>
      </c>
      <c r="AU8" s="2281" t="s">
        <v>1306</v>
      </c>
      <c r="AV8" s="2281" t="s">
        <v>1307</v>
      </c>
      <c r="AW8" s="2281" t="s">
        <v>1308</v>
      </c>
      <c r="AX8" s="2281" t="s">
        <v>1309</v>
      </c>
      <c r="AY8" s="2281" t="s">
        <v>1310</v>
      </c>
      <c r="AZ8" s="2281" t="s">
        <v>1311</v>
      </c>
      <c r="BA8" s="2281" t="s">
        <v>1312</v>
      </c>
      <c r="BB8" s="2281" t="s">
        <v>1313</v>
      </c>
      <c r="BC8" s="2281" t="s">
        <v>1314</v>
      </c>
      <c r="BD8" s="2281" t="s">
        <v>1315</v>
      </c>
      <c r="BE8" s="2281" t="s">
        <v>1316</v>
      </c>
      <c r="BF8" s="2281" t="s">
        <v>1317</v>
      </c>
      <c r="BG8" s="2281" t="s">
        <v>1318</v>
      </c>
      <c r="BI8" s="2281" t="s">
        <v>981</v>
      </c>
      <c r="BJ8" s="2281" t="s">
        <v>1306</v>
      </c>
      <c r="BK8" s="2281" t="s">
        <v>1307</v>
      </c>
      <c r="BL8" s="2281" t="s">
        <v>1308</v>
      </c>
      <c r="BM8" s="2281" t="s">
        <v>1309</v>
      </c>
      <c r="BN8" s="2281" t="s">
        <v>1310</v>
      </c>
      <c r="BO8" s="2281" t="s">
        <v>1311</v>
      </c>
      <c r="BP8" s="2281" t="s">
        <v>1312</v>
      </c>
      <c r="BQ8" s="2281" t="s">
        <v>1313</v>
      </c>
      <c r="BR8" s="2281" t="s">
        <v>1314</v>
      </c>
      <c r="BS8" s="2281" t="s">
        <v>1315</v>
      </c>
      <c r="BT8" s="2281" t="s">
        <v>1316</v>
      </c>
      <c r="BU8" s="2281" t="s">
        <v>1317</v>
      </c>
      <c r="BV8" s="2281" t="s">
        <v>1318</v>
      </c>
      <c r="BX8" s="2320">
        <v>1995</v>
      </c>
      <c r="BY8" s="2321">
        <v>5443</v>
      </c>
      <c r="BZ8" s="2321">
        <v>5444</v>
      </c>
      <c r="CA8" s="2321">
        <v>5435</v>
      </c>
      <c r="CB8" s="2321">
        <v>5432</v>
      </c>
      <c r="CC8" s="2321">
        <v>5433</v>
      </c>
      <c r="CD8" s="2321">
        <v>5432</v>
      </c>
      <c r="CE8" s="2321">
        <v>5484</v>
      </c>
      <c r="CF8" s="2321">
        <v>5506</v>
      </c>
      <c r="CG8" s="2321">
        <v>5491</v>
      </c>
      <c r="CH8" s="2321">
        <v>5511</v>
      </c>
      <c r="CI8" s="2321" t="s">
        <v>247</v>
      </c>
      <c r="CJ8" s="2321">
        <v>5524</v>
      </c>
      <c r="CK8" s="2321">
        <v>5471</v>
      </c>
      <c r="CM8" s="2521"/>
      <c r="CN8" s="2521"/>
      <c r="CO8" s="2521"/>
      <c r="CP8" s="2521"/>
      <c r="CQ8" s="2521"/>
      <c r="CR8" s="2521"/>
      <c r="CS8" s="2521"/>
      <c r="CT8" s="2521"/>
      <c r="CU8" s="2521"/>
      <c r="CV8" s="2521"/>
      <c r="CW8" s="2521"/>
      <c r="CX8" s="2521"/>
      <c r="CY8" s="2316"/>
      <c r="CZ8" s="2316"/>
    </row>
    <row r="9" spans="1:104" ht="13.5" thickTop="1">
      <c r="A9" s="1844" t="s">
        <v>1059</v>
      </c>
      <c r="B9" s="2356"/>
      <c r="C9" s="2360"/>
      <c r="D9" s="2353"/>
      <c r="E9" s="2353"/>
      <c r="F9" s="2352"/>
      <c r="G9" s="2310"/>
      <c r="H9" s="2310"/>
      <c r="I9" s="2310"/>
      <c r="J9" s="2310"/>
      <c r="K9" s="2310"/>
      <c r="L9" s="2310"/>
      <c r="M9" s="2310"/>
      <c r="N9" s="1845"/>
      <c r="O9" s="2290"/>
      <c r="P9" s="2282">
        <v>1982</v>
      </c>
      <c r="Q9" s="2283">
        <v>98.8</v>
      </c>
      <c r="R9" s="2283">
        <v>98.9</v>
      </c>
      <c r="S9" s="2283">
        <v>99.2</v>
      </c>
      <c r="T9" s="2283">
        <v>99.7</v>
      </c>
      <c r="U9" s="2283">
        <v>99.9</v>
      </c>
      <c r="V9" s="2283">
        <v>100</v>
      </c>
      <c r="W9" s="2283">
        <v>99.9</v>
      </c>
      <c r="X9" s="2283">
        <v>100.1</v>
      </c>
      <c r="Y9" s="2283">
        <v>100.3</v>
      </c>
      <c r="Z9" s="2283">
        <v>100.7</v>
      </c>
      <c r="AA9" s="2283">
        <v>101.3</v>
      </c>
      <c r="AB9" s="2283">
        <v>101.5</v>
      </c>
      <c r="AC9" s="2285"/>
      <c r="AD9" s="2290"/>
      <c r="AE9" s="2295">
        <v>1977</v>
      </c>
      <c r="AF9" s="2283">
        <v>65</v>
      </c>
      <c r="AG9" s="2283">
        <v>65.5</v>
      </c>
      <c r="AH9" s="2283">
        <v>66</v>
      </c>
      <c r="AI9" s="2283">
        <v>66.1</v>
      </c>
      <c r="AJ9" s="2283">
        <v>66.8</v>
      </c>
      <c r="AK9" s="2283">
        <v>66.7</v>
      </c>
      <c r="AL9" s="2283">
        <v>67</v>
      </c>
      <c r="AM9" s="2283">
        <v>67.3</v>
      </c>
      <c r="AN9" s="2283">
        <v>67.3</v>
      </c>
      <c r="AO9" s="2283">
        <v>67.6</v>
      </c>
      <c r="AP9" s="2283">
        <v>68.2</v>
      </c>
      <c r="AQ9" s="2283">
        <v>68.3</v>
      </c>
      <c r="AR9" s="2283"/>
      <c r="AT9" s="2282">
        <v>1978</v>
      </c>
      <c r="AU9" s="2283">
        <v>67.2</v>
      </c>
      <c r="AV9" s="2283">
        <v>67.5</v>
      </c>
      <c r="AW9" s="2283">
        <v>68</v>
      </c>
      <c r="AX9" s="2283">
        <v>68.9</v>
      </c>
      <c r="AY9" s="2283">
        <v>69.2</v>
      </c>
      <c r="AZ9" s="2283">
        <v>69.8</v>
      </c>
      <c r="BA9" s="2283">
        <v>70.4</v>
      </c>
      <c r="BB9" s="2283">
        <v>71.1</v>
      </c>
      <c r="BC9" s="2283">
        <v>71.7</v>
      </c>
      <c r="BD9" s="2283">
        <v>72.5</v>
      </c>
      <c r="BE9" s="2283">
        <v>73.3</v>
      </c>
      <c r="BF9" s="2283">
        <v>73.7</v>
      </c>
      <c r="BG9" s="2283"/>
      <c r="BI9" s="2282">
        <v>1978</v>
      </c>
      <c r="BJ9" s="2283">
        <v>236.8</v>
      </c>
      <c r="BK9" s="2283">
        <v>246.6</v>
      </c>
      <c r="BL9" s="2283">
        <v>249</v>
      </c>
      <c r="BM9" s="2283">
        <v>252.4</v>
      </c>
      <c r="BN9" s="2283">
        <v>253.8</v>
      </c>
      <c r="BO9" s="2283">
        <v>254.9</v>
      </c>
      <c r="BP9" s="2283">
        <v>252.1</v>
      </c>
      <c r="BQ9" s="2283">
        <v>259.5</v>
      </c>
      <c r="BR9" s="2283">
        <v>260.8</v>
      </c>
      <c r="BS9" s="2283">
        <v>262.1</v>
      </c>
      <c r="BT9" s="2283">
        <v>263.6</v>
      </c>
      <c r="BU9" s="2283">
        <v>264.2</v>
      </c>
      <c r="BV9" s="2283"/>
      <c r="BX9" s="2320">
        <v>1996</v>
      </c>
      <c r="BY9" s="2321">
        <v>5523</v>
      </c>
      <c r="BZ9" s="2321">
        <v>5532</v>
      </c>
      <c r="CA9" s="2321">
        <v>5537</v>
      </c>
      <c r="CB9" s="2321">
        <v>5550</v>
      </c>
      <c r="CC9" s="2321">
        <v>5572</v>
      </c>
      <c r="CD9" s="2321">
        <v>5597</v>
      </c>
      <c r="CE9" s="2410" t="s">
        <v>248</v>
      </c>
      <c r="CF9" s="2321">
        <v>5652</v>
      </c>
      <c r="CG9" s="2321">
        <v>5683</v>
      </c>
      <c r="CH9" s="2321">
        <v>5719</v>
      </c>
      <c r="CI9" s="2321">
        <v>5740</v>
      </c>
      <c r="CJ9" s="2321">
        <v>5744</v>
      </c>
      <c r="CK9" s="2321">
        <v>5620</v>
      </c>
      <c r="CM9" s="2522"/>
      <c r="CN9" s="2523" t="s">
        <v>234</v>
      </c>
      <c r="CO9" s="2523" t="s">
        <v>235</v>
      </c>
      <c r="CP9" s="2523" t="s">
        <v>236</v>
      </c>
      <c r="CQ9" s="2523" t="s">
        <v>237</v>
      </c>
      <c r="CR9" s="2523" t="s">
        <v>238</v>
      </c>
      <c r="CS9" s="2523" t="s">
        <v>239</v>
      </c>
      <c r="CT9" s="2523" t="s">
        <v>240</v>
      </c>
      <c r="CU9" s="2523" t="s">
        <v>241</v>
      </c>
      <c r="CV9" s="2523" t="s">
        <v>242</v>
      </c>
      <c r="CW9" s="2523" t="s">
        <v>243</v>
      </c>
      <c r="CX9" s="2523" t="s">
        <v>244</v>
      </c>
      <c r="CY9" s="2523" t="s">
        <v>245</v>
      </c>
      <c r="CZ9" s="2322" t="s">
        <v>259</v>
      </c>
    </row>
    <row r="10" spans="1:104" ht="12.75">
      <c r="A10" s="415" t="s">
        <v>286</v>
      </c>
      <c r="B10" s="1734">
        <v>7910.81</v>
      </c>
      <c r="C10" s="2361" t="s">
        <v>1072</v>
      </c>
      <c r="D10" s="1852">
        <f>ENR_CCI/H10</f>
        <v>2.7750801568759518</v>
      </c>
      <c r="E10" s="1850">
        <f>ENR_CCI/5432</f>
        <v>1.4563346833578794</v>
      </c>
      <c r="F10" s="2312"/>
      <c r="G10" s="2312"/>
      <c r="H10" s="2314">
        <v>2850.66</v>
      </c>
      <c r="I10" s="2312">
        <v>265.38</v>
      </c>
      <c r="J10" s="1850">
        <f>Z33</f>
        <v>72.3</v>
      </c>
      <c r="K10" s="1850">
        <f>L10</f>
        <v>221.3</v>
      </c>
      <c r="L10" s="2152">
        <v>221.3</v>
      </c>
      <c r="M10" s="2151" t="s">
        <v>1091</v>
      </c>
      <c r="N10" s="2146">
        <v>3384.0510570402876</v>
      </c>
      <c r="O10" s="2291"/>
      <c r="P10" s="2282">
        <v>1983</v>
      </c>
      <c r="Q10" s="2284">
        <v>101.6</v>
      </c>
      <c r="R10" s="2284">
        <v>102.3</v>
      </c>
      <c r="S10" s="2284">
        <v>102.4</v>
      </c>
      <c r="T10" s="2284">
        <v>102.6</v>
      </c>
      <c r="U10" s="2284">
        <v>103</v>
      </c>
      <c r="V10" s="2284">
        <v>103.2</v>
      </c>
      <c r="W10" s="2284">
        <v>104.4</v>
      </c>
      <c r="X10" s="2284">
        <v>104.4</v>
      </c>
      <c r="Y10" s="2284">
        <v>105</v>
      </c>
      <c r="Z10" s="2284">
        <v>104.9</v>
      </c>
      <c r="AA10" s="2284">
        <v>105.1</v>
      </c>
      <c r="AB10" s="2284">
        <v>105.5</v>
      </c>
      <c r="AC10" s="2299"/>
      <c r="AD10" s="2291"/>
      <c r="AE10" s="2295">
        <v>1978</v>
      </c>
      <c r="AF10" s="2284">
        <v>69</v>
      </c>
      <c r="AG10" s="2284">
        <v>69.6</v>
      </c>
      <c r="AH10" s="2284">
        <v>69.8</v>
      </c>
      <c r="AI10" s="2284">
        <v>69.9</v>
      </c>
      <c r="AJ10" s="2284">
        <v>70.3</v>
      </c>
      <c r="AK10" s="2284">
        <v>71</v>
      </c>
      <c r="AL10" s="2284">
        <v>71.8</v>
      </c>
      <c r="AM10" s="2284">
        <v>72.1</v>
      </c>
      <c r="AN10" s="2284">
        <v>72.7</v>
      </c>
      <c r="AO10" s="2284">
        <v>73.4</v>
      </c>
      <c r="AP10" s="2284">
        <v>75.1</v>
      </c>
      <c r="AQ10" s="2284">
        <v>75.5</v>
      </c>
      <c r="AR10" s="2284"/>
      <c r="AT10" s="2282">
        <v>1979</v>
      </c>
      <c r="AU10" s="2284">
        <v>75.4</v>
      </c>
      <c r="AV10" s="2284">
        <v>76.3</v>
      </c>
      <c r="AW10" s="2284">
        <v>77</v>
      </c>
      <c r="AX10" s="2284">
        <v>76.9</v>
      </c>
      <c r="AY10" s="2284">
        <v>77.5</v>
      </c>
      <c r="AZ10" s="2284">
        <v>78.2</v>
      </c>
      <c r="BA10" s="2284">
        <v>78.8</v>
      </c>
      <c r="BB10" s="2284">
        <v>79.4</v>
      </c>
      <c r="BC10" s="2284">
        <v>80.1</v>
      </c>
      <c r="BD10" s="2284">
        <v>81</v>
      </c>
      <c r="BE10" s="2284">
        <v>81.8</v>
      </c>
      <c r="BF10" s="2284">
        <v>82.6</v>
      </c>
      <c r="BG10" s="2284"/>
      <c r="BI10" s="2282">
        <v>1979</v>
      </c>
      <c r="BJ10" s="2284">
        <v>270.4</v>
      </c>
      <c r="BK10" s="2284">
        <v>271.8</v>
      </c>
      <c r="BL10" s="2284">
        <v>272.5</v>
      </c>
      <c r="BM10" s="2284">
        <v>273.4</v>
      </c>
      <c r="BN10" s="2284">
        <v>276.1</v>
      </c>
      <c r="BO10" s="2284">
        <v>278.7</v>
      </c>
      <c r="BP10" s="2284">
        <v>282.1</v>
      </c>
      <c r="BQ10" s="2284">
        <v>284.1</v>
      </c>
      <c r="BR10" s="2284">
        <v>285.7</v>
      </c>
      <c r="BS10" s="2284">
        <v>288.3</v>
      </c>
      <c r="BT10" s="2284">
        <v>290.8</v>
      </c>
      <c r="BU10" s="2284">
        <v>291.6</v>
      </c>
      <c r="BV10" s="2284"/>
      <c r="BX10" s="2320">
        <v>1997</v>
      </c>
      <c r="BY10" s="2321">
        <v>5765</v>
      </c>
      <c r="BZ10" s="2321">
        <v>5769</v>
      </c>
      <c r="CA10" s="2321">
        <v>5759</v>
      </c>
      <c r="CB10" s="2321">
        <v>5799</v>
      </c>
      <c r="CC10" s="2321">
        <v>5837</v>
      </c>
      <c r="CD10" s="2321">
        <v>5860</v>
      </c>
      <c r="CE10" s="2321">
        <v>5863</v>
      </c>
      <c r="CF10" s="2321">
        <v>5854</v>
      </c>
      <c r="CG10" s="2321">
        <v>5851</v>
      </c>
      <c r="CH10" s="2321">
        <v>5848</v>
      </c>
      <c r="CI10" s="2321">
        <v>5838</v>
      </c>
      <c r="CJ10" s="2321">
        <v>5858</v>
      </c>
      <c r="CK10" s="2321">
        <v>5826</v>
      </c>
      <c r="CM10" s="2522"/>
      <c r="CN10" s="2523"/>
      <c r="CO10" s="2523"/>
      <c r="CP10" s="2523"/>
      <c r="CQ10" s="2523"/>
      <c r="CR10" s="2523"/>
      <c r="CS10" s="2523"/>
      <c r="CT10" s="2523"/>
      <c r="CU10" s="2523"/>
      <c r="CV10" s="2523"/>
      <c r="CW10" s="2523"/>
      <c r="CX10" s="2523"/>
      <c r="CY10" s="2523"/>
      <c r="CZ10" s="2322" t="s">
        <v>260</v>
      </c>
    </row>
    <row r="11" spans="1:104" ht="13.5" thickBot="1">
      <c r="A11" s="1848" t="s">
        <v>982</v>
      </c>
      <c r="B11" s="1737">
        <v>29.05</v>
      </c>
      <c r="C11" s="2362" t="s">
        <v>1748</v>
      </c>
      <c r="D11" s="1853">
        <f>ENR_Labor/H11</f>
        <v>2.8121974830590513</v>
      </c>
      <c r="E11" s="2411">
        <f>ENR_Labor/31.83</f>
        <v>0.912661011624254</v>
      </c>
      <c r="F11" s="2311"/>
      <c r="G11" s="2350"/>
      <c r="H11" s="2311">
        <v>10.33</v>
      </c>
      <c r="I11" s="2311"/>
      <c r="J11" s="2311"/>
      <c r="K11" s="2311"/>
      <c r="L11" s="2324"/>
      <c r="M11" s="2311"/>
      <c r="N11" s="2325"/>
      <c r="O11" s="2290"/>
      <c r="P11" s="2282">
        <v>1984</v>
      </c>
      <c r="Q11" s="2283">
        <v>105.7</v>
      </c>
      <c r="R11" s="2283">
        <v>105.9</v>
      </c>
      <c r="S11" s="2283">
        <v>106.4</v>
      </c>
      <c r="T11" s="2283">
        <v>106.8</v>
      </c>
      <c r="U11" s="2283">
        <v>107.1</v>
      </c>
      <c r="V11" s="2283">
        <v>107.7</v>
      </c>
      <c r="W11" s="2283">
        <v>107.7</v>
      </c>
      <c r="X11" s="2283">
        <v>107.8</v>
      </c>
      <c r="Y11" s="2283">
        <v>108</v>
      </c>
      <c r="Z11" s="2283">
        <v>108.4</v>
      </c>
      <c r="AA11" s="2283">
        <v>108.7</v>
      </c>
      <c r="AB11" s="2283">
        <v>108.8</v>
      </c>
      <c r="AC11" s="2285"/>
      <c r="AD11" s="2290"/>
      <c r="AE11" s="2295">
        <v>1979</v>
      </c>
      <c r="AF11" s="2283">
        <v>76.3</v>
      </c>
      <c r="AG11" s="2283">
        <v>76.6</v>
      </c>
      <c r="AH11" s="2283">
        <v>77.1</v>
      </c>
      <c r="AI11" s="2283">
        <v>77.7</v>
      </c>
      <c r="AJ11" s="2283">
        <v>78.6</v>
      </c>
      <c r="AK11" s="2283">
        <v>78.9</v>
      </c>
      <c r="AL11" s="2283">
        <v>79.3</v>
      </c>
      <c r="AM11" s="2283">
        <v>80.1</v>
      </c>
      <c r="AN11" s="2283">
        <v>81</v>
      </c>
      <c r="AO11" s="2283">
        <v>81.9</v>
      </c>
      <c r="AP11" s="2283">
        <v>82.6</v>
      </c>
      <c r="AQ11" s="2283">
        <v>83.5</v>
      </c>
      <c r="AR11" s="2283"/>
      <c r="AT11" s="2282">
        <v>1980</v>
      </c>
      <c r="AU11" s="2283">
        <v>84.7</v>
      </c>
      <c r="AV11" s="2283">
        <v>85.2</v>
      </c>
      <c r="AW11" s="2283">
        <v>85.8</v>
      </c>
      <c r="AX11" s="2283">
        <v>86.5</v>
      </c>
      <c r="AY11" s="2283">
        <v>87.2</v>
      </c>
      <c r="AZ11" s="2283">
        <v>87.9</v>
      </c>
      <c r="BA11" s="2283">
        <v>88.9</v>
      </c>
      <c r="BB11" s="2283">
        <v>90</v>
      </c>
      <c r="BC11" s="2283">
        <v>90.4</v>
      </c>
      <c r="BD11" s="2283">
        <v>90.9</v>
      </c>
      <c r="BE11" s="2283">
        <v>91.4</v>
      </c>
      <c r="BF11" s="2283">
        <v>91.8</v>
      </c>
      <c r="BG11" s="2283"/>
      <c r="BI11" s="2282">
        <v>1980</v>
      </c>
      <c r="BJ11" s="2283">
        <v>292.1</v>
      </c>
      <c r="BK11" s="2283">
        <v>294.2</v>
      </c>
      <c r="BL11" s="2283">
        <v>295.5</v>
      </c>
      <c r="BM11" s="2283">
        <v>301.7</v>
      </c>
      <c r="BN11" s="2283">
        <v>304.6</v>
      </c>
      <c r="BO11" s="2283">
        <v>307.6</v>
      </c>
      <c r="BP11" s="2283">
        <v>298.3</v>
      </c>
      <c r="BQ11" s="2283">
        <v>300.7</v>
      </c>
      <c r="BR11" s="2283">
        <v>302.8</v>
      </c>
      <c r="BS11" s="2283">
        <v>307.8</v>
      </c>
      <c r="BT11" s="2283">
        <v>311.6</v>
      </c>
      <c r="BU11" s="2283">
        <v>316.5</v>
      </c>
      <c r="BV11" s="2283"/>
      <c r="BX11" s="2320">
        <v>1998</v>
      </c>
      <c r="BY11" s="2321">
        <v>5852</v>
      </c>
      <c r="BZ11" s="2321">
        <v>5874</v>
      </c>
      <c r="CA11" s="2321">
        <v>5875</v>
      </c>
      <c r="CB11" s="2321">
        <v>5883</v>
      </c>
      <c r="CC11" s="2321">
        <v>5881</v>
      </c>
      <c r="CD11" s="2321">
        <v>5895</v>
      </c>
      <c r="CE11" s="2321">
        <v>5921</v>
      </c>
      <c r="CF11" s="2321">
        <v>5929</v>
      </c>
      <c r="CG11" s="2321">
        <v>5963</v>
      </c>
      <c r="CH11" s="2321">
        <v>5986</v>
      </c>
      <c r="CI11" s="2321">
        <v>5995</v>
      </c>
      <c r="CJ11" s="2321">
        <v>5991</v>
      </c>
      <c r="CK11" s="2321">
        <v>5920</v>
      </c>
      <c r="CM11" s="2320">
        <v>1990</v>
      </c>
      <c r="CN11" s="2321">
        <v>2664</v>
      </c>
      <c r="CO11" s="2321">
        <v>2668</v>
      </c>
      <c r="CP11" s="2321">
        <v>2673</v>
      </c>
      <c r="CQ11" s="2321">
        <v>2676</v>
      </c>
      <c r="CR11" s="2321">
        <v>2691</v>
      </c>
      <c r="CS11" s="2321">
        <v>2715</v>
      </c>
      <c r="CT11" s="2321">
        <v>2716</v>
      </c>
      <c r="CU11" s="2321">
        <v>2716</v>
      </c>
      <c r="CV11" s="2321">
        <v>2730</v>
      </c>
      <c r="CW11" s="2321">
        <v>2728</v>
      </c>
      <c r="CX11" s="2321">
        <v>2730</v>
      </c>
      <c r="CY11" s="2321">
        <v>2720</v>
      </c>
      <c r="CZ11" s="2321">
        <v>2702</v>
      </c>
    </row>
    <row r="12" spans="1:104" ht="12.75">
      <c r="A12" s="1846" t="s">
        <v>1049</v>
      </c>
      <c r="B12" s="2355"/>
      <c r="C12" s="2363"/>
      <c r="D12" s="2351"/>
      <c r="E12" s="2109"/>
      <c r="F12" s="2109"/>
      <c r="G12" s="2109"/>
      <c r="H12" s="2109"/>
      <c r="I12" s="2109"/>
      <c r="J12" s="2109"/>
      <c r="K12" s="2109"/>
      <c r="L12" s="2109"/>
      <c r="M12" s="2109"/>
      <c r="N12" s="1847"/>
      <c r="O12" s="2291"/>
      <c r="P12" s="2282">
        <v>1985</v>
      </c>
      <c r="Q12" s="2284">
        <v>109.2</v>
      </c>
      <c r="R12" s="2284">
        <v>109.4</v>
      </c>
      <c r="S12" s="2284">
        <v>109.5</v>
      </c>
      <c r="T12" s="2284">
        <v>109.2</v>
      </c>
      <c r="U12" s="2284">
        <v>109.5</v>
      </c>
      <c r="V12" s="2284">
        <v>109.5</v>
      </c>
      <c r="W12" s="2284">
        <v>109.6</v>
      </c>
      <c r="X12" s="2284">
        <v>109.7</v>
      </c>
      <c r="Y12" s="2284">
        <v>109.9</v>
      </c>
      <c r="Z12" s="2284">
        <v>110</v>
      </c>
      <c r="AA12" s="2284">
        <v>109.9</v>
      </c>
      <c r="AB12" s="2284">
        <v>110.1</v>
      </c>
      <c r="AC12" s="2299"/>
      <c r="AD12" s="2291"/>
      <c r="AE12" s="2295">
        <v>1980</v>
      </c>
      <c r="AF12" s="2284">
        <v>84.2</v>
      </c>
      <c r="AG12" s="2284">
        <v>84.8</v>
      </c>
      <c r="AH12" s="2284">
        <v>86.4</v>
      </c>
      <c r="AI12" s="2284">
        <v>88.4</v>
      </c>
      <c r="AJ12" s="2284">
        <v>88.5</v>
      </c>
      <c r="AK12" s="2284">
        <v>89.4</v>
      </c>
      <c r="AL12" s="2284">
        <v>89.9</v>
      </c>
      <c r="AM12" s="2284">
        <v>90.2</v>
      </c>
      <c r="AN12" s="2284">
        <v>90.8</v>
      </c>
      <c r="AO12" s="2284">
        <v>91.4</v>
      </c>
      <c r="AP12" s="2284">
        <v>91.8</v>
      </c>
      <c r="AQ12" s="2284">
        <v>92.2</v>
      </c>
      <c r="AR12" s="2284"/>
      <c r="AT12" s="2282">
        <v>1981</v>
      </c>
      <c r="AU12" s="2284">
        <v>92.8</v>
      </c>
      <c r="AV12" s="2284">
        <v>93.3</v>
      </c>
      <c r="AW12" s="2284">
        <v>93.8</v>
      </c>
      <c r="AX12" s="2284">
        <v>94.9</v>
      </c>
      <c r="AY12" s="2284">
        <v>95.2</v>
      </c>
      <c r="AZ12" s="2284">
        <v>95.7</v>
      </c>
      <c r="BA12" s="2284">
        <v>95.9</v>
      </c>
      <c r="BB12" s="2284">
        <v>96.1</v>
      </c>
      <c r="BC12" s="2284">
        <v>96.7</v>
      </c>
      <c r="BD12" s="2284">
        <v>97</v>
      </c>
      <c r="BE12" s="2284">
        <v>97.7</v>
      </c>
      <c r="BF12" s="2284">
        <v>97.9</v>
      </c>
      <c r="BG12" s="2284"/>
      <c r="BI12" s="2282">
        <v>1981</v>
      </c>
      <c r="BJ12" s="2284">
        <v>321</v>
      </c>
      <c r="BK12" s="2284">
        <v>322.9</v>
      </c>
      <c r="BL12" s="2284">
        <v>328.7</v>
      </c>
      <c r="BM12" s="2284">
        <v>328.8</v>
      </c>
      <c r="BN12" s="2284">
        <v>330.5</v>
      </c>
      <c r="BO12" s="2284">
        <v>334.2</v>
      </c>
      <c r="BP12" s="2284">
        <v>341.8</v>
      </c>
      <c r="BQ12" s="2284">
        <v>344.9</v>
      </c>
      <c r="BR12" s="2284">
        <v>347.7</v>
      </c>
      <c r="BS12" s="2284">
        <v>349.4</v>
      </c>
      <c r="BT12" s="2284">
        <v>351.1</v>
      </c>
      <c r="BU12" s="2284">
        <v>352.1</v>
      </c>
      <c r="BV12" s="2284"/>
      <c r="BX12" s="2320">
        <v>1999</v>
      </c>
      <c r="BY12" s="2321">
        <v>6000</v>
      </c>
      <c r="BZ12" s="2321">
        <v>5992</v>
      </c>
      <c r="CA12" s="2321">
        <v>5986</v>
      </c>
      <c r="CB12" s="2321">
        <v>6008</v>
      </c>
      <c r="CC12" s="2321">
        <v>6006</v>
      </c>
      <c r="CD12" s="2321">
        <v>6039</v>
      </c>
      <c r="CE12" s="2321">
        <v>6076</v>
      </c>
      <c r="CF12" s="2321">
        <v>6091</v>
      </c>
      <c r="CG12" s="2321">
        <v>6128</v>
      </c>
      <c r="CH12" s="2321">
        <v>6134</v>
      </c>
      <c r="CI12" s="2321">
        <v>6127</v>
      </c>
      <c r="CJ12" s="2321">
        <v>6127</v>
      </c>
      <c r="CK12" s="2321">
        <v>6059</v>
      </c>
      <c r="CM12" s="2320">
        <v>1991</v>
      </c>
      <c r="CN12" s="2321">
        <v>2720</v>
      </c>
      <c r="CO12" s="2321">
        <v>2716</v>
      </c>
      <c r="CP12" s="2321">
        <v>2715</v>
      </c>
      <c r="CQ12" s="2321">
        <v>2709</v>
      </c>
      <c r="CR12" s="2321">
        <v>2723</v>
      </c>
      <c r="CS12" s="2321">
        <v>2733</v>
      </c>
      <c r="CT12" s="2321">
        <v>2757</v>
      </c>
      <c r="CU12" s="2321">
        <v>2792</v>
      </c>
      <c r="CV12" s="2321">
        <v>2785</v>
      </c>
      <c r="CW12" s="2321">
        <v>2786</v>
      </c>
      <c r="CX12" s="2321">
        <v>2791</v>
      </c>
      <c r="CY12" s="2321">
        <v>2784</v>
      </c>
      <c r="CZ12" s="2321">
        <v>2751</v>
      </c>
    </row>
    <row r="13" spans="1:104" ht="12.75">
      <c r="A13" s="417" t="s">
        <v>983</v>
      </c>
      <c r="B13" s="1735">
        <v>4462.38</v>
      </c>
      <c r="C13" s="2364" t="s">
        <v>1063</v>
      </c>
      <c r="D13" s="1852">
        <f>ENR_BCI/H13</f>
        <v>2.5927036307542135</v>
      </c>
      <c r="E13" s="1850">
        <f>ENR_BCI/3095</f>
        <v>1.4418029079159935</v>
      </c>
      <c r="F13" s="2312"/>
      <c r="G13" s="2312"/>
      <c r="H13" s="1850">
        <v>1721.13</v>
      </c>
      <c r="I13" s="1850">
        <f>L13</f>
        <v>254.76</v>
      </c>
      <c r="J13" s="2312"/>
      <c r="K13" s="2312"/>
      <c r="L13" s="2154">
        <v>254.76</v>
      </c>
      <c r="M13" s="1850" t="s">
        <v>1092</v>
      </c>
      <c r="N13" s="2148">
        <v>3113.1950494672756</v>
      </c>
      <c r="O13" s="2290"/>
      <c r="P13" s="2282">
        <v>1986</v>
      </c>
      <c r="Q13" s="2283">
        <v>110.2</v>
      </c>
      <c r="R13" s="2283">
        <v>110.4</v>
      </c>
      <c r="S13" s="2283">
        <v>110.7</v>
      </c>
      <c r="T13" s="2283">
        <v>110.9</v>
      </c>
      <c r="U13" s="2283">
        <v>111.1</v>
      </c>
      <c r="V13" s="2283">
        <v>111.1</v>
      </c>
      <c r="W13" s="2283">
        <v>111.4</v>
      </c>
      <c r="X13" s="2283">
        <v>111.5</v>
      </c>
      <c r="Y13" s="2283">
        <v>111.8</v>
      </c>
      <c r="Z13" s="2283">
        <v>111.7</v>
      </c>
      <c r="AA13" s="2283">
        <v>111.9</v>
      </c>
      <c r="AB13" s="2283">
        <v>112</v>
      </c>
      <c r="AC13" s="2285"/>
      <c r="AD13" s="2290"/>
      <c r="AE13" s="2295">
        <v>1981</v>
      </c>
      <c r="AF13" s="2283">
        <v>92.7</v>
      </c>
      <c r="AG13" s="2283">
        <v>93.3</v>
      </c>
      <c r="AH13" s="2283">
        <v>94.3</v>
      </c>
      <c r="AI13" s="2283">
        <v>94.9</v>
      </c>
      <c r="AJ13" s="2283">
        <v>95.1</v>
      </c>
      <c r="AK13" s="2283">
        <v>95.5</v>
      </c>
      <c r="AL13" s="2283">
        <v>96.2</v>
      </c>
      <c r="AM13" s="2283">
        <v>97</v>
      </c>
      <c r="AN13" s="2283">
        <v>98.2</v>
      </c>
      <c r="AO13" s="2283">
        <v>98</v>
      </c>
      <c r="AP13" s="2283">
        <v>98.3</v>
      </c>
      <c r="AQ13" s="2283">
        <v>98.8</v>
      </c>
      <c r="AR13" s="2283"/>
      <c r="AT13" s="2282">
        <v>1982</v>
      </c>
      <c r="AU13" s="2283">
        <v>98.4</v>
      </c>
      <c r="AV13" s="2283">
        <v>99.1</v>
      </c>
      <c r="AW13" s="2283">
        <v>99.5</v>
      </c>
      <c r="AX13" s="2283">
        <v>98.8</v>
      </c>
      <c r="AY13" s="2283">
        <v>100</v>
      </c>
      <c r="AZ13" s="2283">
        <v>100.5</v>
      </c>
      <c r="BA13" s="2283">
        <v>100.5</v>
      </c>
      <c r="BB13" s="2283">
        <v>100.3</v>
      </c>
      <c r="BC13" s="2283">
        <v>100.5</v>
      </c>
      <c r="BD13" s="2283">
        <v>100.6</v>
      </c>
      <c r="BE13" s="2283">
        <v>101.2</v>
      </c>
      <c r="BF13" s="2283">
        <v>100.4</v>
      </c>
      <c r="BG13" s="2283"/>
      <c r="BI13" s="2282">
        <v>1982</v>
      </c>
      <c r="BJ13" s="2283">
        <v>348.9</v>
      </c>
      <c r="BK13" s="2283">
        <v>350.3</v>
      </c>
      <c r="BL13" s="2283">
        <v>350.5</v>
      </c>
      <c r="BM13" s="2283">
        <v>349</v>
      </c>
      <c r="BN13" s="2283">
        <v>350.6</v>
      </c>
      <c r="BO13" s="2283">
        <v>352</v>
      </c>
      <c r="BP13" s="2283"/>
      <c r="BQ13" s="2283"/>
      <c r="BR13" s="2283"/>
      <c r="BS13" s="2283"/>
      <c r="BT13" s="2283"/>
      <c r="BU13" s="2283"/>
      <c r="BV13" s="2283"/>
      <c r="BX13" s="2317"/>
      <c r="BY13" s="2318" t="s">
        <v>234</v>
      </c>
      <c r="BZ13" s="2318" t="s">
        <v>235</v>
      </c>
      <c r="CA13" s="2318" t="s">
        <v>236</v>
      </c>
      <c r="CB13" s="2318" t="s">
        <v>237</v>
      </c>
      <c r="CC13" s="2318" t="s">
        <v>238</v>
      </c>
      <c r="CD13" s="2318" t="s">
        <v>239</v>
      </c>
      <c r="CE13" s="2318" t="s">
        <v>240</v>
      </c>
      <c r="CF13" s="2318" t="s">
        <v>241</v>
      </c>
      <c r="CG13" s="2318" t="s">
        <v>242</v>
      </c>
      <c r="CH13" s="2318" t="s">
        <v>243</v>
      </c>
      <c r="CI13" s="2318" t="s">
        <v>244</v>
      </c>
      <c r="CJ13" s="2318" t="s">
        <v>245</v>
      </c>
      <c r="CK13" s="2318" t="s">
        <v>246</v>
      </c>
      <c r="CM13" s="2320">
        <v>1992</v>
      </c>
      <c r="CN13" s="2321">
        <v>2784</v>
      </c>
      <c r="CO13" s="2321">
        <v>2775</v>
      </c>
      <c r="CP13" s="2321">
        <v>2799</v>
      </c>
      <c r="CQ13" s="2321">
        <v>2809</v>
      </c>
      <c r="CR13" s="2321">
        <v>2828</v>
      </c>
      <c r="CS13" s="2321">
        <v>2838</v>
      </c>
      <c r="CT13" s="2321">
        <v>2845</v>
      </c>
      <c r="CU13" s="2321">
        <v>2854</v>
      </c>
      <c r="CV13" s="2321">
        <v>2857</v>
      </c>
      <c r="CW13" s="2321">
        <v>2867</v>
      </c>
      <c r="CX13" s="2321">
        <v>2873</v>
      </c>
      <c r="CY13" s="2321">
        <v>2875</v>
      </c>
      <c r="CZ13" s="2321">
        <v>2834</v>
      </c>
    </row>
    <row r="14" spans="1:104" ht="13.5" thickBot="1">
      <c r="A14" s="1849" t="s">
        <v>254</v>
      </c>
      <c r="B14" s="1736">
        <v>7449.82</v>
      </c>
      <c r="C14" s="2365" t="s">
        <v>1044</v>
      </c>
      <c r="D14" s="1853">
        <f>ENR_SLI/H14</f>
        <v>3.0222393509127787</v>
      </c>
      <c r="E14" s="2411">
        <f>ENR_SLI/5735.3</f>
        <v>1.2989416421111362</v>
      </c>
      <c r="F14" s="2311"/>
      <c r="G14" s="2311"/>
      <c r="H14" s="2335">
        <v>2465</v>
      </c>
      <c r="I14" s="1851">
        <f>L14</f>
        <v>247</v>
      </c>
      <c r="J14" s="2311"/>
      <c r="K14" s="2311"/>
      <c r="L14" s="2153">
        <v>247</v>
      </c>
      <c r="M14" s="1851" t="s">
        <v>1093</v>
      </c>
      <c r="N14" s="2147">
        <v>5335.924086757991</v>
      </c>
      <c r="O14" s="2291"/>
      <c r="P14" s="2282">
        <v>1987</v>
      </c>
      <c r="Q14" s="2284">
        <v>112.2</v>
      </c>
      <c r="R14" s="2284">
        <v>112.2</v>
      </c>
      <c r="S14" s="2284">
        <v>112.2</v>
      </c>
      <c r="T14" s="2284">
        <v>112.2</v>
      </c>
      <c r="U14" s="2284">
        <v>112.4</v>
      </c>
      <c r="V14" s="2284">
        <v>112.4</v>
      </c>
      <c r="W14" s="2284">
        <v>112.7</v>
      </c>
      <c r="X14" s="2284">
        <v>112.9</v>
      </c>
      <c r="Y14" s="2284">
        <v>112.8</v>
      </c>
      <c r="Z14" s="2284">
        <v>113.1</v>
      </c>
      <c r="AA14" s="2284">
        <v>113.3</v>
      </c>
      <c r="AB14" s="2284">
        <v>113.5</v>
      </c>
      <c r="AC14" s="2299"/>
      <c r="AD14" s="2291"/>
      <c r="AE14" s="2295">
        <v>1982</v>
      </c>
      <c r="AF14" s="2284">
        <v>99.5</v>
      </c>
      <c r="AG14" s="2284">
        <v>99.6</v>
      </c>
      <c r="AH14" s="2284">
        <v>99.2</v>
      </c>
      <c r="AI14" s="2284">
        <v>99.1</v>
      </c>
      <c r="AJ14" s="2284">
        <v>99.3</v>
      </c>
      <c r="AK14" s="2284">
        <v>99.4</v>
      </c>
      <c r="AL14" s="2284">
        <v>100.2</v>
      </c>
      <c r="AM14" s="2284">
        <v>100.5</v>
      </c>
      <c r="AN14" s="2284">
        <v>100.8</v>
      </c>
      <c r="AO14" s="2284">
        <v>100.6</v>
      </c>
      <c r="AP14" s="2284">
        <v>100.9</v>
      </c>
      <c r="AQ14" s="2284">
        <v>101.1</v>
      </c>
      <c r="AR14" s="2284"/>
      <c r="AT14" s="2282">
        <v>1983</v>
      </c>
      <c r="AU14" s="2284">
        <v>99.3</v>
      </c>
      <c r="AV14" s="2284">
        <v>99.9</v>
      </c>
      <c r="AW14" s="2284">
        <v>99.3</v>
      </c>
      <c r="AX14" s="2284">
        <v>100.2</v>
      </c>
      <c r="AY14" s="2284">
        <v>100.4</v>
      </c>
      <c r="AZ14" s="2284">
        <v>100.9</v>
      </c>
      <c r="BA14" s="2284">
        <v>101.1</v>
      </c>
      <c r="BB14" s="2284">
        <v>101.9</v>
      </c>
      <c r="BC14" s="2284">
        <v>102.4</v>
      </c>
      <c r="BD14" s="2284">
        <v>102.6</v>
      </c>
      <c r="BE14" s="2284">
        <v>102.5</v>
      </c>
      <c r="BF14" s="2284">
        <v>102.6</v>
      </c>
      <c r="BG14" s="2284"/>
      <c r="BI14" s="2513"/>
      <c r="BJ14" s="2513"/>
      <c r="BK14" s="2513"/>
      <c r="BL14" s="2513"/>
      <c r="BM14" s="2513"/>
      <c r="BN14" s="2513"/>
      <c r="BO14" s="2513"/>
      <c r="BP14" s="2513"/>
      <c r="BQ14" s="2513"/>
      <c r="BR14" s="2513"/>
      <c r="BS14" s="2513"/>
      <c r="BT14" s="2513"/>
      <c r="BU14" s="2513"/>
      <c r="BV14" s="2513"/>
      <c r="BX14" s="2320">
        <v>2000</v>
      </c>
      <c r="BY14" s="2321">
        <v>6130</v>
      </c>
      <c r="BZ14" s="2321">
        <v>6160</v>
      </c>
      <c r="CA14" s="2321">
        <v>6202</v>
      </c>
      <c r="CB14" s="2321">
        <v>6201</v>
      </c>
      <c r="CC14" s="2321">
        <v>6233</v>
      </c>
      <c r="CD14" s="2321">
        <v>6238</v>
      </c>
      <c r="CE14" s="2321">
        <v>6225</v>
      </c>
      <c r="CF14" s="2321">
        <v>6233</v>
      </c>
      <c r="CG14" s="2321">
        <v>6224</v>
      </c>
      <c r="CH14" s="2321">
        <v>6259</v>
      </c>
      <c r="CI14" s="2321">
        <v>6266</v>
      </c>
      <c r="CJ14" s="2321">
        <v>6283</v>
      </c>
      <c r="CK14" s="2321">
        <v>6221</v>
      </c>
      <c r="CM14" s="2320">
        <v>1993</v>
      </c>
      <c r="CN14" s="2321">
        <v>2886</v>
      </c>
      <c r="CO14" s="2321">
        <v>2886</v>
      </c>
      <c r="CP14" s="2321">
        <v>2915</v>
      </c>
      <c r="CQ14" s="2321">
        <v>2976</v>
      </c>
      <c r="CR14" s="2321">
        <v>3071</v>
      </c>
      <c r="CS14" s="2321">
        <v>3066</v>
      </c>
      <c r="CT14" s="2321">
        <v>3038</v>
      </c>
      <c r="CU14" s="2321">
        <v>3014</v>
      </c>
      <c r="CV14" s="2321">
        <v>3009</v>
      </c>
      <c r="CW14" s="2321">
        <v>3016</v>
      </c>
      <c r="CX14" s="2321">
        <v>3029</v>
      </c>
      <c r="CY14" s="2321">
        <v>3046</v>
      </c>
      <c r="CZ14" s="2321">
        <v>2996</v>
      </c>
    </row>
    <row r="15" spans="1:104" ht="12.75">
      <c r="A15" s="1846" t="s">
        <v>979</v>
      </c>
      <c r="B15" s="2354"/>
      <c r="C15" s="2366"/>
      <c r="D15" s="2351"/>
      <c r="E15" s="2109"/>
      <c r="F15" s="2109"/>
      <c r="G15" s="2109"/>
      <c r="H15" s="2109"/>
      <c r="I15" s="2109"/>
      <c r="J15" s="2109"/>
      <c r="K15" s="2109"/>
      <c r="L15" s="2109"/>
      <c r="M15" s="2109"/>
      <c r="N15" s="416"/>
      <c r="O15" s="2290"/>
      <c r="P15" s="2282">
        <v>1988</v>
      </c>
      <c r="Q15" s="2283">
        <v>113.6</v>
      </c>
      <c r="R15" s="2283">
        <v>113.9</v>
      </c>
      <c r="S15" s="2283">
        <v>113.7</v>
      </c>
      <c r="T15" s="2283">
        <v>113.9</v>
      </c>
      <c r="U15" s="2283">
        <v>114.5</v>
      </c>
      <c r="V15" s="2283">
        <v>114.3</v>
      </c>
      <c r="W15" s="2283">
        <v>114.3</v>
      </c>
      <c r="X15" s="2283">
        <v>114.7</v>
      </c>
      <c r="Y15" s="2283">
        <v>114.9</v>
      </c>
      <c r="Z15" s="2283">
        <v>115.1</v>
      </c>
      <c r="AA15" s="2283">
        <v>115.3</v>
      </c>
      <c r="AB15" s="2283">
        <v>115.5</v>
      </c>
      <c r="AC15" s="2285"/>
      <c r="AD15" s="2290"/>
      <c r="AE15" s="2513"/>
      <c r="AF15" s="2513"/>
      <c r="AG15" s="2513"/>
      <c r="AH15" s="2513"/>
      <c r="AI15" s="2513"/>
      <c r="AJ15" s="2513"/>
      <c r="AK15" s="2513"/>
      <c r="AL15" s="2513"/>
      <c r="AM15" s="2513"/>
      <c r="AN15" s="2513"/>
      <c r="AO15" s="2513"/>
      <c r="AP15" s="2513"/>
      <c r="AQ15" s="2513"/>
      <c r="AR15" s="2513"/>
      <c r="AT15" s="2282">
        <v>1984</v>
      </c>
      <c r="AU15" s="2283">
        <v>102.5</v>
      </c>
      <c r="AV15" s="2283">
        <v>103.2</v>
      </c>
      <c r="AW15" s="2283">
        <v>104.4</v>
      </c>
      <c r="AX15" s="2283">
        <v>104.1</v>
      </c>
      <c r="AY15" s="2283">
        <v>105</v>
      </c>
      <c r="AZ15" s="2283">
        <v>104.9</v>
      </c>
      <c r="BA15" s="2283">
        <v>105.3</v>
      </c>
      <c r="BB15" s="2283">
        <v>105.7</v>
      </c>
      <c r="BC15" s="2283">
        <v>105.9</v>
      </c>
      <c r="BD15" s="2283">
        <v>106</v>
      </c>
      <c r="BE15" s="2283">
        <v>106.9</v>
      </c>
      <c r="BF15" s="2283">
        <v>107.3</v>
      </c>
      <c r="BG15" s="2283"/>
      <c r="BI15" s="2286"/>
      <c r="BJ15" s="2286"/>
      <c r="BK15" s="2286"/>
      <c r="BL15" s="2286"/>
      <c r="BM15" s="2286"/>
      <c r="BN15" s="2286"/>
      <c r="BO15" s="2286"/>
      <c r="BP15" s="2286"/>
      <c r="BQ15" s="2286"/>
      <c r="BR15" s="2286"/>
      <c r="BS15" s="2286"/>
      <c r="BT15" s="2286"/>
      <c r="BU15" s="2286"/>
      <c r="BV15" s="2286"/>
      <c r="BX15" s="2320">
        <v>2001</v>
      </c>
      <c r="BY15" s="2321">
        <v>6281</v>
      </c>
      <c r="BZ15" s="2321">
        <v>6272</v>
      </c>
      <c r="CA15" s="2321">
        <v>6279</v>
      </c>
      <c r="CB15" s="2321">
        <v>6286</v>
      </c>
      <c r="CC15" s="2321">
        <v>6288</v>
      </c>
      <c r="CD15" s="2321">
        <v>6318</v>
      </c>
      <c r="CE15" s="2321">
        <v>6404</v>
      </c>
      <c r="CF15" s="2321">
        <v>6389</v>
      </c>
      <c r="CG15" s="2321">
        <v>6391</v>
      </c>
      <c r="CH15" s="2321">
        <v>6397</v>
      </c>
      <c r="CI15" s="2321">
        <v>6410</v>
      </c>
      <c r="CJ15" s="2321">
        <v>6390</v>
      </c>
      <c r="CK15" s="2321">
        <v>6343</v>
      </c>
      <c r="CM15" s="2320">
        <v>1994</v>
      </c>
      <c r="CN15" s="2321">
        <v>3071</v>
      </c>
      <c r="CO15" s="2321">
        <v>3106</v>
      </c>
      <c r="CP15" s="2321">
        <v>3116</v>
      </c>
      <c r="CQ15" s="2321">
        <v>3127</v>
      </c>
      <c r="CR15" s="2321">
        <v>3125</v>
      </c>
      <c r="CS15" s="2321">
        <v>3115</v>
      </c>
      <c r="CT15" s="2321">
        <v>3107</v>
      </c>
      <c r="CU15" s="2321">
        <v>3109</v>
      </c>
      <c r="CV15" s="2321">
        <v>3116</v>
      </c>
      <c r="CW15" s="2321">
        <v>3116</v>
      </c>
      <c r="CX15" s="2321">
        <v>3109</v>
      </c>
      <c r="CY15" s="2321">
        <v>3110</v>
      </c>
      <c r="CZ15" s="2321">
        <v>3111</v>
      </c>
    </row>
    <row r="16" spans="1:104" ht="12.75">
      <c r="A16" s="1840" t="s">
        <v>1495</v>
      </c>
      <c r="B16" s="1735">
        <v>2637.27</v>
      </c>
      <c r="C16" s="2364" t="s">
        <v>1065</v>
      </c>
      <c r="D16" s="1852">
        <f>ENR_MI/H16</f>
        <v>2.0813432246862917</v>
      </c>
      <c r="E16" s="2412">
        <f>ENR_MI/2219.19</f>
        <v>1.1883930623335541</v>
      </c>
      <c r="F16" s="2312"/>
      <c r="G16" s="2312"/>
      <c r="H16" s="2334">
        <v>1267.1</v>
      </c>
      <c r="I16" s="2312"/>
      <c r="J16" s="1850">
        <f>AO27</f>
        <v>73.2</v>
      </c>
      <c r="K16" s="1850">
        <f>L16</f>
        <v>236.4</v>
      </c>
      <c r="L16" s="2154">
        <v>236.4</v>
      </c>
      <c r="M16" s="1850" t="s">
        <v>1094</v>
      </c>
      <c r="N16" s="2148">
        <v>1973.798798076923</v>
      </c>
      <c r="O16" s="2291"/>
      <c r="P16" s="2282">
        <v>1989</v>
      </c>
      <c r="Q16" s="2284">
        <v>116.1</v>
      </c>
      <c r="R16" s="2284">
        <v>116.4</v>
      </c>
      <c r="S16" s="2284">
        <v>116.6</v>
      </c>
      <c r="T16" s="2284">
        <v>116.8</v>
      </c>
      <c r="U16" s="2284">
        <v>117.1</v>
      </c>
      <c r="V16" s="2284">
        <v>117.6</v>
      </c>
      <c r="W16" s="2284">
        <v>117.8</v>
      </c>
      <c r="X16" s="2284">
        <v>118</v>
      </c>
      <c r="Y16" s="2284">
        <v>118</v>
      </c>
      <c r="Z16" s="2284">
        <v>118.4</v>
      </c>
      <c r="AA16" s="2284">
        <v>118.4</v>
      </c>
      <c r="AB16" s="2284">
        <v>118.5</v>
      </c>
      <c r="AC16" s="2299"/>
      <c r="AD16" s="2291"/>
      <c r="AE16" s="2286"/>
      <c r="AF16" s="2286"/>
      <c r="AG16" s="2286"/>
      <c r="AH16" s="2286"/>
      <c r="AI16" s="2286"/>
      <c r="AJ16" s="2286"/>
      <c r="AK16" s="2286"/>
      <c r="AL16" s="2286"/>
      <c r="AM16" s="2286"/>
      <c r="AN16" s="2286"/>
      <c r="AO16" s="2286"/>
      <c r="AP16" s="2286"/>
      <c r="AQ16" s="2286"/>
      <c r="AR16" s="2286"/>
      <c r="AT16" s="2282">
        <v>1985</v>
      </c>
      <c r="AU16" s="2284">
        <v>107.4</v>
      </c>
      <c r="AV16" s="2284">
        <v>107.7</v>
      </c>
      <c r="AW16" s="2284">
        <v>107.9</v>
      </c>
      <c r="AX16" s="2284">
        <v>108.1</v>
      </c>
      <c r="AY16" s="2284">
        <v>108.5</v>
      </c>
      <c r="AZ16" s="2284">
        <v>108.8</v>
      </c>
      <c r="BA16" s="2284">
        <v>108.7</v>
      </c>
      <c r="BB16" s="2284">
        <v>108.9</v>
      </c>
      <c r="BC16" s="2284">
        <v>108.7</v>
      </c>
      <c r="BD16" s="2284">
        <v>108.8</v>
      </c>
      <c r="BE16" s="2284">
        <v>108.9</v>
      </c>
      <c r="BF16" s="2284">
        <v>109.3</v>
      </c>
      <c r="BG16" s="2284"/>
      <c r="BI16" s="2514"/>
      <c r="BJ16" s="2514"/>
      <c r="BK16" s="2514"/>
      <c r="BL16" s="2514"/>
      <c r="BM16" s="2514"/>
      <c r="BN16" s="2514"/>
      <c r="BO16" s="2514"/>
      <c r="BP16" s="2514"/>
      <c r="BQ16" s="2514"/>
      <c r="BR16" s="2514"/>
      <c r="BS16" s="2514"/>
      <c r="BT16" s="2514"/>
      <c r="BU16" s="2514"/>
      <c r="BV16" s="2514"/>
      <c r="BX16" s="2320">
        <v>2002</v>
      </c>
      <c r="BY16" s="2321">
        <v>6462</v>
      </c>
      <c r="BZ16" s="2321">
        <v>6462</v>
      </c>
      <c r="CA16" s="2321">
        <v>6502</v>
      </c>
      <c r="CB16" s="2321">
        <v>6480</v>
      </c>
      <c r="CC16" s="2321">
        <v>6512</v>
      </c>
      <c r="CD16" s="2321">
        <v>6532</v>
      </c>
      <c r="CE16" s="2321">
        <v>6605</v>
      </c>
      <c r="CF16" s="2321">
        <v>6592</v>
      </c>
      <c r="CG16" s="2321">
        <v>6589</v>
      </c>
      <c r="CH16" s="2321">
        <v>6579</v>
      </c>
      <c r="CI16" s="2321">
        <v>6578</v>
      </c>
      <c r="CJ16" s="2321">
        <v>6563</v>
      </c>
      <c r="CK16" s="2321">
        <v>6538</v>
      </c>
      <c r="CM16" s="2320">
        <v>1995</v>
      </c>
      <c r="CN16" s="2321">
        <v>3112</v>
      </c>
      <c r="CO16" s="2321">
        <v>3111</v>
      </c>
      <c r="CP16" s="2321">
        <v>3103</v>
      </c>
      <c r="CQ16" s="2321">
        <v>3100</v>
      </c>
      <c r="CR16" s="2321">
        <v>3096</v>
      </c>
      <c r="CS16" s="2321">
        <v>3095</v>
      </c>
      <c r="CT16" s="2321">
        <v>3114</v>
      </c>
      <c r="CU16" s="2321">
        <v>3121</v>
      </c>
      <c r="CV16" s="2321">
        <v>3109</v>
      </c>
      <c r="CW16" s="2321">
        <v>3117</v>
      </c>
      <c r="CX16" s="2321">
        <v>3131</v>
      </c>
      <c r="CY16" s="2321">
        <v>3128</v>
      </c>
      <c r="CZ16" s="2321">
        <v>3111</v>
      </c>
    </row>
    <row r="17" spans="1:104" ht="12.75">
      <c r="A17" s="1840" t="s">
        <v>1495</v>
      </c>
      <c r="B17" s="1843">
        <f>ENR_MI</f>
        <v>2637.27</v>
      </c>
      <c r="C17" s="2364" t="s">
        <v>1483</v>
      </c>
      <c r="D17" s="1852">
        <f>B17/H17</f>
        <v>2.0813432246862917</v>
      </c>
      <c r="E17" s="2412">
        <f>E16</f>
        <v>1.1883930623335541</v>
      </c>
      <c r="F17" s="2312"/>
      <c r="G17" s="2312"/>
      <c r="H17" s="2334">
        <f>H16</f>
        <v>1267.1</v>
      </c>
      <c r="I17" s="2312"/>
      <c r="J17" s="2312"/>
      <c r="K17" s="2312"/>
      <c r="L17" s="2312" t="s">
        <v>1095</v>
      </c>
      <c r="M17" s="2312" t="s">
        <v>1095</v>
      </c>
      <c r="N17" s="2149">
        <v>2036.812930909091</v>
      </c>
      <c r="O17" s="2290"/>
      <c r="P17" s="2282">
        <v>1990</v>
      </c>
      <c r="Q17" s="2283">
        <v>118.6</v>
      </c>
      <c r="R17" s="2283">
        <v>118.4</v>
      </c>
      <c r="S17" s="2283">
        <v>118.8</v>
      </c>
      <c r="T17" s="2283">
        <v>119</v>
      </c>
      <c r="U17" s="2283">
        <v>119</v>
      </c>
      <c r="V17" s="2283">
        <v>119.2</v>
      </c>
      <c r="W17" s="2283">
        <v>119.4</v>
      </c>
      <c r="X17" s="2283">
        <v>119.4</v>
      </c>
      <c r="Y17" s="2283">
        <v>119.6</v>
      </c>
      <c r="Z17" s="2283">
        <v>119.8</v>
      </c>
      <c r="AA17" s="2283">
        <v>119.9</v>
      </c>
      <c r="AB17" s="2283">
        <v>120.1</v>
      </c>
      <c r="AC17" s="2285"/>
      <c r="AD17" s="2290"/>
      <c r="AE17" s="2514"/>
      <c r="AF17" s="2514"/>
      <c r="AG17" s="2514"/>
      <c r="AH17" s="2514"/>
      <c r="AI17" s="2514"/>
      <c r="AJ17" s="2514"/>
      <c r="AK17" s="2514"/>
      <c r="AL17" s="2514"/>
      <c r="AM17" s="2514"/>
      <c r="AN17" s="2514"/>
      <c r="AO17" s="2514"/>
      <c r="AP17" s="2514"/>
      <c r="AQ17" s="2514"/>
      <c r="AR17" s="2514"/>
      <c r="AT17" s="2282">
        <v>1986</v>
      </c>
      <c r="AU17" s="2283">
        <v>109.9</v>
      </c>
      <c r="AV17" s="2283">
        <v>109.5</v>
      </c>
      <c r="AW17" s="2283">
        <v>109.4</v>
      </c>
      <c r="AX17" s="2283">
        <v>109.7</v>
      </c>
      <c r="AY17" s="2283">
        <v>109</v>
      </c>
      <c r="AZ17" s="2283">
        <v>109.1</v>
      </c>
      <c r="BA17" s="2283">
        <v>109.3</v>
      </c>
      <c r="BB17" s="2283">
        <v>109.2</v>
      </c>
      <c r="BC17" s="2283">
        <v>109.5</v>
      </c>
      <c r="BD17" s="2283">
        <v>109.7</v>
      </c>
      <c r="BE17" s="2283">
        <v>110.1</v>
      </c>
      <c r="BF17" s="2283">
        <v>109</v>
      </c>
      <c r="BG17" s="2283"/>
      <c r="BI17" s="2515"/>
      <c r="BJ17" s="2515"/>
      <c r="BK17" s="2515"/>
      <c r="BL17" s="2515"/>
      <c r="BM17" s="2515"/>
      <c r="BN17" s="2515"/>
      <c r="BO17" s="2515"/>
      <c r="BP17" s="2515"/>
      <c r="BQ17" s="2515"/>
      <c r="BR17" s="2515"/>
      <c r="BS17" s="2515"/>
      <c r="BT17" s="2515"/>
      <c r="BU17" s="2515"/>
      <c r="BV17" s="2515"/>
      <c r="BX17" s="2320">
        <v>2003</v>
      </c>
      <c r="BY17" s="2321">
        <v>6581</v>
      </c>
      <c r="BZ17" s="2321">
        <v>6640</v>
      </c>
      <c r="CA17" s="2321">
        <v>6627</v>
      </c>
      <c r="CB17" s="2321">
        <v>6635</v>
      </c>
      <c r="CC17" s="2321">
        <v>6642</v>
      </c>
      <c r="CD17" s="2321">
        <v>6694</v>
      </c>
      <c r="CE17" s="2321">
        <v>6695</v>
      </c>
      <c r="CF17" s="2321">
        <v>6733</v>
      </c>
      <c r="CG17" s="2321">
        <v>6741</v>
      </c>
      <c r="CH17" s="2321">
        <v>6771</v>
      </c>
      <c r="CI17" s="2321">
        <v>6794</v>
      </c>
      <c r="CJ17" s="2321">
        <v>6782</v>
      </c>
      <c r="CK17" s="2321">
        <v>6694</v>
      </c>
      <c r="CM17" s="2320">
        <v>1996</v>
      </c>
      <c r="CN17" s="2321">
        <v>3127</v>
      </c>
      <c r="CO17" s="2321">
        <v>3131</v>
      </c>
      <c r="CP17" s="2321">
        <v>3135</v>
      </c>
      <c r="CQ17" s="2321">
        <v>3148</v>
      </c>
      <c r="CR17" s="2321">
        <v>3161</v>
      </c>
      <c r="CS17" s="2321">
        <v>3178</v>
      </c>
      <c r="CT17" s="2321">
        <v>3190</v>
      </c>
      <c r="CU17" s="2321">
        <v>3223</v>
      </c>
      <c r="CV17" s="2321">
        <v>3246</v>
      </c>
      <c r="CW17" s="2321">
        <v>3284</v>
      </c>
      <c r="CX17" s="2321">
        <v>3304</v>
      </c>
      <c r="CY17" s="2321">
        <v>3311</v>
      </c>
      <c r="CZ17" s="2321">
        <v>3203</v>
      </c>
    </row>
    <row r="18" spans="1:104" ht="13.5">
      <c r="A18" s="1856" t="s">
        <v>984</v>
      </c>
      <c r="B18" s="1735">
        <v>94.42</v>
      </c>
      <c r="C18" s="2367" t="s">
        <v>1067</v>
      </c>
      <c r="D18" s="1852">
        <f>ENR_Cement/H18</f>
        <v>1.9560803811891443</v>
      </c>
      <c r="E18" s="2412">
        <f>ENR_Cement/80.98</f>
        <v>1.165966905408743</v>
      </c>
      <c r="F18" s="2312"/>
      <c r="G18" s="2312"/>
      <c r="H18" s="2314">
        <v>48.27</v>
      </c>
      <c r="I18" s="2312"/>
      <c r="J18" s="1850">
        <f>BD48</f>
        <v>71.6</v>
      </c>
      <c r="K18" s="1850">
        <f>L18</f>
        <v>247</v>
      </c>
      <c r="L18" s="2154">
        <v>247</v>
      </c>
      <c r="M18" s="1850" t="s">
        <v>1096</v>
      </c>
      <c r="N18" s="2148">
        <v>67.54385650224215</v>
      </c>
      <c r="O18" s="2291"/>
      <c r="P18" s="2282">
        <v>1991</v>
      </c>
      <c r="Q18" s="2284">
        <v>120.4</v>
      </c>
      <c r="R18" s="2284">
        <v>120.4</v>
      </c>
      <c r="S18" s="2284">
        <v>120.5</v>
      </c>
      <c r="T18" s="2284">
        <v>120.7</v>
      </c>
      <c r="U18" s="2284">
        <v>120.7</v>
      </c>
      <c r="V18" s="2284">
        <v>120.8</v>
      </c>
      <c r="W18" s="2284">
        <v>120.9</v>
      </c>
      <c r="X18" s="2284">
        <v>120.9</v>
      </c>
      <c r="Y18" s="2284">
        <v>120.9</v>
      </c>
      <c r="Z18" s="2284">
        <v>120.9</v>
      </c>
      <c r="AA18" s="2284">
        <v>121</v>
      </c>
      <c r="AB18" s="2284">
        <v>121.2</v>
      </c>
      <c r="AC18" s="2299"/>
      <c r="AD18" s="2291"/>
      <c r="AE18" s="2515"/>
      <c r="AF18" s="2515"/>
      <c r="AG18" s="2515"/>
      <c r="AH18" s="2515"/>
      <c r="AI18" s="2515"/>
      <c r="AJ18" s="2515"/>
      <c r="AK18" s="2515"/>
      <c r="AL18" s="2515"/>
      <c r="AM18" s="2515"/>
      <c r="AN18" s="2515"/>
      <c r="AO18" s="2515"/>
      <c r="AP18" s="2515"/>
      <c r="AQ18" s="2515"/>
      <c r="AR18" s="2515"/>
      <c r="AT18" s="2282">
        <v>1987</v>
      </c>
      <c r="AU18" s="2284">
        <v>109.4</v>
      </c>
      <c r="AV18" s="2284">
        <v>109.7</v>
      </c>
      <c r="AW18" s="2284">
        <v>109.9</v>
      </c>
      <c r="AX18" s="2284">
        <v>110</v>
      </c>
      <c r="AY18" s="2284">
        <v>110.1</v>
      </c>
      <c r="AZ18" s="2284">
        <v>110.5</v>
      </c>
      <c r="BA18" s="2284">
        <v>110.7</v>
      </c>
      <c r="BB18" s="2284">
        <v>110.7</v>
      </c>
      <c r="BC18" s="2284">
        <v>110.9</v>
      </c>
      <c r="BD18" s="2284">
        <v>111</v>
      </c>
      <c r="BE18" s="2284">
        <v>111.2</v>
      </c>
      <c r="BF18" s="2284">
        <v>111.3</v>
      </c>
      <c r="BG18" s="2284"/>
      <c r="BI18" s="2275" t="s">
        <v>1351</v>
      </c>
      <c r="BJ18" s="2276"/>
      <c r="BK18" s="2276"/>
      <c r="BL18" s="2276"/>
      <c r="BM18" s="2276"/>
      <c r="BN18" s="2276"/>
      <c r="BO18" s="2276"/>
      <c r="BP18" s="2276"/>
      <c r="BQ18" s="2276"/>
      <c r="BR18" s="2276"/>
      <c r="BS18" s="2276"/>
      <c r="BT18" s="2276"/>
      <c r="BU18" s="2276"/>
      <c r="BV18" s="2277"/>
      <c r="BX18" s="2320">
        <v>2004</v>
      </c>
      <c r="BY18" s="2321">
        <v>6825</v>
      </c>
      <c r="BZ18" s="2321">
        <v>6862</v>
      </c>
      <c r="CA18" s="2321" t="s">
        <v>249</v>
      </c>
      <c r="CB18" s="2321">
        <v>7017</v>
      </c>
      <c r="CC18" s="2321">
        <v>7065</v>
      </c>
      <c r="CD18" s="2321">
        <v>7109</v>
      </c>
      <c r="CE18" s="2321"/>
      <c r="CF18" s="2321"/>
      <c r="CG18" s="2321"/>
      <c r="CH18" s="2321"/>
      <c r="CI18" s="2321"/>
      <c r="CJ18" s="2321"/>
      <c r="CK18" s="2321"/>
      <c r="CM18" s="2320">
        <v>1997</v>
      </c>
      <c r="CN18" s="2321">
        <v>3332</v>
      </c>
      <c r="CO18" s="2321">
        <v>3333</v>
      </c>
      <c r="CP18" s="2321">
        <v>3323</v>
      </c>
      <c r="CQ18" s="2321">
        <v>3364</v>
      </c>
      <c r="CR18" s="2321">
        <v>3377</v>
      </c>
      <c r="CS18" s="2321">
        <v>3396</v>
      </c>
      <c r="CT18" s="2321">
        <v>3392</v>
      </c>
      <c r="CU18" s="2321">
        <v>3385</v>
      </c>
      <c r="CV18" s="2321">
        <v>3378</v>
      </c>
      <c r="CW18" s="2321">
        <v>3372</v>
      </c>
      <c r="CX18" s="2321">
        <v>3350</v>
      </c>
      <c r="CY18" s="2321">
        <v>3370</v>
      </c>
      <c r="CZ18" s="2321" t="s">
        <v>261</v>
      </c>
    </row>
    <row r="19" spans="1:104" ht="14.25" thickBot="1">
      <c r="A19" s="1854" t="s">
        <v>985</v>
      </c>
      <c r="B19" s="1737">
        <v>40.4</v>
      </c>
      <c r="C19" s="2368" t="s">
        <v>1066</v>
      </c>
      <c r="D19" s="1853">
        <f>ENR_Steel/H19</f>
        <v>2.568340750158932</v>
      </c>
      <c r="E19" s="2413">
        <f>ENR_Steel/28.29</f>
        <v>1.4280664545775892</v>
      </c>
      <c r="F19" s="2313"/>
      <c r="G19" s="2313"/>
      <c r="H19" s="2315">
        <v>15.73</v>
      </c>
      <c r="I19" s="2313"/>
      <c r="J19" s="1855">
        <f>BS71</f>
        <v>75</v>
      </c>
      <c r="K19" s="1855">
        <f>L19</f>
        <v>262.1</v>
      </c>
      <c r="L19" s="2155">
        <v>262.1</v>
      </c>
      <c r="M19" s="1855" t="s">
        <v>1097</v>
      </c>
      <c r="N19" s="2150">
        <v>29.675004533091567</v>
      </c>
      <c r="O19" s="2290"/>
      <c r="P19" s="2282">
        <v>1992</v>
      </c>
      <c r="Q19" s="2283">
        <v>120.8</v>
      </c>
      <c r="R19" s="2283">
        <v>121.1</v>
      </c>
      <c r="S19" s="2283">
        <v>121.3</v>
      </c>
      <c r="T19" s="2283">
        <v>121.1</v>
      </c>
      <c r="U19" s="2283">
        <v>121.3</v>
      </c>
      <c r="V19" s="2283">
        <v>121.2</v>
      </c>
      <c r="W19" s="2283">
        <v>121.2</v>
      </c>
      <c r="X19" s="2283">
        <v>121.4</v>
      </c>
      <c r="Y19" s="2283">
        <v>121.3</v>
      </c>
      <c r="Z19" s="2283">
        <v>121.5</v>
      </c>
      <c r="AA19" s="2283">
        <v>121.7</v>
      </c>
      <c r="AB19" s="2283">
        <v>121.9</v>
      </c>
      <c r="AC19" s="2285"/>
      <c r="AD19" s="2290"/>
      <c r="AE19" s="2293" t="s">
        <v>1336</v>
      </c>
      <c r="AF19" s="2276"/>
      <c r="AG19" s="2276"/>
      <c r="AH19" s="2276"/>
      <c r="AI19" s="2276"/>
      <c r="AJ19" s="2276"/>
      <c r="AK19" s="2276"/>
      <c r="AL19" s="2276"/>
      <c r="AM19" s="2276"/>
      <c r="AN19" s="2276"/>
      <c r="AO19" s="2276"/>
      <c r="AP19" s="2276"/>
      <c r="AQ19" s="2276"/>
      <c r="AR19" s="2277"/>
      <c r="AT19" s="2282">
        <v>1988</v>
      </c>
      <c r="AU19" s="2283">
        <v>111.5</v>
      </c>
      <c r="AV19" s="2283">
        <v>111.7</v>
      </c>
      <c r="AW19" s="2283">
        <v>111.4</v>
      </c>
      <c r="AX19" s="2283">
        <v>111.9</v>
      </c>
      <c r="AY19" s="2283">
        <v>112</v>
      </c>
      <c r="AZ19" s="2283">
        <v>112</v>
      </c>
      <c r="BA19" s="2283">
        <v>112</v>
      </c>
      <c r="BB19" s="2283">
        <v>112.2</v>
      </c>
      <c r="BC19" s="2283">
        <v>112.1</v>
      </c>
      <c r="BD19" s="2283">
        <v>112.1</v>
      </c>
      <c r="BE19" s="2283">
        <v>112.3</v>
      </c>
      <c r="BF19" s="2283">
        <v>112.6</v>
      </c>
      <c r="BG19" s="2283"/>
      <c r="BI19" s="2278" t="s">
        <v>1302</v>
      </c>
      <c r="BJ19"/>
      <c r="BK19"/>
      <c r="BL19"/>
      <c r="BM19"/>
      <c r="BN19"/>
      <c r="BO19"/>
      <c r="BP19"/>
      <c r="BQ19"/>
      <c r="BR19"/>
      <c r="BS19"/>
      <c r="BT19"/>
      <c r="BU19"/>
      <c r="BV19" s="2279"/>
      <c r="BX19" s="2519" t="s">
        <v>250</v>
      </c>
      <c r="BY19" s="2519"/>
      <c r="BZ19" s="2519"/>
      <c r="CA19" s="2519"/>
      <c r="CB19" s="2519"/>
      <c r="CC19" s="2519"/>
      <c r="CD19" s="2519"/>
      <c r="CE19" s="2519"/>
      <c r="CF19" s="2519"/>
      <c r="CG19" s="2519"/>
      <c r="CH19" s="2519"/>
      <c r="CI19" s="2519"/>
      <c r="CJ19" s="2519"/>
      <c r="CK19" s="2519"/>
      <c r="CM19" s="2320">
        <v>1998</v>
      </c>
      <c r="CN19" s="2321">
        <v>3363</v>
      </c>
      <c r="CO19" s="2321">
        <v>3372</v>
      </c>
      <c r="CP19" s="2321">
        <v>3368</v>
      </c>
      <c r="CQ19" s="2321">
        <v>3375</v>
      </c>
      <c r="CR19" s="2321">
        <v>3374</v>
      </c>
      <c r="CS19" s="2321">
        <v>3379</v>
      </c>
      <c r="CT19" s="2321">
        <v>3382</v>
      </c>
      <c r="CU19" s="2321">
        <v>3391</v>
      </c>
      <c r="CV19" s="2321">
        <v>3414</v>
      </c>
      <c r="CW19" s="2321">
        <v>3423</v>
      </c>
      <c r="CX19" s="2321">
        <v>3424</v>
      </c>
      <c r="CY19" s="2321">
        <v>3419</v>
      </c>
      <c r="CZ19" s="2321">
        <v>3391</v>
      </c>
    </row>
    <row r="20" spans="1:104" ht="13.5">
      <c r="A20" s="1857" t="s">
        <v>768</v>
      </c>
      <c r="B20" s="2354"/>
      <c r="C20" s="2366"/>
      <c r="D20" s="2351"/>
      <c r="E20" s="2109"/>
      <c r="F20" s="2109"/>
      <c r="G20" s="2109"/>
      <c r="H20" s="2109"/>
      <c r="I20" s="2109"/>
      <c r="J20" s="2109"/>
      <c r="K20" s="2109"/>
      <c r="L20" s="2109"/>
      <c r="M20" s="2109"/>
      <c r="N20" s="416"/>
      <c r="O20" s="2292"/>
      <c r="P20" s="2282">
        <v>1993</v>
      </c>
      <c r="Q20" s="2284">
        <v>121.9</v>
      </c>
      <c r="R20" s="2284">
        <v>121.9</v>
      </c>
      <c r="S20" s="2284">
        <v>122.1</v>
      </c>
      <c r="T20" s="2284">
        <v>122.4</v>
      </c>
      <c r="U20" s="2284">
        <v>122.3</v>
      </c>
      <c r="V20" s="2284">
        <v>122.4</v>
      </c>
      <c r="W20" s="2284">
        <v>122.4</v>
      </c>
      <c r="X20" s="2284">
        <v>122.6</v>
      </c>
      <c r="Y20" s="2284">
        <v>122.7</v>
      </c>
      <c r="Z20" s="2284">
        <v>122.8</v>
      </c>
      <c r="AA20" s="2284">
        <v>122.9</v>
      </c>
      <c r="AB20" s="2284">
        <v>122.9</v>
      </c>
      <c r="AC20" s="2299"/>
      <c r="AD20" s="2291"/>
      <c r="AE20" s="2288" t="s">
        <v>1302</v>
      </c>
      <c r="AF20"/>
      <c r="AG20"/>
      <c r="AH20"/>
      <c r="AI20"/>
      <c r="AJ20"/>
      <c r="AK20"/>
      <c r="AL20"/>
      <c r="AM20"/>
      <c r="AN20"/>
      <c r="AO20"/>
      <c r="AP20"/>
      <c r="AQ20"/>
      <c r="AR20" s="2279"/>
      <c r="AT20" s="2282">
        <v>1989</v>
      </c>
      <c r="AU20" s="2284">
        <v>112.6</v>
      </c>
      <c r="AV20" s="2284">
        <v>112.4</v>
      </c>
      <c r="AW20" s="2284">
        <v>112.1</v>
      </c>
      <c r="AX20" s="2284">
        <v>112.6</v>
      </c>
      <c r="AY20" s="2284">
        <v>112.7</v>
      </c>
      <c r="AZ20" s="2284">
        <v>113</v>
      </c>
      <c r="BA20" s="2284">
        <v>113.2</v>
      </c>
      <c r="BB20" s="2284">
        <v>113.2</v>
      </c>
      <c r="BC20" s="2284">
        <v>113.8</v>
      </c>
      <c r="BD20" s="2284">
        <v>114</v>
      </c>
      <c r="BE20" s="2284">
        <v>114.1</v>
      </c>
      <c r="BF20" s="2284">
        <v>114.2</v>
      </c>
      <c r="BG20" s="2284"/>
      <c r="BI20" s="2280" t="s">
        <v>1324</v>
      </c>
      <c r="BJ20"/>
      <c r="BK20"/>
      <c r="BL20"/>
      <c r="BM20"/>
      <c r="BN20"/>
      <c r="BO20"/>
      <c r="BP20"/>
      <c r="BQ20"/>
      <c r="BR20"/>
      <c r="BS20"/>
      <c r="BT20"/>
      <c r="BU20"/>
      <c r="BV20" s="2279"/>
      <c r="BX20" s="2521" t="s">
        <v>251</v>
      </c>
      <c r="BY20" s="2521"/>
      <c r="BZ20" s="2521"/>
      <c r="CA20" s="2521"/>
      <c r="CB20" s="2521"/>
      <c r="CC20" s="2521"/>
      <c r="CD20" s="2521"/>
      <c r="CE20" s="2521"/>
      <c r="CF20" s="2521"/>
      <c r="CG20" s="2521"/>
      <c r="CH20" s="2521"/>
      <c r="CI20" s="2521"/>
      <c r="CJ20" s="2316"/>
      <c r="CK20" s="2316"/>
      <c r="CM20" s="2320">
        <v>1999</v>
      </c>
      <c r="CN20" s="2321">
        <v>3425</v>
      </c>
      <c r="CO20" s="2321">
        <v>3417</v>
      </c>
      <c r="CP20" s="2321">
        <v>3411</v>
      </c>
      <c r="CQ20" s="2321">
        <v>3421</v>
      </c>
      <c r="CR20" s="2321">
        <v>3422</v>
      </c>
      <c r="CS20" s="2321">
        <v>3433</v>
      </c>
      <c r="CT20" s="2321">
        <v>3460</v>
      </c>
      <c r="CU20" s="2321">
        <v>3474</v>
      </c>
      <c r="CV20" s="2321">
        <v>3504</v>
      </c>
      <c r="CW20" s="2321">
        <v>3505</v>
      </c>
      <c r="CX20" s="2321">
        <v>3498</v>
      </c>
      <c r="CY20" s="2321">
        <v>3497</v>
      </c>
      <c r="CZ20" s="2321">
        <v>3456</v>
      </c>
    </row>
    <row r="21" spans="1:104" ht="15" thickBot="1">
      <c r="A21" s="413" t="s">
        <v>1630</v>
      </c>
      <c r="B21" s="2157">
        <v>0.07</v>
      </c>
      <c r="C21" s="2365" t="s">
        <v>1068</v>
      </c>
      <c r="D21" s="2369">
        <f>Power/F21</f>
        <v>2.3333333333333335</v>
      </c>
      <c r="E21" s="2369">
        <f>Power/0.07</f>
        <v>1</v>
      </c>
      <c r="F21" s="1850">
        <v>0.03</v>
      </c>
      <c r="G21" s="2312"/>
      <c r="H21" s="2312"/>
      <c r="I21" s="2312"/>
      <c r="J21" s="2312"/>
      <c r="K21" s="2312"/>
      <c r="L21" s="2312" t="s">
        <v>1095</v>
      </c>
      <c r="M21" s="2312" t="s">
        <v>1095</v>
      </c>
      <c r="N21" s="2147">
        <v>0.03</v>
      </c>
      <c r="O21" s="2292"/>
      <c r="P21" s="2513"/>
      <c r="Q21" s="2513"/>
      <c r="R21" s="2513"/>
      <c r="S21" s="2513"/>
      <c r="T21" s="2513"/>
      <c r="U21" s="2513"/>
      <c r="V21" s="2513"/>
      <c r="W21" s="2513"/>
      <c r="X21" s="2513"/>
      <c r="Y21" s="2513"/>
      <c r="Z21" s="2513"/>
      <c r="AA21" s="2513"/>
      <c r="AB21" s="2513"/>
      <c r="AC21" s="2513"/>
      <c r="AD21" s="2297"/>
      <c r="AE21" s="2287" t="s">
        <v>1303</v>
      </c>
      <c r="AF21"/>
      <c r="AG21"/>
      <c r="AH21"/>
      <c r="AI21"/>
      <c r="AJ21"/>
      <c r="AK21"/>
      <c r="AL21"/>
      <c r="AM21"/>
      <c r="AN21"/>
      <c r="AO21"/>
      <c r="AP21"/>
      <c r="AQ21"/>
      <c r="AR21" s="2279"/>
      <c r="AT21" s="2282">
        <v>1990</v>
      </c>
      <c r="AU21" s="2283">
        <v>114</v>
      </c>
      <c r="AV21" s="2283">
        <v>114.5</v>
      </c>
      <c r="AW21" s="2283">
        <v>114.6</v>
      </c>
      <c r="AX21" s="2283">
        <v>114.7</v>
      </c>
      <c r="AY21" s="2283">
        <v>115.1</v>
      </c>
      <c r="AZ21" s="2283">
        <v>115.1</v>
      </c>
      <c r="BA21" s="2283">
        <v>115.2</v>
      </c>
      <c r="BB21" s="2283">
        <v>115.4</v>
      </c>
      <c r="BC21" s="2283">
        <v>115.9</v>
      </c>
      <c r="BD21" s="2283">
        <v>116.1</v>
      </c>
      <c r="BE21" s="2283">
        <v>116.5</v>
      </c>
      <c r="BF21" s="2283">
        <v>116.4</v>
      </c>
      <c r="BG21" s="2283"/>
      <c r="BI21" s="2280" t="s">
        <v>1325</v>
      </c>
      <c r="BJ21"/>
      <c r="BK21"/>
      <c r="BL21"/>
      <c r="BM21"/>
      <c r="BN21"/>
      <c r="BO21"/>
      <c r="BP21"/>
      <c r="BQ21"/>
      <c r="BR21"/>
      <c r="BS21"/>
      <c r="BT21"/>
      <c r="BU21"/>
      <c r="BV21" s="2279"/>
      <c r="BX21" s="2521"/>
      <c r="BY21" s="2521"/>
      <c r="BZ21" s="2521"/>
      <c r="CA21" s="2521"/>
      <c r="CB21" s="2521"/>
      <c r="CC21" s="2521"/>
      <c r="CD21" s="2521"/>
      <c r="CE21" s="2521"/>
      <c r="CF21" s="2521"/>
      <c r="CG21" s="2521"/>
      <c r="CH21" s="2521"/>
      <c r="CI21" s="2521"/>
      <c r="CJ21" s="2316"/>
      <c r="CK21" s="2316"/>
      <c r="CM21" s="2522"/>
      <c r="CN21" s="2523" t="s">
        <v>234</v>
      </c>
      <c r="CO21" s="2523" t="s">
        <v>235</v>
      </c>
      <c r="CP21" s="2523" t="s">
        <v>236</v>
      </c>
      <c r="CQ21" s="2523" t="s">
        <v>237</v>
      </c>
      <c r="CR21" s="2523" t="s">
        <v>238</v>
      </c>
      <c r="CS21" s="2523" t="s">
        <v>239</v>
      </c>
      <c r="CT21" s="2523" t="s">
        <v>240</v>
      </c>
      <c r="CU21" s="2523" t="s">
        <v>241</v>
      </c>
      <c r="CV21" s="2523" t="s">
        <v>242</v>
      </c>
      <c r="CW21" s="2523" t="s">
        <v>243</v>
      </c>
      <c r="CX21" s="2523" t="s">
        <v>244</v>
      </c>
      <c r="CY21" s="2523" t="s">
        <v>245</v>
      </c>
      <c r="CZ21" s="2322" t="s">
        <v>259</v>
      </c>
    </row>
    <row r="22" spans="2:104" ht="13.5">
      <c r="B22" s="1738"/>
      <c r="D22" s="408"/>
      <c r="E22" s="159"/>
      <c r="F22" s="159"/>
      <c r="G22" s="159"/>
      <c r="H22" s="159"/>
      <c r="I22" s="159"/>
      <c r="J22" s="159"/>
      <c r="K22" s="159"/>
      <c r="L22" s="178"/>
      <c r="O22" s="2292"/>
      <c r="P22" s="2286"/>
      <c r="Q22" s="2286"/>
      <c r="R22" s="2286"/>
      <c r="S22" s="2286"/>
      <c r="T22" s="2286"/>
      <c r="U22" s="2286"/>
      <c r="V22" s="2286"/>
      <c r="W22" s="2286"/>
      <c r="X22" s="2286"/>
      <c r="Y22" s="2286"/>
      <c r="Z22" s="2286"/>
      <c r="AA22" s="2286"/>
      <c r="AB22" s="2286"/>
      <c r="AC22" s="2286"/>
      <c r="AD22" s="1"/>
      <c r="AE22" s="2287" t="s">
        <v>1335</v>
      </c>
      <c r="AF22"/>
      <c r="AG22"/>
      <c r="AH22"/>
      <c r="AI22"/>
      <c r="AJ22"/>
      <c r="AK22"/>
      <c r="AL22"/>
      <c r="AM22"/>
      <c r="AN22"/>
      <c r="AO22"/>
      <c r="AP22"/>
      <c r="AQ22"/>
      <c r="AR22" s="2279"/>
      <c r="AT22" s="2282">
        <v>1991</v>
      </c>
      <c r="AU22" s="2284">
        <v>117.2</v>
      </c>
      <c r="AV22" s="2284">
        <v>118.4</v>
      </c>
      <c r="AW22" s="2284">
        <v>118.2</v>
      </c>
      <c r="AX22" s="2284">
        <v>118.1</v>
      </c>
      <c r="AY22" s="2284">
        <v>118.4</v>
      </c>
      <c r="AZ22" s="2284">
        <v>118.5</v>
      </c>
      <c r="BA22" s="2284">
        <v>118.6</v>
      </c>
      <c r="BB22" s="2284">
        <v>118.7</v>
      </c>
      <c r="BC22" s="2284">
        <v>118.6</v>
      </c>
      <c r="BD22" s="2284">
        <v>118.7</v>
      </c>
      <c r="BE22" s="2284">
        <v>118.8</v>
      </c>
      <c r="BF22" s="2284">
        <v>118.8</v>
      </c>
      <c r="BG22" s="2284"/>
      <c r="BI22" s="2280" t="s">
        <v>1350</v>
      </c>
      <c r="BJ22"/>
      <c r="BK22"/>
      <c r="BL22"/>
      <c r="BM22"/>
      <c r="BN22"/>
      <c r="BO22"/>
      <c r="BP22"/>
      <c r="BQ22"/>
      <c r="BR22"/>
      <c r="BS22"/>
      <c r="BT22"/>
      <c r="BU22"/>
      <c r="BV22" s="2279"/>
      <c r="BX22" s="2521"/>
      <c r="BY22" s="2521"/>
      <c r="BZ22" s="2521"/>
      <c r="CA22" s="2521"/>
      <c r="CB22" s="2521"/>
      <c r="CC22" s="2521"/>
      <c r="CD22" s="2521"/>
      <c r="CE22" s="2521"/>
      <c r="CF22" s="2521"/>
      <c r="CG22" s="2521"/>
      <c r="CH22" s="2521"/>
      <c r="CI22" s="2521"/>
      <c r="CJ22" s="2316"/>
      <c r="CK22" s="2316"/>
      <c r="CM22" s="2522"/>
      <c r="CN22" s="2523"/>
      <c r="CO22" s="2523"/>
      <c r="CP22" s="2523"/>
      <c r="CQ22" s="2523"/>
      <c r="CR22" s="2523"/>
      <c r="CS22" s="2523"/>
      <c r="CT22" s="2523"/>
      <c r="CU22" s="2523"/>
      <c r="CV22" s="2523"/>
      <c r="CW22" s="2523"/>
      <c r="CX22" s="2523"/>
      <c r="CY22" s="2523"/>
      <c r="CZ22" s="2322" t="s">
        <v>260</v>
      </c>
    </row>
    <row r="23" spans="1:104" ht="14.25" thickBot="1">
      <c r="A23" s="2161" t="s">
        <v>1104</v>
      </c>
      <c r="B23" s="1738"/>
      <c r="D23" s="408"/>
      <c r="E23" s="159"/>
      <c r="F23" s="159"/>
      <c r="G23" s="159"/>
      <c r="H23" s="159"/>
      <c r="I23" s="159"/>
      <c r="J23" s="159"/>
      <c r="K23" s="159"/>
      <c r="L23" s="178"/>
      <c r="O23" s="2292"/>
      <c r="P23" s="2514"/>
      <c r="Q23" s="2514"/>
      <c r="R23" s="2514"/>
      <c r="S23" s="2514"/>
      <c r="T23" s="2514"/>
      <c r="U23" s="2514"/>
      <c r="V23" s="2514"/>
      <c r="W23" s="2514"/>
      <c r="X23" s="2514"/>
      <c r="Y23" s="2514"/>
      <c r="Z23" s="2514"/>
      <c r="AA23" s="2514"/>
      <c r="AB23" s="2514"/>
      <c r="AC23" s="2514"/>
      <c r="AD23" s="2297"/>
      <c r="AE23" s="2287" t="s">
        <v>1305</v>
      </c>
      <c r="AF23"/>
      <c r="AG23"/>
      <c r="AH23"/>
      <c r="AI23"/>
      <c r="AJ23"/>
      <c r="AK23"/>
      <c r="AL23"/>
      <c r="AM23"/>
      <c r="AN23"/>
      <c r="AO23"/>
      <c r="AP23"/>
      <c r="AQ23"/>
      <c r="AR23" s="2279"/>
      <c r="AT23" s="2282">
        <v>1992</v>
      </c>
      <c r="AU23" s="2283">
        <v>118.9</v>
      </c>
      <c r="AV23" s="2283">
        <v>118.9</v>
      </c>
      <c r="AW23" s="2283">
        <v>119.4</v>
      </c>
      <c r="AX23" s="2283">
        <v>118.8</v>
      </c>
      <c r="AY23" s="2283">
        <v>119</v>
      </c>
      <c r="AZ23" s="2283">
        <v>119</v>
      </c>
      <c r="BA23" s="2283">
        <v>119.3</v>
      </c>
      <c r="BB23" s="2283">
        <v>119.4</v>
      </c>
      <c r="BC23" s="2283">
        <v>119.5</v>
      </c>
      <c r="BD23" s="2283">
        <v>119.9</v>
      </c>
      <c r="BE23" s="2283">
        <v>120.2</v>
      </c>
      <c r="BF23" s="2283">
        <v>120.5</v>
      </c>
      <c r="BG23" s="2283"/>
      <c r="BI23" s="2510"/>
      <c r="BJ23" s="2511"/>
      <c r="BK23" s="2511"/>
      <c r="BL23" s="2511"/>
      <c r="BM23" s="2511"/>
      <c r="BN23" s="2511"/>
      <c r="BO23" s="2511"/>
      <c r="BP23" s="2511"/>
      <c r="BQ23" s="2511"/>
      <c r="BR23" s="2511"/>
      <c r="BS23" s="2511"/>
      <c r="BT23" s="2511"/>
      <c r="BU23" s="2511"/>
      <c r="BV23" s="2512"/>
      <c r="BX23" s="2520" t="s">
        <v>252</v>
      </c>
      <c r="BY23" s="2520"/>
      <c r="BZ23" s="2520"/>
      <c r="CA23" s="2520"/>
      <c r="CB23" s="2520"/>
      <c r="CC23" s="2520"/>
      <c r="CD23" s="2520"/>
      <c r="CE23" s="2520"/>
      <c r="CF23" s="2316"/>
      <c r="CG23" s="2316"/>
      <c r="CH23" s="2316"/>
      <c r="CI23" s="2316"/>
      <c r="CJ23" s="2316"/>
      <c r="CK23" s="2316"/>
      <c r="CM23" s="2320">
        <v>2000</v>
      </c>
      <c r="CN23" s="2321">
        <v>3503</v>
      </c>
      <c r="CO23" s="2321">
        <v>3523</v>
      </c>
      <c r="CP23" s="2321">
        <v>3536</v>
      </c>
      <c r="CQ23" s="2321">
        <v>3534</v>
      </c>
      <c r="CR23" s="2321">
        <v>3558</v>
      </c>
      <c r="CS23" s="2321">
        <v>3553</v>
      </c>
      <c r="CT23" s="2321">
        <v>3545</v>
      </c>
      <c r="CU23" s="2321">
        <v>3546</v>
      </c>
      <c r="CV23" s="2321">
        <v>3539</v>
      </c>
      <c r="CW23" s="2321">
        <v>3547</v>
      </c>
      <c r="CX23" s="2321">
        <v>3541</v>
      </c>
      <c r="CY23" s="2321">
        <v>3548</v>
      </c>
      <c r="CZ23" s="2321">
        <v>3539</v>
      </c>
    </row>
    <row r="24" spans="1:104" ht="13.5">
      <c r="A24" s="409" t="s">
        <v>1051</v>
      </c>
      <c r="B24" s="1739">
        <v>6</v>
      </c>
      <c r="C24" s="410" t="s">
        <v>1070</v>
      </c>
      <c r="D24" s="408"/>
      <c r="M24" s="407" t="s">
        <v>1098</v>
      </c>
      <c r="O24" s="2292"/>
      <c r="P24" s="2515"/>
      <c r="Q24" s="2515"/>
      <c r="R24" s="2515"/>
      <c r="S24" s="2515"/>
      <c r="T24" s="2515"/>
      <c r="U24" s="2515"/>
      <c r="V24" s="2515"/>
      <c r="W24" s="2515"/>
      <c r="X24" s="2515"/>
      <c r="Y24" s="2515"/>
      <c r="Z24" s="2515"/>
      <c r="AA24" s="2515"/>
      <c r="AB24" s="2515"/>
      <c r="AC24" s="2515"/>
      <c r="AD24" s="2297"/>
      <c r="AE24" s="2511"/>
      <c r="AF24" s="2511"/>
      <c r="AG24" s="2511"/>
      <c r="AH24" s="2511"/>
      <c r="AI24" s="2511"/>
      <c r="AJ24" s="2511"/>
      <c r="AK24" s="2511"/>
      <c r="AL24" s="2511"/>
      <c r="AM24" s="2511"/>
      <c r="AN24" s="2511"/>
      <c r="AO24" s="2511"/>
      <c r="AP24" s="2511"/>
      <c r="AQ24" s="2511"/>
      <c r="AR24" s="2512"/>
      <c r="AT24" s="2282">
        <v>1993</v>
      </c>
      <c r="AU24" s="2284">
        <v>121</v>
      </c>
      <c r="AV24" s="2284">
        <v>121.2</v>
      </c>
      <c r="AW24" s="2284">
        <v>121.5</v>
      </c>
      <c r="AX24" s="2284">
        <v>122.6</v>
      </c>
      <c r="AY24" s="2284">
        <v>122.7</v>
      </c>
      <c r="AZ24" s="2284">
        <v>123.2</v>
      </c>
      <c r="BA24" s="2284">
        <v>123.5</v>
      </c>
      <c r="BB24" s="2284">
        <v>123.7</v>
      </c>
      <c r="BC24" s="2284">
        <v>124.6</v>
      </c>
      <c r="BD24" s="2284">
        <v>125.6</v>
      </c>
      <c r="BE24" s="2284">
        <v>125.5</v>
      </c>
      <c r="BF24" s="2284">
        <v>126</v>
      </c>
      <c r="BG24" s="2284"/>
      <c r="BI24" s="2281" t="s">
        <v>981</v>
      </c>
      <c r="BJ24" s="2281" t="s">
        <v>1306</v>
      </c>
      <c r="BK24" s="2281" t="s">
        <v>1307</v>
      </c>
      <c r="BL24" s="2281" t="s">
        <v>1308</v>
      </c>
      <c r="BM24" s="2281" t="s">
        <v>1309</v>
      </c>
      <c r="BN24" s="2281" t="s">
        <v>1310</v>
      </c>
      <c r="BO24" s="2281" t="s">
        <v>1311</v>
      </c>
      <c r="BP24" s="2281" t="s">
        <v>1312</v>
      </c>
      <c r="BQ24" s="2281" t="s">
        <v>1313</v>
      </c>
      <c r="BR24" s="2281" t="s">
        <v>1314</v>
      </c>
      <c r="BS24" s="2281" t="s">
        <v>1315</v>
      </c>
      <c r="BT24" s="2281" t="s">
        <v>1316</v>
      </c>
      <c r="BU24" s="2281" t="s">
        <v>1317</v>
      </c>
      <c r="BV24" s="2281" t="s">
        <v>1318</v>
      </c>
      <c r="BX24" s="2320">
        <v>1908</v>
      </c>
      <c r="BY24" s="2321">
        <v>97</v>
      </c>
      <c r="BZ24" s="2320">
        <v>1931</v>
      </c>
      <c r="CA24" s="2321">
        <v>181</v>
      </c>
      <c r="CB24" s="2320">
        <v>1954</v>
      </c>
      <c r="CC24" s="2321">
        <v>628</v>
      </c>
      <c r="CD24" s="2320">
        <v>1977</v>
      </c>
      <c r="CE24" s="2321">
        <v>2576</v>
      </c>
      <c r="CF24" s="2316"/>
      <c r="CG24" s="2316"/>
      <c r="CH24" s="2323"/>
      <c r="CI24" s="2321"/>
      <c r="CJ24" s="2316"/>
      <c r="CK24" s="2316"/>
      <c r="CM24" s="2320">
        <v>2001</v>
      </c>
      <c r="CN24" s="2321">
        <v>3545</v>
      </c>
      <c r="CO24" s="2321">
        <v>3536</v>
      </c>
      <c r="CP24" s="2321">
        <v>3541</v>
      </c>
      <c r="CQ24" s="2321">
        <v>3541</v>
      </c>
      <c r="CR24" s="2321">
        <v>3547</v>
      </c>
      <c r="CS24" s="2321">
        <v>3572</v>
      </c>
      <c r="CT24" s="2321">
        <v>3625</v>
      </c>
      <c r="CU24" s="2321">
        <v>3605</v>
      </c>
      <c r="CV24" s="2321">
        <v>3597</v>
      </c>
      <c r="CW24" s="2321">
        <v>3602</v>
      </c>
      <c r="CX24" s="2321">
        <v>3596</v>
      </c>
      <c r="CY24" s="2321">
        <v>3577</v>
      </c>
      <c r="CZ24" s="2321">
        <v>3574</v>
      </c>
    </row>
    <row r="25" spans="1:104" ht="13.5">
      <c r="A25" s="411" t="s">
        <v>1763</v>
      </c>
      <c r="B25" s="1735">
        <v>30</v>
      </c>
      <c r="C25" s="412" t="s">
        <v>1071</v>
      </c>
      <c r="D25" s="408"/>
      <c r="M25" s="407" t="s">
        <v>1331</v>
      </c>
      <c r="O25" s="2292"/>
      <c r="P25" s="2275" t="s">
        <v>1301</v>
      </c>
      <c r="Q25" s="2276"/>
      <c r="R25" s="2276"/>
      <c r="S25" s="2276"/>
      <c r="T25" s="2276"/>
      <c r="U25" s="2276"/>
      <c r="V25" s="2276"/>
      <c r="W25" s="2276"/>
      <c r="X25" s="2276"/>
      <c r="Y25" s="2276"/>
      <c r="Z25" s="2276"/>
      <c r="AA25" s="2276"/>
      <c r="AB25" s="2276"/>
      <c r="AC25" s="2276"/>
      <c r="AD25" s="1"/>
      <c r="AE25" s="2294" t="s">
        <v>981</v>
      </c>
      <c r="AF25" s="2281" t="s">
        <v>1306</v>
      </c>
      <c r="AG25" s="2281" t="s">
        <v>1307</v>
      </c>
      <c r="AH25" s="2281" t="s">
        <v>1308</v>
      </c>
      <c r="AI25" s="2281" t="s">
        <v>1309</v>
      </c>
      <c r="AJ25" s="2281" t="s">
        <v>1310</v>
      </c>
      <c r="AK25" s="2281" t="s">
        <v>1311</v>
      </c>
      <c r="AL25" s="2281" t="s">
        <v>1312</v>
      </c>
      <c r="AM25" s="2281" t="s">
        <v>1313</v>
      </c>
      <c r="AN25" s="2281" t="s">
        <v>1314</v>
      </c>
      <c r="AO25" s="2281" t="s">
        <v>1315</v>
      </c>
      <c r="AP25" s="2281" t="s">
        <v>1316</v>
      </c>
      <c r="AQ25" s="2281" t="s">
        <v>1317</v>
      </c>
      <c r="AR25" s="2281" t="s">
        <v>1318</v>
      </c>
      <c r="AT25" s="2282">
        <v>1994</v>
      </c>
      <c r="AU25" s="2283">
        <v>126.5</v>
      </c>
      <c r="AV25" s="2283">
        <v>126.8</v>
      </c>
      <c r="AW25" s="2283">
        <v>127.4</v>
      </c>
      <c r="AX25" s="2283">
        <v>127.7</v>
      </c>
      <c r="AY25" s="2283">
        <v>127.9</v>
      </c>
      <c r="AZ25" s="2283">
        <v>128.5</v>
      </c>
      <c r="BA25" s="2283">
        <v>128.8</v>
      </c>
      <c r="BB25" s="2283">
        <v>129.5</v>
      </c>
      <c r="BC25" s="2283">
        <v>129.8</v>
      </c>
      <c r="BD25" s="2283">
        <v>130.3</v>
      </c>
      <c r="BE25" s="2283">
        <v>130.5</v>
      </c>
      <c r="BF25" s="2283">
        <v>131</v>
      </c>
      <c r="BG25" s="2283"/>
      <c r="BI25" s="2282">
        <v>1978</v>
      </c>
      <c r="BJ25" s="2283">
        <v>237.5</v>
      </c>
      <c r="BK25" s="2283">
        <v>246.4</v>
      </c>
      <c r="BL25" s="2283">
        <v>248.8</v>
      </c>
      <c r="BM25" s="2283">
        <v>252.9</v>
      </c>
      <c r="BN25" s="2283">
        <v>253.5</v>
      </c>
      <c r="BO25" s="2283">
        <v>253.9</v>
      </c>
      <c r="BP25" s="2283">
        <v>254.1</v>
      </c>
      <c r="BQ25" s="2283">
        <v>260.3</v>
      </c>
      <c r="BR25" s="2283">
        <v>260.5</v>
      </c>
      <c r="BS25" s="2301">
        <v>262.1</v>
      </c>
      <c r="BT25" s="2283">
        <v>262</v>
      </c>
      <c r="BU25" s="2283">
        <v>262.1</v>
      </c>
      <c r="BV25" s="2302">
        <v>254.5</v>
      </c>
      <c r="BX25" s="2320">
        <v>1909</v>
      </c>
      <c r="BY25" s="2321">
        <v>91</v>
      </c>
      <c r="BZ25" s="2320">
        <v>1932</v>
      </c>
      <c r="CA25" s="2321">
        <v>157</v>
      </c>
      <c r="CB25" s="2320">
        <v>1955</v>
      </c>
      <c r="CC25" s="2321">
        <v>660</v>
      </c>
      <c r="CD25" s="2320">
        <v>1978</v>
      </c>
      <c r="CE25" s="2321">
        <v>2776</v>
      </c>
      <c r="CF25" s="2316"/>
      <c r="CG25" s="2316"/>
      <c r="CH25" s="2332">
        <v>27941</v>
      </c>
      <c r="CI25" s="2327">
        <v>2401</v>
      </c>
      <c r="CJ25" s="2328"/>
      <c r="CK25" s="2316"/>
      <c r="CM25" s="2320">
        <v>2002</v>
      </c>
      <c r="CN25" s="2321">
        <v>3581</v>
      </c>
      <c r="CO25" s="2321">
        <v>3581</v>
      </c>
      <c r="CP25" s="2321">
        <v>3597</v>
      </c>
      <c r="CQ25" s="2321">
        <v>3583</v>
      </c>
      <c r="CR25" s="2321">
        <v>3612</v>
      </c>
      <c r="CS25" s="2321">
        <v>3624</v>
      </c>
      <c r="CT25" s="2321">
        <v>3652</v>
      </c>
      <c r="CU25" s="2321">
        <v>3648</v>
      </c>
      <c r="CV25" s="2321">
        <v>3655</v>
      </c>
      <c r="CW25" s="2321">
        <v>3651</v>
      </c>
      <c r="CX25" s="2321">
        <v>3654</v>
      </c>
      <c r="CY25" s="2321">
        <v>3640</v>
      </c>
      <c r="CZ25" s="2321">
        <v>3623</v>
      </c>
    </row>
    <row r="26" spans="1:104" ht="14.25" thickBot="1">
      <c r="A26" s="413" t="s">
        <v>1060</v>
      </c>
      <c r="B26" s="1736">
        <v>0</v>
      </c>
      <c r="C26" s="414" t="s">
        <v>1069</v>
      </c>
      <c r="D26" s="408"/>
      <c r="M26" s="407" t="s">
        <v>1332</v>
      </c>
      <c r="O26" s="2292"/>
      <c r="P26" s="2278" t="s">
        <v>1302</v>
      </c>
      <c r="Q26"/>
      <c r="R26"/>
      <c r="S26"/>
      <c r="T26"/>
      <c r="U26"/>
      <c r="V26"/>
      <c r="W26"/>
      <c r="X26"/>
      <c r="Y26"/>
      <c r="Z26"/>
      <c r="AA26"/>
      <c r="AB26"/>
      <c r="AC26" s="1"/>
      <c r="AD26" s="1"/>
      <c r="AE26" s="2295">
        <v>1977</v>
      </c>
      <c r="AF26" s="2284">
        <v>64.8</v>
      </c>
      <c r="AG26" s="2284">
        <v>65.4</v>
      </c>
      <c r="AH26" s="2284">
        <v>65.9</v>
      </c>
      <c r="AI26" s="2284">
        <v>66.2</v>
      </c>
      <c r="AJ26" s="2284">
        <v>67</v>
      </c>
      <c r="AK26" s="2284">
        <v>67.1</v>
      </c>
      <c r="AL26" s="2284">
        <v>67.3</v>
      </c>
      <c r="AM26" s="2284">
        <v>67.4</v>
      </c>
      <c r="AN26" s="2284">
        <v>67.2</v>
      </c>
      <c r="AO26" s="2284">
        <v>67.4</v>
      </c>
      <c r="AP26" s="2284">
        <v>67.9</v>
      </c>
      <c r="AQ26" s="2284">
        <v>68</v>
      </c>
      <c r="AR26" s="2284">
        <v>66.8</v>
      </c>
      <c r="AT26" s="2282">
        <v>1995</v>
      </c>
      <c r="AU26" s="2284">
        <v>131.9</v>
      </c>
      <c r="AV26" s="2284">
        <v>132.5</v>
      </c>
      <c r="AW26" s="2284">
        <v>133</v>
      </c>
      <c r="AX26" s="2284">
        <v>133.7</v>
      </c>
      <c r="AY26" s="2284">
        <v>134.3</v>
      </c>
      <c r="AZ26" s="2284">
        <v>134.7</v>
      </c>
      <c r="BA26" s="2284">
        <v>135.3</v>
      </c>
      <c r="BB26" s="2284">
        <v>135.4</v>
      </c>
      <c r="BC26" s="2284">
        <v>135.9</v>
      </c>
      <c r="BD26" s="2284">
        <v>136</v>
      </c>
      <c r="BE26" s="2284">
        <v>136.4</v>
      </c>
      <c r="BF26" s="2284">
        <v>136.7</v>
      </c>
      <c r="BG26" s="2284"/>
      <c r="BI26" s="2282">
        <v>1979</v>
      </c>
      <c r="BJ26" s="2284">
        <v>271.5</v>
      </c>
      <c r="BK26" s="2284">
        <v>271.8</v>
      </c>
      <c r="BL26" s="2284">
        <v>272.5</v>
      </c>
      <c r="BM26" s="2284">
        <v>275</v>
      </c>
      <c r="BN26" s="2284">
        <v>276.7</v>
      </c>
      <c r="BO26" s="2284">
        <v>277.3</v>
      </c>
      <c r="BP26" s="2284">
        <v>284.6</v>
      </c>
      <c r="BQ26" s="2284">
        <v>284.7</v>
      </c>
      <c r="BR26" s="2284">
        <v>284.8</v>
      </c>
      <c r="BS26" s="2284">
        <v>288.3</v>
      </c>
      <c r="BT26" s="2284">
        <v>288.8</v>
      </c>
      <c r="BU26" s="2284">
        <v>289.3</v>
      </c>
      <c r="BV26" s="2284">
        <v>280.4</v>
      </c>
      <c r="BX26" s="2320">
        <v>1910</v>
      </c>
      <c r="BY26" s="2321">
        <v>96</v>
      </c>
      <c r="BZ26" s="2320">
        <v>1933</v>
      </c>
      <c r="CA26" s="2321">
        <v>170</v>
      </c>
      <c r="CB26" s="2320">
        <v>1956</v>
      </c>
      <c r="CC26" s="2321">
        <v>692</v>
      </c>
      <c r="CD26" s="2320">
        <v>1979</v>
      </c>
      <c r="CE26" s="2321">
        <v>3003</v>
      </c>
      <c r="CF26" s="2316"/>
      <c r="CG26" s="2316"/>
      <c r="CH26" s="2332">
        <v>28306</v>
      </c>
      <c r="CI26" s="2327">
        <v>2576</v>
      </c>
      <c r="CJ26" s="2328"/>
      <c r="CK26" s="2316"/>
      <c r="CM26" s="2320">
        <v>2003</v>
      </c>
      <c r="CN26" s="2321">
        <v>3648</v>
      </c>
      <c r="CO26" s="2321">
        <v>3655</v>
      </c>
      <c r="CP26" s="2321">
        <v>3649</v>
      </c>
      <c r="CQ26" s="2321">
        <v>3652</v>
      </c>
      <c r="CR26" s="2321">
        <v>3660</v>
      </c>
      <c r="CS26" s="2321">
        <v>3677</v>
      </c>
      <c r="CT26" s="2321">
        <v>3683</v>
      </c>
      <c r="CU26" s="2321">
        <v>3712</v>
      </c>
      <c r="CV26" s="2321">
        <v>3717</v>
      </c>
      <c r="CW26" s="2321">
        <v>3745</v>
      </c>
      <c r="CX26" s="2321">
        <v>3765</v>
      </c>
      <c r="CY26" s="2321">
        <v>3757</v>
      </c>
      <c r="CZ26" s="2321">
        <v>3693</v>
      </c>
    </row>
    <row r="27" spans="1:104" ht="13.5">
      <c r="A27" s="641"/>
      <c r="B27" s="643"/>
      <c r="C27" s="642"/>
      <c r="D27" s="408"/>
      <c r="M27" s="407" t="s">
        <v>1361</v>
      </c>
      <c r="P27" s="2280" t="s">
        <v>1303</v>
      </c>
      <c r="Q27"/>
      <c r="R27"/>
      <c r="S27"/>
      <c r="T27"/>
      <c r="U27"/>
      <c r="V27"/>
      <c r="W27"/>
      <c r="X27"/>
      <c r="Y27"/>
      <c r="Z27"/>
      <c r="AA27"/>
      <c r="AB27"/>
      <c r="AC27" s="1"/>
      <c r="AD27" s="1"/>
      <c r="AE27" s="2295">
        <v>1978</v>
      </c>
      <c r="AF27" s="2283">
        <v>68.8</v>
      </c>
      <c r="AG27" s="2283">
        <v>69.6</v>
      </c>
      <c r="AH27" s="2283">
        <v>69.9</v>
      </c>
      <c r="AI27" s="2283">
        <v>70.1</v>
      </c>
      <c r="AJ27" s="2283">
        <v>70.6</v>
      </c>
      <c r="AK27" s="2283">
        <v>71.4</v>
      </c>
      <c r="AL27" s="2283">
        <v>72.1</v>
      </c>
      <c r="AM27" s="2283">
        <v>72.1</v>
      </c>
      <c r="AN27" s="2283">
        <v>72.5</v>
      </c>
      <c r="AO27" s="2302">
        <v>73.2</v>
      </c>
      <c r="AP27" s="2283">
        <v>74.7</v>
      </c>
      <c r="AQ27" s="2283">
        <v>75</v>
      </c>
      <c r="AR27" s="2302">
        <v>71.7</v>
      </c>
      <c r="AT27" s="2282">
        <v>1996</v>
      </c>
      <c r="AU27" s="2283">
        <v>136.9</v>
      </c>
      <c r="AV27" s="2283">
        <v>137.1</v>
      </c>
      <c r="AW27" s="2283">
        <v>137.7</v>
      </c>
      <c r="AX27" s="2283">
        <v>137.9</v>
      </c>
      <c r="AY27" s="2283">
        <v>138.6</v>
      </c>
      <c r="AZ27" s="2283">
        <v>138.5</v>
      </c>
      <c r="BA27" s="2283">
        <v>138.9</v>
      </c>
      <c r="BB27" s="2283">
        <v>139.1</v>
      </c>
      <c r="BC27" s="2283">
        <v>139.9</v>
      </c>
      <c r="BD27" s="2283">
        <v>140.2</v>
      </c>
      <c r="BE27" s="2283">
        <v>140.6</v>
      </c>
      <c r="BF27" s="2283">
        <v>140.8</v>
      </c>
      <c r="BG27" s="2283"/>
      <c r="BI27" s="2282">
        <v>1980</v>
      </c>
      <c r="BJ27" s="2283">
        <v>293.6</v>
      </c>
      <c r="BK27" s="2283">
        <v>294.2</v>
      </c>
      <c r="BL27" s="2283">
        <v>295.5</v>
      </c>
      <c r="BM27" s="2283">
        <v>304.1</v>
      </c>
      <c r="BN27" s="2283">
        <v>305.5</v>
      </c>
      <c r="BO27" s="2283">
        <v>305.8</v>
      </c>
      <c r="BP27" s="2283">
        <v>301</v>
      </c>
      <c r="BQ27" s="2283">
        <v>301</v>
      </c>
      <c r="BR27" s="2283">
        <v>301</v>
      </c>
      <c r="BS27" s="2283">
        <v>307.5</v>
      </c>
      <c r="BT27" s="2283">
        <v>309.4</v>
      </c>
      <c r="BU27" s="2283">
        <v>313.7</v>
      </c>
      <c r="BV27" s="2283">
        <v>302.7</v>
      </c>
      <c r="BX27" s="2320">
        <v>1911</v>
      </c>
      <c r="BY27" s="2321">
        <v>93</v>
      </c>
      <c r="BZ27" s="2320">
        <v>1934</v>
      </c>
      <c r="CA27" s="2321">
        <v>198</v>
      </c>
      <c r="CB27" s="2320">
        <v>1957</v>
      </c>
      <c r="CC27" s="2321">
        <v>724</v>
      </c>
      <c r="CD27" s="2320">
        <v>1980</v>
      </c>
      <c r="CE27" s="2321">
        <v>3237</v>
      </c>
      <c r="CF27" s="2316"/>
      <c r="CG27" s="2316"/>
      <c r="CH27" s="2332">
        <v>28671</v>
      </c>
      <c r="CI27" s="2327">
        <v>2776</v>
      </c>
      <c r="CJ27" s="2328"/>
      <c r="CK27" s="2316"/>
      <c r="CM27" s="2320">
        <v>2004</v>
      </c>
      <c r="CN27" s="2321">
        <v>3767</v>
      </c>
      <c r="CO27" s="2321">
        <v>3802</v>
      </c>
      <c r="CP27" s="2321" t="s">
        <v>262</v>
      </c>
      <c r="CQ27" s="2321">
        <v>3908</v>
      </c>
      <c r="CR27" s="2321">
        <v>3956</v>
      </c>
      <c r="CS27" s="2321">
        <v>3996</v>
      </c>
      <c r="CT27" s="2321"/>
      <c r="CU27" s="2321"/>
      <c r="CV27" s="2321"/>
      <c r="CW27" s="2321"/>
      <c r="CX27" s="2321"/>
      <c r="CY27" s="2321"/>
      <c r="CZ27" s="2321"/>
    </row>
    <row r="28" spans="1:104" ht="13.5">
      <c r="A28" s="2160" t="s">
        <v>1103</v>
      </c>
      <c r="B28" s="643"/>
      <c r="C28" s="642"/>
      <c r="D28" s="408"/>
      <c r="P28" s="2280" t="s">
        <v>1304</v>
      </c>
      <c r="Q28"/>
      <c r="R28"/>
      <c r="S28"/>
      <c r="T28"/>
      <c r="U28"/>
      <c r="V28"/>
      <c r="W28"/>
      <c r="X28"/>
      <c r="Y28"/>
      <c r="Z28"/>
      <c r="AA28"/>
      <c r="AB28"/>
      <c r="AC28" s="1"/>
      <c r="AD28" s="1"/>
      <c r="AE28" s="2295">
        <v>1979</v>
      </c>
      <c r="AF28" s="2284">
        <v>76.1</v>
      </c>
      <c r="AG28" s="2284">
        <v>76.6</v>
      </c>
      <c r="AH28" s="2284">
        <v>77.1</v>
      </c>
      <c r="AI28" s="2284">
        <v>78.1</v>
      </c>
      <c r="AJ28" s="2284">
        <v>79</v>
      </c>
      <c r="AK28" s="2284">
        <v>79.3</v>
      </c>
      <c r="AL28" s="2284">
        <v>79.6</v>
      </c>
      <c r="AM28" s="2284">
        <v>80</v>
      </c>
      <c r="AN28" s="2284">
        <v>80.5</v>
      </c>
      <c r="AO28" s="2284">
        <v>81.6</v>
      </c>
      <c r="AP28" s="2284">
        <v>82.3</v>
      </c>
      <c r="AQ28" s="2284">
        <v>82.9</v>
      </c>
      <c r="AR28" s="2284">
        <v>79.4</v>
      </c>
      <c r="AT28" s="2282">
        <v>1997</v>
      </c>
      <c r="AU28" s="2284">
        <v>141.1</v>
      </c>
      <c r="AV28" s="2284">
        <v>141.3</v>
      </c>
      <c r="AW28" s="2284">
        <v>141.4</v>
      </c>
      <c r="AX28" s="2284">
        <v>141.6</v>
      </c>
      <c r="AY28" s="2284">
        <v>142.1</v>
      </c>
      <c r="AZ28" s="2284">
        <v>142.3</v>
      </c>
      <c r="BA28" s="2284">
        <v>142.6</v>
      </c>
      <c r="BB28" s="2284">
        <v>143</v>
      </c>
      <c r="BC28" s="2284">
        <v>143</v>
      </c>
      <c r="BD28" s="2284">
        <v>143.6</v>
      </c>
      <c r="BE28" s="2284">
        <v>143.8</v>
      </c>
      <c r="BF28" s="2284">
        <v>144.3</v>
      </c>
      <c r="BG28" s="2284"/>
      <c r="BI28" s="2282">
        <v>1981</v>
      </c>
      <c r="BJ28" s="2284">
        <v>322.6</v>
      </c>
      <c r="BK28" s="2284">
        <v>322.9</v>
      </c>
      <c r="BL28" s="2284">
        <v>328.7</v>
      </c>
      <c r="BM28" s="2284">
        <v>331.8</v>
      </c>
      <c r="BN28" s="2284">
        <v>331.8</v>
      </c>
      <c r="BO28" s="2284">
        <v>332.2</v>
      </c>
      <c r="BP28" s="2284">
        <v>344.9</v>
      </c>
      <c r="BQ28" s="2284">
        <v>344.9</v>
      </c>
      <c r="BR28" s="2284">
        <v>345.3</v>
      </c>
      <c r="BS28" s="2284">
        <v>348.7</v>
      </c>
      <c r="BT28" s="2284">
        <v>348.6</v>
      </c>
      <c r="BU28" s="2284">
        <v>348.9</v>
      </c>
      <c r="BV28" s="2284">
        <v>337.6</v>
      </c>
      <c r="BX28" s="2320">
        <v>1912</v>
      </c>
      <c r="BY28" s="2321">
        <v>91</v>
      </c>
      <c r="BZ28" s="2320">
        <v>1935</v>
      </c>
      <c r="CA28" s="2321">
        <v>196</v>
      </c>
      <c r="CB28" s="2320">
        <v>1958</v>
      </c>
      <c r="CC28" s="2321">
        <v>759</v>
      </c>
      <c r="CD28" s="2320">
        <v>1981</v>
      </c>
      <c r="CE28" s="2321">
        <v>3535</v>
      </c>
      <c r="CF28" s="2316"/>
      <c r="CG28" s="2316"/>
      <c r="CH28" s="2332">
        <v>29036</v>
      </c>
      <c r="CI28" s="2327">
        <v>3003</v>
      </c>
      <c r="CJ28" s="2328"/>
      <c r="CK28" s="2316"/>
      <c r="CM28" s="2524" t="s">
        <v>250</v>
      </c>
      <c r="CN28" s="2524"/>
      <c r="CO28" s="2524"/>
      <c r="CP28" s="2524"/>
      <c r="CQ28" s="2524"/>
      <c r="CR28" s="2524"/>
      <c r="CS28" s="2524"/>
      <c r="CT28" s="2524"/>
      <c r="CU28" s="2524"/>
      <c r="CV28" s="2524"/>
      <c r="CW28" s="2524"/>
      <c r="CX28" s="2524"/>
      <c r="CY28" s="2524"/>
      <c r="CZ28" s="2524"/>
    </row>
    <row r="29" spans="2:104" ht="13.5">
      <c r="B29" s="159"/>
      <c r="C29" s="159"/>
      <c r="D29" s="408"/>
      <c r="P29" s="2280"/>
      <c r="Q29"/>
      <c r="R29"/>
      <c r="S29"/>
      <c r="T29"/>
      <c r="U29"/>
      <c r="V29"/>
      <c r="W29"/>
      <c r="X29"/>
      <c r="Y29"/>
      <c r="Z29"/>
      <c r="AA29"/>
      <c r="AB29"/>
      <c r="AC29" s="1"/>
      <c r="AD29" s="1"/>
      <c r="AE29" s="2295"/>
      <c r="AF29" s="2283"/>
      <c r="AG29" s="2283"/>
      <c r="AH29" s="2283"/>
      <c r="AI29" s="2283"/>
      <c r="AJ29" s="2283"/>
      <c r="AK29" s="2283"/>
      <c r="AL29" s="2283"/>
      <c r="AM29" s="2283"/>
      <c r="AN29" s="2283"/>
      <c r="AO29" s="2283"/>
      <c r="AP29" s="2283"/>
      <c r="AQ29" s="2283"/>
      <c r="AR29" s="2283"/>
      <c r="AT29" s="2282"/>
      <c r="AU29" s="2283"/>
      <c r="AV29" s="2283"/>
      <c r="AW29" s="2283"/>
      <c r="AX29" s="2283"/>
      <c r="AY29" s="2283"/>
      <c r="AZ29" s="2283"/>
      <c r="BA29" s="2283"/>
      <c r="BB29" s="2283"/>
      <c r="BC29" s="2283"/>
      <c r="BD29" s="2283"/>
      <c r="BE29" s="2283"/>
      <c r="BF29" s="2283"/>
      <c r="BG29" s="2283"/>
      <c r="BI29" s="2282"/>
      <c r="BJ29" s="2283"/>
      <c r="BK29" s="2283"/>
      <c r="BL29" s="2283"/>
      <c r="BM29" s="2283"/>
      <c r="BN29" s="2283"/>
      <c r="BO29" s="2283"/>
      <c r="BP29" s="2283"/>
      <c r="BQ29" s="2283"/>
      <c r="BR29" s="2283"/>
      <c r="BS29" s="2283"/>
      <c r="BT29" s="2283"/>
      <c r="BU29" s="2283"/>
      <c r="BV29" s="2283"/>
      <c r="BX29" s="2320"/>
      <c r="BY29" s="2321"/>
      <c r="BZ29" s="2320"/>
      <c r="CA29" s="2321"/>
      <c r="CB29" s="2320"/>
      <c r="CC29" s="2321"/>
      <c r="CD29" s="2320"/>
      <c r="CE29" s="2321"/>
      <c r="CF29" s="2316"/>
      <c r="CG29" s="2316"/>
      <c r="CH29" s="2332"/>
      <c r="CI29" s="2327"/>
      <c r="CJ29" s="2328"/>
      <c r="CK29" s="2316"/>
      <c r="CM29" s="2521"/>
      <c r="CN29" s="2521"/>
      <c r="CO29" s="2521"/>
      <c r="CP29" s="2521"/>
      <c r="CQ29" s="2521"/>
      <c r="CR29" s="2521"/>
      <c r="CS29" s="2521"/>
      <c r="CT29" s="2521"/>
      <c r="CU29" s="2521"/>
      <c r="CV29" s="2521"/>
      <c r="CW29" s="2521"/>
      <c r="CX29" s="2521"/>
      <c r="CY29" s="2316"/>
      <c r="CZ29" s="2316"/>
    </row>
    <row r="30" spans="2:104" ht="13.5">
      <c r="B30" s="159"/>
      <c r="C30" s="159"/>
      <c r="D30" s="408"/>
      <c r="P30" s="2510"/>
      <c r="Q30" s="2511"/>
      <c r="R30" s="2511"/>
      <c r="S30" s="2511"/>
      <c r="T30" s="2511"/>
      <c r="U30" s="2511"/>
      <c r="V30" s="2511"/>
      <c r="W30" s="2511"/>
      <c r="X30" s="2511"/>
      <c r="Y30" s="2511"/>
      <c r="Z30" s="2511"/>
      <c r="AA30" s="2511"/>
      <c r="AB30" s="2511"/>
      <c r="AC30" s="2512"/>
      <c r="AD30" s="2300"/>
      <c r="AE30" s="2295"/>
      <c r="AF30" s="2284"/>
      <c r="AG30" s="2284"/>
      <c r="AH30" s="2284"/>
      <c r="AI30" s="2284"/>
      <c r="AJ30" s="2284"/>
      <c r="AK30" s="2284"/>
      <c r="AL30" s="2284"/>
      <c r="AM30" s="2284"/>
      <c r="AN30" s="2284"/>
      <c r="AO30" s="2284"/>
      <c r="AP30" s="2284"/>
      <c r="AQ30" s="2284"/>
      <c r="AR30" s="2284"/>
      <c r="AT30" s="2282"/>
      <c r="AU30" s="2284"/>
      <c r="AV30" s="2284"/>
      <c r="AW30" s="2284"/>
      <c r="AX30" s="2284"/>
      <c r="AY30" s="2284"/>
      <c r="AZ30" s="2284"/>
      <c r="BA30" s="2284"/>
      <c r="BB30" s="2284"/>
      <c r="BC30" s="2284"/>
      <c r="BD30" s="2284"/>
      <c r="BE30" s="2284"/>
      <c r="BF30" s="2284"/>
      <c r="BG30" s="2284"/>
      <c r="BI30" s="2513"/>
      <c r="BJ30" s="2513"/>
      <c r="BK30" s="2513"/>
      <c r="BL30" s="2513"/>
      <c r="BM30" s="2513"/>
      <c r="BN30" s="2513"/>
      <c r="BO30" s="2513"/>
      <c r="BP30" s="2513"/>
      <c r="BQ30" s="2513"/>
      <c r="BR30" s="2513"/>
      <c r="BS30" s="2513"/>
      <c r="BT30" s="2513"/>
      <c r="BU30" s="2513"/>
      <c r="BV30" s="2513"/>
      <c r="BX30" s="2320"/>
      <c r="BY30" s="2321"/>
      <c r="BZ30" s="2320"/>
      <c r="CA30" s="2321"/>
      <c r="CB30" s="2320"/>
      <c r="CC30" s="2321"/>
      <c r="CD30" s="2320"/>
      <c r="CE30" s="2321"/>
      <c r="CF30" s="2316"/>
      <c r="CG30" s="2316"/>
      <c r="CH30" s="2329"/>
      <c r="CI30" s="2328"/>
      <c r="CJ30" s="2328"/>
      <c r="CK30" s="2316"/>
      <c r="CM30" s="2521"/>
      <c r="CN30" s="2521"/>
      <c r="CO30" s="2521"/>
      <c r="CP30" s="2521"/>
      <c r="CQ30" s="2521"/>
      <c r="CR30" s="2521"/>
      <c r="CS30" s="2521"/>
      <c r="CT30" s="2521"/>
      <c r="CU30" s="2521"/>
      <c r="CV30" s="2521"/>
      <c r="CW30" s="2521"/>
      <c r="CX30" s="2521"/>
      <c r="CY30" s="2316"/>
      <c r="CZ30" s="2316"/>
    </row>
    <row r="31" spans="2:104" ht="13.5">
      <c r="B31" s="159"/>
      <c r="C31" s="159"/>
      <c r="D31" s="408"/>
      <c r="L31" s="2243"/>
      <c r="P31" s="2281"/>
      <c r="Q31" s="2281"/>
      <c r="R31" s="2281"/>
      <c r="S31" s="2281"/>
      <c r="T31" s="2281"/>
      <c r="U31" s="2281"/>
      <c r="V31" s="2281"/>
      <c r="W31" s="2281"/>
      <c r="X31" s="2281"/>
      <c r="Y31" s="2281"/>
      <c r="Z31" s="2281"/>
      <c r="AA31" s="2281"/>
      <c r="AB31" s="2281"/>
      <c r="AC31" s="2298"/>
      <c r="AD31" s="2289"/>
      <c r="AE31" s="2295"/>
      <c r="AF31" s="2283"/>
      <c r="AG31" s="2283"/>
      <c r="AH31" s="2283"/>
      <c r="AI31" s="2283"/>
      <c r="AJ31" s="2283"/>
      <c r="AK31" s="2283"/>
      <c r="AL31" s="2283"/>
      <c r="AM31" s="2283"/>
      <c r="AN31" s="2283"/>
      <c r="AO31" s="2283"/>
      <c r="AP31" s="2283"/>
      <c r="AQ31" s="2283"/>
      <c r="AR31" s="2283"/>
      <c r="AT31" s="2282"/>
      <c r="AU31" s="2283"/>
      <c r="AV31" s="2283"/>
      <c r="AW31" s="2283"/>
      <c r="AX31" s="2283"/>
      <c r="AY31" s="2283"/>
      <c r="AZ31" s="2283"/>
      <c r="BA31" s="2283"/>
      <c r="BB31" s="2283"/>
      <c r="BC31" s="2283"/>
      <c r="BD31" s="2283"/>
      <c r="BE31" s="2283"/>
      <c r="BF31" s="2283"/>
      <c r="BG31" s="2283"/>
      <c r="BI31" s="2275"/>
      <c r="BJ31" s="2276"/>
      <c r="BK31" s="2276"/>
      <c r="BL31" s="2276"/>
      <c r="BM31" s="2276"/>
      <c r="BN31" s="2276"/>
      <c r="BO31" s="2276"/>
      <c r="BP31" s="2276"/>
      <c r="BQ31" s="2276"/>
      <c r="BR31" s="2276"/>
      <c r="BS31" s="2276"/>
      <c r="BT31" s="2276"/>
      <c r="BU31" s="2276"/>
      <c r="BV31" s="2277"/>
      <c r="BX31" s="2320"/>
      <c r="BY31" s="2321"/>
      <c r="BZ31" s="2320"/>
      <c r="CA31" s="2321"/>
      <c r="CB31" s="2320"/>
      <c r="CC31" s="2321"/>
      <c r="CD31" s="2320"/>
      <c r="CE31" s="2321"/>
      <c r="CF31" s="2316"/>
      <c r="CG31" s="2316"/>
      <c r="CH31" s="2330"/>
      <c r="CI31" s="2328"/>
      <c r="CJ31" s="2328"/>
      <c r="CK31" s="2316"/>
      <c r="CM31" s="2521"/>
      <c r="CN31" s="2521"/>
      <c r="CO31" s="2521"/>
      <c r="CP31" s="2521"/>
      <c r="CQ31" s="2521"/>
      <c r="CR31" s="2521"/>
      <c r="CS31" s="2521"/>
      <c r="CT31" s="2521"/>
      <c r="CU31" s="2521"/>
      <c r="CV31" s="2521"/>
      <c r="CW31" s="2521"/>
      <c r="CX31" s="2521"/>
      <c r="CY31" s="2316"/>
      <c r="CZ31" s="2316"/>
    </row>
    <row r="32" spans="1:104" ht="13.5">
      <c r="A32" s="159"/>
      <c r="B32" s="159"/>
      <c r="C32" s="159"/>
      <c r="D32" s="408"/>
      <c r="L32" s="2243">
        <f>635.57/7109.4</f>
        <v>0.08939854277435509</v>
      </c>
      <c r="P32" s="2282">
        <v>1977</v>
      </c>
      <c r="Q32" s="2283">
        <v>65.1</v>
      </c>
      <c r="R32" s="2283">
        <v>65.4</v>
      </c>
      <c r="S32" s="2283">
        <v>65.6</v>
      </c>
      <c r="T32" s="2283">
        <v>65.7</v>
      </c>
      <c r="U32" s="2283">
        <v>66</v>
      </c>
      <c r="V32" s="2283">
        <v>66.1</v>
      </c>
      <c r="W32" s="2283">
        <v>66.5</v>
      </c>
      <c r="X32" s="2283">
        <v>66.7</v>
      </c>
      <c r="Y32" s="2283">
        <v>67.2</v>
      </c>
      <c r="Z32" s="2283">
        <v>67.9</v>
      </c>
      <c r="AA32" s="2283">
        <v>68.2</v>
      </c>
      <c r="AB32" s="2283">
        <v>68.2</v>
      </c>
      <c r="AC32" s="2285">
        <v>66.6</v>
      </c>
      <c r="AD32" s="2290"/>
      <c r="AT32" s="2282">
        <v>2001</v>
      </c>
      <c r="AU32" s="2284">
        <v>157.6</v>
      </c>
      <c r="AV32" s="2284">
        <v>158.2</v>
      </c>
      <c r="AW32" s="2284">
        <v>158.2</v>
      </c>
      <c r="AX32" s="2284">
        <v>158.4</v>
      </c>
      <c r="AY32" s="2284">
        <v>158.5</v>
      </c>
      <c r="AZ32" s="2284">
        <v>158.6</v>
      </c>
      <c r="BA32" s="2284">
        <v>159.2</v>
      </c>
      <c r="BB32" s="2284">
        <v>159.5</v>
      </c>
      <c r="BC32" s="2284">
        <v>159.6</v>
      </c>
      <c r="BD32" s="2284">
        <v>160</v>
      </c>
      <c r="BE32" s="2284">
        <v>160.3</v>
      </c>
      <c r="BF32" s="2284">
        <v>160.5</v>
      </c>
      <c r="BG32" s="2284"/>
      <c r="BI32" s="2278" t="s">
        <v>1334</v>
      </c>
      <c r="BJ32"/>
      <c r="BK32"/>
      <c r="BL32"/>
      <c r="BM32"/>
      <c r="BN32"/>
      <c r="BO32"/>
      <c r="BP32"/>
      <c r="BQ32"/>
      <c r="BR32"/>
      <c r="BS32"/>
      <c r="BT32"/>
      <c r="BU32"/>
      <c r="BV32" s="2279"/>
      <c r="BX32" s="2320">
        <v>1916</v>
      </c>
      <c r="BY32" s="2321">
        <v>130</v>
      </c>
      <c r="BZ32" s="2320">
        <v>1939</v>
      </c>
      <c r="CA32" s="2321">
        <v>236</v>
      </c>
      <c r="CB32" s="2320">
        <v>1962</v>
      </c>
      <c r="CC32" s="2321">
        <v>872</v>
      </c>
      <c r="CD32" s="2320">
        <v>1985</v>
      </c>
      <c r="CE32" s="2321">
        <v>4195</v>
      </c>
      <c r="CF32" s="2316"/>
      <c r="CG32" s="2316"/>
      <c r="CH32" s="2328" t="s">
        <v>253</v>
      </c>
      <c r="CI32" s="2328"/>
      <c r="CJ32" s="2328"/>
      <c r="CK32" s="2316"/>
      <c r="CM32" s="2520" t="s">
        <v>252</v>
      </c>
      <c r="CN32" s="2520"/>
      <c r="CO32" s="2520"/>
      <c r="CP32" s="2520"/>
      <c r="CQ32" s="2520"/>
      <c r="CR32" s="2520"/>
      <c r="CS32" s="2520"/>
      <c r="CT32" s="2520"/>
      <c r="CU32" s="2316"/>
      <c r="CV32" s="2316"/>
      <c r="CW32" s="2316"/>
      <c r="CX32" s="2316"/>
      <c r="CY32" s="2316"/>
      <c r="CZ32" s="2316"/>
    </row>
    <row r="33" spans="1:104" ht="15.75">
      <c r="A33" s="1732" t="s">
        <v>680</v>
      </c>
      <c r="B33" s="1733"/>
      <c r="C33" s="1733"/>
      <c r="D33" s="1733"/>
      <c r="E33" s="1733"/>
      <c r="F33" s="1733"/>
      <c r="G33" s="2333"/>
      <c r="H33" s="2333"/>
      <c r="I33" s="2333"/>
      <c r="J33" s="2333"/>
      <c r="K33" s="2333"/>
      <c r="P33" s="2282">
        <v>1978</v>
      </c>
      <c r="Q33" s="2284">
        <v>69.1</v>
      </c>
      <c r="R33" s="2284">
        <v>69.4</v>
      </c>
      <c r="S33" s="2284">
        <v>69.9</v>
      </c>
      <c r="T33" s="2284">
        <v>70.3</v>
      </c>
      <c r="U33" s="2284">
        <v>70.6</v>
      </c>
      <c r="V33" s="2284">
        <v>71.1</v>
      </c>
      <c r="W33" s="2284">
        <v>71.4</v>
      </c>
      <c r="X33" s="2284">
        <v>71.6</v>
      </c>
      <c r="Y33" s="2284">
        <v>71.9</v>
      </c>
      <c r="Z33" s="2304">
        <v>72.3</v>
      </c>
      <c r="AA33" s="2284">
        <v>73.2</v>
      </c>
      <c r="AB33" s="2284">
        <v>73.6</v>
      </c>
      <c r="AC33" s="2303">
        <v>71.2</v>
      </c>
      <c r="AD33" s="2291"/>
      <c r="AT33" s="2282">
        <v>2002</v>
      </c>
      <c r="AU33" s="2283">
        <v>160.8</v>
      </c>
      <c r="AV33" s="2283">
        <v>161.1</v>
      </c>
      <c r="AW33" s="2283">
        <v>161.3</v>
      </c>
      <c r="AX33" s="2283">
        <v>162.2</v>
      </c>
      <c r="AY33" s="2283">
        <v>162.4</v>
      </c>
      <c r="AZ33" s="2283">
        <v>162.5</v>
      </c>
      <c r="BA33" s="2283">
        <v>162.9</v>
      </c>
      <c r="BB33" s="2283">
        <v>163.1</v>
      </c>
      <c r="BC33" s="2283">
        <v>163.3</v>
      </c>
      <c r="BD33" s="2283">
        <v>163.6</v>
      </c>
      <c r="BE33" s="2283">
        <v>163.8</v>
      </c>
      <c r="BF33" s="2283">
        <v>164</v>
      </c>
      <c r="BG33" s="2283"/>
      <c r="BI33" s="2280" t="s">
        <v>1324</v>
      </c>
      <c r="BJ33"/>
      <c r="BK33"/>
      <c r="BL33"/>
      <c r="BM33"/>
      <c r="BN33"/>
      <c r="BO33"/>
      <c r="BP33"/>
      <c r="BQ33"/>
      <c r="BR33"/>
      <c r="BS33"/>
      <c r="BT33"/>
      <c r="BU33"/>
      <c r="BV33" s="2279"/>
      <c r="BX33" s="2320">
        <v>1917</v>
      </c>
      <c r="BY33" s="2321">
        <v>181</v>
      </c>
      <c r="BZ33" s="2320">
        <v>1940</v>
      </c>
      <c r="CA33" s="2321">
        <v>242</v>
      </c>
      <c r="CB33" s="2320">
        <v>1963</v>
      </c>
      <c r="CC33" s="2321">
        <v>901</v>
      </c>
      <c r="CD33" s="2320">
        <v>1986</v>
      </c>
      <c r="CE33" s="2321">
        <v>4295</v>
      </c>
      <c r="CF33" s="2316"/>
      <c r="CG33" s="2316"/>
      <c r="CH33" s="2331">
        <f>0.5748*(CH31)-13681</f>
        <v>-13681</v>
      </c>
      <c r="CI33" s="2328"/>
      <c r="CJ33" s="2328"/>
      <c r="CK33" s="2316"/>
      <c r="CM33" s="2320">
        <v>1915</v>
      </c>
      <c r="CN33" s="2321">
        <v>95</v>
      </c>
      <c r="CO33" s="2320">
        <v>1936</v>
      </c>
      <c r="CP33" s="2321">
        <v>172</v>
      </c>
      <c r="CQ33" s="2320">
        <v>1957</v>
      </c>
      <c r="CR33" s="2321">
        <v>509</v>
      </c>
      <c r="CS33" s="2320">
        <v>1978</v>
      </c>
      <c r="CT33" s="2321">
        <v>1654</v>
      </c>
      <c r="CU33" s="2316"/>
      <c r="CV33" s="2316"/>
      <c r="CW33" s="2332">
        <v>27941</v>
      </c>
      <c r="CX33" s="2321">
        <v>1425</v>
      </c>
      <c r="CY33" s="2316"/>
      <c r="CZ33" s="2316"/>
    </row>
    <row r="34" spans="1:104" ht="13.5">
      <c r="A34" s="1733" t="s">
        <v>1764</v>
      </c>
      <c r="B34" s="1733"/>
      <c r="C34" s="1733"/>
      <c r="D34" s="1733"/>
      <c r="E34" s="1733"/>
      <c r="F34" s="1733"/>
      <c r="G34" s="2333"/>
      <c r="H34" s="2333"/>
      <c r="I34" s="2333"/>
      <c r="J34" s="2333"/>
      <c r="K34" s="2333"/>
      <c r="M34" s="2273" t="s">
        <v>1300</v>
      </c>
      <c r="P34" s="2282">
        <v>1979</v>
      </c>
      <c r="Q34" s="2283">
        <v>73.9</v>
      </c>
      <c r="R34" s="2283">
        <v>74.6</v>
      </c>
      <c r="S34" s="2283">
        <v>75.1</v>
      </c>
      <c r="T34" s="2283">
        <v>75.6</v>
      </c>
      <c r="U34" s="2283">
        <v>76.2</v>
      </c>
      <c r="V34" s="2283">
        <v>76.7</v>
      </c>
      <c r="W34" s="2283">
        <v>77.7</v>
      </c>
      <c r="X34" s="2283">
        <v>78.2</v>
      </c>
      <c r="Y34" s="2283">
        <v>78.8</v>
      </c>
      <c r="Z34" s="2283">
        <v>79.6</v>
      </c>
      <c r="AA34" s="2283">
        <v>79.8</v>
      </c>
      <c r="AB34" s="2283">
        <v>80.6</v>
      </c>
      <c r="AC34" s="2285">
        <v>77.2</v>
      </c>
      <c r="AD34" s="2290"/>
      <c r="AT34" s="2282">
        <v>2003</v>
      </c>
      <c r="AU34" s="2284">
        <v>164</v>
      </c>
      <c r="AV34" s="2284">
        <v>164.4</v>
      </c>
      <c r="AW34" s="2284">
        <v>164.6</v>
      </c>
      <c r="AX34" s="2284">
        <v>164.2</v>
      </c>
      <c r="AY34" s="2284">
        <v>164.3</v>
      </c>
      <c r="AZ34" s="2284">
        <v>164.7</v>
      </c>
      <c r="BA34" s="2284">
        <v>164.8</v>
      </c>
      <c r="BB34" s="2284">
        <v>164.7</v>
      </c>
      <c r="BC34" s="2284">
        <v>165.1</v>
      </c>
      <c r="BD34" s="2284">
        <v>165.3</v>
      </c>
      <c r="BE34" s="2284">
        <v>165.8</v>
      </c>
      <c r="BF34" s="2284">
        <v>165.8</v>
      </c>
      <c r="BG34" s="2284"/>
      <c r="BI34" s="2280" t="s">
        <v>1325</v>
      </c>
      <c r="BJ34"/>
      <c r="BK34"/>
      <c r="BL34"/>
      <c r="BM34"/>
      <c r="BN34"/>
      <c r="BO34"/>
      <c r="BP34"/>
      <c r="BQ34"/>
      <c r="BR34"/>
      <c r="BS34"/>
      <c r="BT34"/>
      <c r="BU34"/>
      <c r="BV34" s="2279"/>
      <c r="BX34" s="2320">
        <v>1918</v>
      </c>
      <c r="BY34" s="2321">
        <v>189</v>
      </c>
      <c r="BZ34" s="2320">
        <v>1941</v>
      </c>
      <c r="CA34" s="2321">
        <v>258</v>
      </c>
      <c r="CB34" s="2320">
        <v>1964</v>
      </c>
      <c r="CC34" s="2321">
        <v>936</v>
      </c>
      <c r="CD34" s="2320">
        <v>1987</v>
      </c>
      <c r="CE34" s="2321">
        <v>4406</v>
      </c>
      <c r="CF34" s="2316"/>
      <c r="CG34" s="2316"/>
      <c r="CH34" s="2316"/>
      <c r="CI34" s="2316"/>
      <c r="CJ34" s="2316"/>
      <c r="CK34" s="2316"/>
      <c r="CM34" s="2320">
        <v>1916</v>
      </c>
      <c r="CN34" s="2321">
        <v>131</v>
      </c>
      <c r="CO34" s="2320">
        <v>1937</v>
      </c>
      <c r="CP34" s="2321">
        <v>196</v>
      </c>
      <c r="CQ34" s="2320">
        <v>1958</v>
      </c>
      <c r="CR34" s="2321">
        <v>525</v>
      </c>
      <c r="CS34" s="2320">
        <v>1979</v>
      </c>
      <c r="CT34" s="2321">
        <v>1919</v>
      </c>
      <c r="CU34" s="2316"/>
      <c r="CV34" s="2316"/>
      <c r="CW34" s="2332">
        <v>28306</v>
      </c>
      <c r="CX34" s="2321">
        <v>1545</v>
      </c>
      <c r="CY34" s="2316"/>
      <c r="CZ34" s="2316"/>
    </row>
    <row r="35" spans="1:104" ht="26.25">
      <c r="A35" s="1733" t="s">
        <v>1061</v>
      </c>
      <c r="B35" s="1733"/>
      <c r="C35" s="1733"/>
      <c r="D35" s="1733"/>
      <c r="E35" s="1733"/>
      <c r="F35" s="1733"/>
      <c r="G35" s="2333"/>
      <c r="H35" s="2333"/>
      <c r="I35" s="2333"/>
      <c r="J35" s="2333"/>
      <c r="K35" s="2333"/>
      <c r="M35" s="2273"/>
      <c r="P35" s="2282">
        <v>1980</v>
      </c>
      <c r="Q35" s="2284">
        <v>82.3</v>
      </c>
      <c r="R35" s="2284">
        <v>83.9</v>
      </c>
      <c r="S35" s="2284">
        <v>84.9</v>
      </c>
      <c r="T35" s="2284">
        <v>85.9</v>
      </c>
      <c r="U35" s="2284">
        <v>86.3</v>
      </c>
      <c r="V35" s="2284">
        <v>87.1</v>
      </c>
      <c r="W35" s="2284">
        <v>88</v>
      </c>
      <c r="X35" s="2284">
        <v>88.5</v>
      </c>
      <c r="Y35" s="2284">
        <v>89</v>
      </c>
      <c r="Z35" s="2284">
        <v>89.4</v>
      </c>
      <c r="AA35" s="2284">
        <v>89.6</v>
      </c>
      <c r="AB35" s="2284">
        <v>90.2</v>
      </c>
      <c r="AC35" s="2299">
        <v>87.1</v>
      </c>
      <c r="AD35" s="2291"/>
      <c r="AT35" s="2282">
        <v>2004</v>
      </c>
      <c r="AU35" s="2283">
        <v>166.6</v>
      </c>
      <c r="AV35" s="2283" t="s">
        <v>1341</v>
      </c>
      <c r="AW35" s="2283" t="s">
        <v>1342</v>
      </c>
      <c r="AX35" s="2283" t="s">
        <v>1343</v>
      </c>
      <c r="AY35" s="2283" t="s">
        <v>1344</v>
      </c>
      <c r="AZ35" s="2283"/>
      <c r="BA35" s="2283"/>
      <c r="BB35" s="2283"/>
      <c r="BC35" s="2283"/>
      <c r="BD35" s="2283"/>
      <c r="BE35" s="2283"/>
      <c r="BF35" s="2283"/>
      <c r="BG35" s="2283"/>
      <c r="BI35" s="2280" t="s">
        <v>1305</v>
      </c>
      <c r="BJ35"/>
      <c r="BK35"/>
      <c r="BL35"/>
      <c r="BM35"/>
      <c r="BN35"/>
      <c r="BO35"/>
      <c r="BP35"/>
      <c r="BQ35"/>
      <c r="BR35"/>
      <c r="BS35"/>
      <c r="BT35"/>
      <c r="BU35"/>
      <c r="BV35" s="2279"/>
      <c r="BX35" s="2320">
        <v>1919</v>
      </c>
      <c r="BY35" s="2321">
        <v>198</v>
      </c>
      <c r="BZ35" s="2320">
        <v>1942</v>
      </c>
      <c r="CA35" s="2321">
        <v>276</v>
      </c>
      <c r="CB35" s="2320">
        <v>1965</v>
      </c>
      <c r="CC35" s="2321">
        <v>971</v>
      </c>
      <c r="CD35" s="2320">
        <v>1988</v>
      </c>
      <c r="CE35" s="2321">
        <v>4519</v>
      </c>
      <c r="CF35" s="2316"/>
      <c r="CG35" s="2316"/>
      <c r="CH35" s="2316"/>
      <c r="CI35" s="2316"/>
      <c r="CJ35" s="2316"/>
      <c r="CK35" s="2316"/>
      <c r="CM35" s="2320">
        <v>1917</v>
      </c>
      <c r="CN35" s="2321">
        <v>167</v>
      </c>
      <c r="CO35" s="2320">
        <v>1938</v>
      </c>
      <c r="CP35" s="2321">
        <v>197</v>
      </c>
      <c r="CQ35" s="2320">
        <v>1959</v>
      </c>
      <c r="CR35" s="2321">
        <v>548</v>
      </c>
      <c r="CS35" s="2320">
        <v>1980</v>
      </c>
      <c r="CT35" s="2321">
        <v>1941</v>
      </c>
      <c r="CU35" s="2316"/>
      <c r="CV35" s="2316"/>
      <c r="CW35" s="2332">
        <v>28671</v>
      </c>
      <c r="CX35" s="2321">
        <v>1654</v>
      </c>
      <c r="CY35" s="2316"/>
      <c r="CZ35" s="2316"/>
    </row>
    <row r="36" spans="1:104" ht="13.5">
      <c r="A36" s="2156" t="s">
        <v>1099</v>
      </c>
      <c r="B36" s="1733"/>
      <c r="C36" s="1733"/>
      <c r="D36" s="1733"/>
      <c r="E36" s="1733"/>
      <c r="F36" s="1733"/>
      <c r="G36" s="2333"/>
      <c r="H36" s="2333"/>
      <c r="I36" s="2333"/>
      <c r="J36" s="2333"/>
      <c r="K36" s="2333"/>
      <c r="M36" s="2273"/>
      <c r="P36" s="2282">
        <v>1981</v>
      </c>
      <c r="Q36" s="2283">
        <v>91.5</v>
      </c>
      <c r="R36" s="2283">
        <v>92.3</v>
      </c>
      <c r="S36" s="2283">
        <v>93.3</v>
      </c>
      <c r="T36" s="2283">
        <v>93.9</v>
      </c>
      <c r="U36" s="2283">
        <v>93.9</v>
      </c>
      <c r="V36" s="2283">
        <v>94.7</v>
      </c>
      <c r="W36" s="2283">
        <v>95.5</v>
      </c>
      <c r="X36" s="2283">
        <v>96.2</v>
      </c>
      <c r="Y36" s="2283">
        <v>96.8</v>
      </c>
      <c r="Z36" s="2283">
        <v>97.3</v>
      </c>
      <c r="AA36" s="2283">
        <v>97.6</v>
      </c>
      <c r="AB36" s="2283">
        <v>98</v>
      </c>
      <c r="AC36" s="2285">
        <v>95.1</v>
      </c>
      <c r="AD36" s="2290"/>
      <c r="AT36" s="2516" t="s">
        <v>1330</v>
      </c>
      <c r="AU36" s="2517"/>
      <c r="AV36" s="2517"/>
      <c r="AW36" s="2517"/>
      <c r="AX36" s="2517"/>
      <c r="AY36" s="2517"/>
      <c r="AZ36" s="2517"/>
      <c r="BA36" s="2517"/>
      <c r="BB36" s="2517"/>
      <c r="BC36" s="2517"/>
      <c r="BD36" s="2517"/>
      <c r="BE36" s="2517"/>
      <c r="BF36" s="2517"/>
      <c r="BG36" s="2518"/>
      <c r="BI36" s="2510"/>
      <c r="BJ36" s="2511"/>
      <c r="BK36" s="2511"/>
      <c r="BL36" s="2511"/>
      <c r="BM36" s="2511"/>
      <c r="BN36" s="2511"/>
      <c r="BO36" s="2511"/>
      <c r="BP36" s="2511"/>
      <c r="BQ36" s="2511"/>
      <c r="BR36" s="2511"/>
      <c r="BS36" s="2511"/>
      <c r="BT36" s="2511"/>
      <c r="BU36" s="2511"/>
      <c r="BV36" s="2512"/>
      <c r="BX36" s="2320">
        <v>1920</v>
      </c>
      <c r="BY36" s="2321">
        <v>251</v>
      </c>
      <c r="BZ36" s="2320">
        <v>1943</v>
      </c>
      <c r="CA36" s="2321">
        <v>290</v>
      </c>
      <c r="CB36" s="2320">
        <v>1966</v>
      </c>
      <c r="CC36" s="2321">
        <v>1019</v>
      </c>
      <c r="CD36" s="2320">
        <v>1989</v>
      </c>
      <c r="CE36" s="2321">
        <v>4615</v>
      </c>
      <c r="CF36" s="2316"/>
      <c r="CG36" s="2316"/>
      <c r="CH36" s="2316"/>
      <c r="CI36" s="2316"/>
      <c r="CJ36" s="2316"/>
      <c r="CK36" s="2316"/>
      <c r="CM36" s="2320">
        <v>1918</v>
      </c>
      <c r="CN36" s="2321">
        <v>159</v>
      </c>
      <c r="CO36" s="2320">
        <v>1939</v>
      </c>
      <c r="CP36" s="2321">
        <v>197</v>
      </c>
      <c r="CQ36" s="2320">
        <v>1960</v>
      </c>
      <c r="CR36" s="2321">
        <v>559</v>
      </c>
      <c r="CU36" s="2316"/>
      <c r="CV36" s="2316"/>
      <c r="CW36" s="2332">
        <v>29036</v>
      </c>
      <c r="CX36" s="2327">
        <v>1919</v>
      </c>
      <c r="CY36" s="2316"/>
      <c r="CZ36" s="2316"/>
    </row>
    <row r="37" spans="1:104" ht="13.5">
      <c r="A37" s="1733"/>
      <c r="B37" s="1733"/>
      <c r="C37" s="1733"/>
      <c r="D37" s="1733"/>
      <c r="E37" s="1733"/>
      <c r="F37" s="1733"/>
      <c r="G37" s="2333"/>
      <c r="H37" s="2333"/>
      <c r="I37" s="2333"/>
      <c r="J37" s="2333"/>
      <c r="K37" s="2333"/>
      <c r="M37" s="2273"/>
      <c r="P37" s="2282">
        <v>1982</v>
      </c>
      <c r="Q37" s="2284">
        <v>98.8</v>
      </c>
      <c r="R37" s="2284">
        <v>99.1</v>
      </c>
      <c r="S37" s="2284">
        <v>99.5</v>
      </c>
      <c r="T37" s="2284">
        <v>100</v>
      </c>
      <c r="U37" s="2284">
        <v>99.9</v>
      </c>
      <c r="V37" s="2284">
        <v>100</v>
      </c>
      <c r="W37" s="2284">
        <v>100</v>
      </c>
      <c r="X37" s="2284">
        <v>100.1</v>
      </c>
      <c r="Y37" s="2284">
        <v>100.1</v>
      </c>
      <c r="Z37" s="2284">
        <v>100.5</v>
      </c>
      <c r="AA37" s="2284">
        <v>100.9</v>
      </c>
      <c r="AB37" s="2284">
        <v>101.2</v>
      </c>
      <c r="AC37" s="2299">
        <v>100</v>
      </c>
      <c r="AD37" s="2291"/>
      <c r="AT37" s="2513"/>
      <c r="AU37" s="2513"/>
      <c r="AV37" s="2513"/>
      <c r="AW37" s="2513"/>
      <c r="AX37" s="2513"/>
      <c r="AY37" s="2513"/>
      <c r="AZ37" s="2513"/>
      <c r="BA37" s="2513"/>
      <c r="BB37" s="2513"/>
      <c r="BC37" s="2513"/>
      <c r="BD37" s="2513"/>
      <c r="BE37" s="2513"/>
      <c r="BF37" s="2513"/>
      <c r="BG37" s="2513"/>
      <c r="BI37" s="2281" t="s">
        <v>981</v>
      </c>
      <c r="BJ37" s="2281" t="s">
        <v>1306</v>
      </c>
      <c r="BK37" s="2281" t="s">
        <v>1307</v>
      </c>
      <c r="BL37" s="2281" t="s">
        <v>1308</v>
      </c>
      <c r="BM37" s="2281" t="s">
        <v>1309</v>
      </c>
      <c r="BN37" s="2281" t="s">
        <v>1310</v>
      </c>
      <c r="BO37" s="2281" t="s">
        <v>1311</v>
      </c>
      <c r="BP37" s="2281" t="s">
        <v>1312</v>
      </c>
      <c r="BQ37" s="2281" t="s">
        <v>1313</v>
      </c>
      <c r="BR37" s="2281" t="s">
        <v>1314</v>
      </c>
      <c r="BS37" s="2281" t="s">
        <v>1315</v>
      </c>
      <c r="BT37" s="2281" t="s">
        <v>1316</v>
      </c>
      <c r="BU37" s="2281" t="s">
        <v>1317</v>
      </c>
      <c r="BV37" s="2281" t="s">
        <v>1318</v>
      </c>
      <c r="BX37" s="2320">
        <v>1921</v>
      </c>
      <c r="BY37" s="2321">
        <v>202</v>
      </c>
      <c r="BZ37" s="2320">
        <v>1944</v>
      </c>
      <c r="CA37" s="2321">
        <v>299</v>
      </c>
      <c r="CB37" s="2320">
        <v>1967</v>
      </c>
      <c r="CC37" s="2321">
        <v>1074</v>
      </c>
      <c r="CD37" s="2319"/>
      <c r="CE37" s="2319"/>
      <c r="CF37" s="2316"/>
      <c r="CG37" s="2316"/>
      <c r="CH37" s="2316"/>
      <c r="CI37" s="2316"/>
      <c r="CJ37" s="2316"/>
      <c r="CK37" s="2316"/>
      <c r="CM37" s="2320">
        <v>1919</v>
      </c>
      <c r="CN37" s="2321">
        <v>159</v>
      </c>
      <c r="CO37" s="2320">
        <v>1940</v>
      </c>
      <c r="CP37" s="2321">
        <v>203</v>
      </c>
      <c r="CQ37" s="2320">
        <v>1961</v>
      </c>
      <c r="CR37" s="2321">
        <v>568</v>
      </c>
      <c r="CS37" s="2320">
        <v>1982</v>
      </c>
      <c r="CT37" s="2321">
        <v>2234</v>
      </c>
      <c r="CU37" s="2316"/>
      <c r="CV37" s="2316"/>
      <c r="CW37" s="2332">
        <v>29402</v>
      </c>
      <c r="CX37" s="2327">
        <v>1941</v>
      </c>
      <c r="CY37" s="2316"/>
      <c r="CZ37" s="2316"/>
    </row>
    <row r="38" spans="1:104" ht="13.5">
      <c r="A38" s="1743" t="s">
        <v>1105</v>
      </c>
      <c r="B38" s="1733"/>
      <c r="C38" s="1733"/>
      <c r="D38" s="1733"/>
      <c r="E38" s="1733"/>
      <c r="F38" s="1733"/>
      <c r="G38" s="2333"/>
      <c r="H38" s="2333"/>
      <c r="I38" s="2333"/>
      <c r="J38" s="2333"/>
      <c r="K38" s="2333"/>
      <c r="M38" s="2273"/>
      <c r="P38" s="2282">
        <v>1983</v>
      </c>
      <c r="Q38" s="2283">
        <v>101.6</v>
      </c>
      <c r="R38" s="2283">
        <v>102.4</v>
      </c>
      <c r="S38" s="2283">
        <v>102.6</v>
      </c>
      <c r="T38" s="2283">
        <v>102.9</v>
      </c>
      <c r="U38" s="2283">
        <v>103</v>
      </c>
      <c r="V38" s="2283">
        <v>103.1</v>
      </c>
      <c r="W38" s="2283">
        <v>104.4</v>
      </c>
      <c r="X38" s="2283">
        <v>104.4</v>
      </c>
      <c r="Y38" s="2283">
        <v>104.9</v>
      </c>
      <c r="Z38" s="2283">
        <v>104.8</v>
      </c>
      <c r="AA38" s="2283">
        <v>104.9</v>
      </c>
      <c r="AB38" s="2283">
        <v>105.3</v>
      </c>
      <c r="AC38" s="2285">
        <v>103.7</v>
      </c>
      <c r="AD38" s="2290"/>
      <c r="AT38" s="2286"/>
      <c r="AU38" s="2286"/>
      <c r="AV38" s="2286"/>
      <c r="AW38" s="2286"/>
      <c r="AX38" s="2286"/>
      <c r="AY38" s="2286"/>
      <c r="AZ38" s="2286"/>
      <c r="BA38" s="2286"/>
      <c r="BB38" s="2286"/>
      <c r="BC38" s="2286"/>
      <c r="BD38" s="2286"/>
      <c r="BE38" s="2286"/>
      <c r="BF38" s="2286"/>
      <c r="BG38" s="2286"/>
      <c r="BI38" s="2282">
        <v>1977</v>
      </c>
      <c r="BJ38" s="2283">
        <v>63.2</v>
      </c>
      <c r="BK38" s="2283">
        <v>63.4</v>
      </c>
      <c r="BL38" s="2283">
        <v>64.2</v>
      </c>
      <c r="BM38" s="2283">
        <v>64.3</v>
      </c>
      <c r="BN38" s="2283">
        <v>64.7</v>
      </c>
      <c r="BO38" s="2283">
        <v>64.7</v>
      </c>
      <c r="BP38" s="2283">
        <v>66.3</v>
      </c>
      <c r="BQ38" s="2283">
        <v>66.7</v>
      </c>
      <c r="BR38" s="2283">
        <v>67.8</v>
      </c>
      <c r="BS38" s="2283">
        <v>67.8</v>
      </c>
      <c r="BT38" s="2283">
        <v>68.2</v>
      </c>
      <c r="BU38" s="2283">
        <v>68.3</v>
      </c>
      <c r="BV38" s="2283"/>
      <c r="BX38" s="2320">
        <v>1922</v>
      </c>
      <c r="BY38" s="2321">
        <v>174</v>
      </c>
      <c r="BZ38" s="2320">
        <v>1945</v>
      </c>
      <c r="CA38" s="2321">
        <v>308</v>
      </c>
      <c r="CB38" s="2320">
        <v>1968</v>
      </c>
      <c r="CC38" s="2321">
        <v>1155</v>
      </c>
      <c r="CD38" s="2319"/>
      <c r="CE38" s="2319"/>
      <c r="CF38" s="2316"/>
      <c r="CG38" s="2316"/>
      <c r="CH38" s="2316"/>
      <c r="CI38" s="2316"/>
      <c r="CJ38" s="2316"/>
      <c r="CK38" s="2316"/>
      <c r="CM38" s="2320">
        <v>1920</v>
      </c>
      <c r="CN38" s="2321">
        <v>207</v>
      </c>
      <c r="CO38" s="2320">
        <v>1941</v>
      </c>
      <c r="CP38" s="2321">
        <v>211</v>
      </c>
      <c r="CQ38" s="2320">
        <v>1962</v>
      </c>
      <c r="CR38" s="2321">
        <v>580</v>
      </c>
      <c r="CS38" s="2320">
        <v>1983</v>
      </c>
      <c r="CT38" s="2321">
        <v>2384</v>
      </c>
      <c r="CU38" s="2316"/>
      <c r="CV38" s="2316"/>
      <c r="CW38" s="2323">
        <v>29767</v>
      </c>
      <c r="CX38" s="2321">
        <v>2097</v>
      </c>
      <c r="CY38" s="2316"/>
      <c r="CZ38" s="2316"/>
    </row>
    <row r="39" spans="1:104" ht="12.75" customHeight="1">
      <c r="A39" s="1733"/>
      <c r="B39" s="1746"/>
      <c r="C39" s="1746"/>
      <c r="D39" s="1746"/>
      <c r="E39" s="1746"/>
      <c r="F39" s="1746"/>
      <c r="G39" s="210"/>
      <c r="H39" s="210"/>
      <c r="I39" s="210"/>
      <c r="J39" s="210"/>
      <c r="K39" s="210"/>
      <c r="L39" s="159"/>
      <c r="M39" s="2274"/>
      <c r="P39" s="2282">
        <v>1984</v>
      </c>
      <c r="Q39" s="2284">
        <v>105.7</v>
      </c>
      <c r="R39" s="2284">
        <v>106.1</v>
      </c>
      <c r="S39" s="2284">
        <v>106.5</v>
      </c>
      <c r="T39" s="2284">
        <v>107</v>
      </c>
      <c r="U39" s="2284">
        <v>107.1</v>
      </c>
      <c r="V39" s="2284">
        <v>107.6</v>
      </c>
      <c r="W39" s="2284">
        <v>107.7</v>
      </c>
      <c r="X39" s="2284">
        <v>107.7</v>
      </c>
      <c r="Y39" s="2284">
        <v>107.9</v>
      </c>
      <c r="Z39" s="2284">
        <v>108.3</v>
      </c>
      <c r="AA39" s="2284">
        <v>108.6</v>
      </c>
      <c r="AB39" s="2284">
        <v>108.7</v>
      </c>
      <c r="AC39" s="2299">
        <v>107.4</v>
      </c>
      <c r="AD39" s="2291"/>
      <c r="AT39" s="2514"/>
      <c r="AU39" s="2514"/>
      <c r="AV39" s="2514"/>
      <c r="AW39" s="2514"/>
      <c r="AX39" s="2514"/>
      <c r="AY39" s="2514"/>
      <c r="AZ39" s="2514"/>
      <c r="BA39" s="2514"/>
      <c r="BB39" s="2514"/>
      <c r="BC39" s="2514"/>
      <c r="BD39" s="2514"/>
      <c r="BE39" s="2514"/>
      <c r="BF39" s="2514"/>
      <c r="BG39" s="2514"/>
      <c r="BI39" s="2282">
        <v>1978</v>
      </c>
      <c r="BJ39" s="2284">
        <v>67.7</v>
      </c>
      <c r="BK39" s="2284">
        <v>70.5</v>
      </c>
      <c r="BL39" s="2284">
        <v>71.2</v>
      </c>
      <c r="BM39" s="2284">
        <v>72.2</v>
      </c>
      <c r="BN39" s="2284">
        <v>72.5</v>
      </c>
      <c r="BO39" s="2284">
        <v>72.8</v>
      </c>
      <c r="BP39" s="2284">
        <v>72.3</v>
      </c>
      <c r="BQ39" s="2284">
        <v>74.2</v>
      </c>
      <c r="BR39" s="2284">
        <v>74.6</v>
      </c>
      <c r="BS39" s="2284">
        <v>74.9</v>
      </c>
      <c r="BT39" s="2284">
        <v>75.4</v>
      </c>
      <c r="BU39" s="2284">
        <v>75.5</v>
      </c>
      <c r="BV39" s="2284"/>
      <c r="BX39" s="2320">
        <v>1923</v>
      </c>
      <c r="BY39" s="2321">
        <v>214</v>
      </c>
      <c r="BZ39" s="2320">
        <v>1946</v>
      </c>
      <c r="CA39" s="2321">
        <v>346</v>
      </c>
      <c r="CB39" s="2320">
        <v>1969</v>
      </c>
      <c r="CC39" s="2321">
        <v>1269</v>
      </c>
      <c r="CD39" s="2319"/>
      <c r="CE39" s="2319"/>
      <c r="CF39" s="2316"/>
      <c r="CG39" s="2316"/>
      <c r="CH39" s="2316"/>
      <c r="CI39" s="2316"/>
      <c r="CJ39" s="2316"/>
      <c r="CK39" s="2316"/>
      <c r="CM39" s="2320">
        <v>1921</v>
      </c>
      <c r="CN39" s="2321">
        <v>166</v>
      </c>
      <c r="CO39" s="2320">
        <v>1942</v>
      </c>
      <c r="CP39" s="2321">
        <v>222</v>
      </c>
      <c r="CQ39" s="2320">
        <v>1963</v>
      </c>
      <c r="CR39" s="2321">
        <v>594</v>
      </c>
      <c r="CS39" s="2320">
        <v>1984</v>
      </c>
      <c r="CT39" s="2321">
        <v>2417</v>
      </c>
      <c r="CU39" s="2316"/>
      <c r="CV39" s="2316"/>
      <c r="CW39" s="2329">
        <v>28794</v>
      </c>
      <c r="CX39" s="2316"/>
      <c r="CY39" s="2316"/>
      <c r="CZ39" s="2316"/>
    </row>
    <row r="40" spans="1:104" ht="12.75" customHeight="1">
      <c r="A40" s="2159" t="s">
        <v>1106</v>
      </c>
      <c r="B40" s="1746"/>
      <c r="C40" s="1746"/>
      <c r="D40" s="1746"/>
      <c r="E40" s="1746"/>
      <c r="F40" s="1746"/>
      <c r="G40" s="210"/>
      <c r="H40" s="210"/>
      <c r="I40" s="210"/>
      <c r="J40" s="210"/>
      <c r="K40" s="210"/>
      <c r="L40" s="159"/>
      <c r="M40" s="2274"/>
      <c r="P40" s="2282">
        <v>1985</v>
      </c>
      <c r="Q40" s="2283">
        <v>109.3</v>
      </c>
      <c r="R40" s="2283">
        <v>109.6</v>
      </c>
      <c r="S40" s="2283">
        <v>109.6</v>
      </c>
      <c r="T40" s="2283">
        <v>109.3</v>
      </c>
      <c r="U40" s="2283">
        <v>109.5</v>
      </c>
      <c r="V40" s="2283">
        <v>109.4</v>
      </c>
      <c r="W40" s="2283">
        <v>109.6</v>
      </c>
      <c r="X40" s="2283">
        <v>109.7</v>
      </c>
      <c r="Y40" s="2283">
        <v>109.8</v>
      </c>
      <c r="Z40" s="2283">
        <v>109.9</v>
      </c>
      <c r="AA40" s="2283">
        <v>109.8</v>
      </c>
      <c r="AB40" s="2283">
        <v>110</v>
      </c>
      <c r="AC40" s="2285">
        <v>109.6</v>
      </c>
      <c r="AD40" s="2290"/>
      <c r="AT40" s="2515"/>
      <c r="AU40" s="2515"/>
      <c r="AV40" s="2515"/>
      <c r="AW40" s="2515"/>
      <c r="AX40" s="2515"/>
      <c r="AY40" s="2515"/>
      <c r="AZ40" s="2515"/>
      <c r="BA40" s="2515"/>
      <c r="BB40" s="2515"/>
      <c r="BC40" s="2515"/>
      <c r="BD40" s="2515"/>
      <c r="BE40" s="2515"/>
      <c r="BF40" s="2515"/>
      <c r="BG40" s="2515"/>
      <c r="BI40" s="2282">
        <v>1979</v>
      </c>
      <c r="BJ40" s="2283">
        <v>77.4</v>
      </c>
      <c r="BK40" s="2283">
        <v>77.8</v>
      </c>
      <c r="BL40" s="2283">
        <v>77.8</v>
      </c>
      <c r="BM40" s="2283">
        <v>78.1</v>
      </c>
      <c r="BN40" s="2283">
        <v>79</v>
      </c>
      <c r="BO40" s="2283">
        <v>79.6</v>
      </c>
      <c r="BP40" s="2283">
        <v>81.5</v>
      </c>
      <c r="BQ40" s="2283">
        <v>81.2</v>
      </c>
      <c r="BR40" s="2283">
        <v>81.6</v>
      </c>
      <c r="BS40" s="2283">
        <v>82.4</v>
      </c>
      <c r="BT40" s="2283">
        <v>83.1</v>
      </c>
      <c r="BU40" s="2283">
        <v>83.4</v>
      </c>
      <c r="BV40" s="2283"/>
      <c r="BX40" s="2320">
        <v>1924</v>
      </c>
      <c r="BY40" s="2321">
        <v>215</v>
      </c>
      <c r="BZ40" s="2320">
        <v>1947</v>
      </c>
      <c r="CA40" s="2321">
        <v>413</v>
      </c>
      <c r="CB40" s="2320">
        <v>1970</v>
      </c>
      <c r="CC40" s="2321">
        <v>1381</v>
      </c>
      <c r="CD40" s="2319"/>
      <c r="CE40" s="2319"/>
      <c r="CF40" s="2316"/>
      <c r="CG40" s="2316"/>
      <c r="CH40" s="2316"/>
      <c r="CI40" s="2316"/>
      <c r="CJ40" s="2316"/>
      <c r="CK40" s="2316"/>
      <c r="CM40" s="2320">
        <v>1922</v>
      </c>
      <c r="CN40" s="2321">
        <v>155</v>
      </c>
      <c r="CO40" s="2320">
        <v>1943</v>
      </c>
      <c r="CP40" s="2321">
        <v>229</v>
      </c>
      <c r="CQ40" s="2320">
        <v>1964</v>
      </c>
      <c r="CR40" s="2321">
        <v>612</v>
      </c>
      <c r="CS40" s="2320">
        <v>1985</v>
      </c>
      <c r="CT40" s="2321">
        <v>2428</v>
      </c>
      <c r="CU40" s="2316"/>
      <c r="CV40" s="2316"/>
      <c r="CW40" s="2330">
        <v>1930</v>
      </c>
      <c r="CX40" s="2316" t="s">
        <v>263</v>
      </c>
      <c r="CY40" s="2316"/>
      <c r="CZ40" s="2316"/>
    </row>
    <row r="41" spans="1:104" ht="12.75" customHeight="1">
      <c r="A41" s="2158" t="s">
        <v>1102</v>
      </c>
      <c r="B41" s="1746"/>
      <c r="C41" s="1746"/>
      <c r="D41" s="1746"/>
      <c r="E41" s="1746"/>
      <c r="F41" s="1746"/>
      <c r="G41" s="210"/>
      <c r="H41" s="210"/>
      <c r="I41" s="210"/>
      <c r="J41" s="210"/>
      <c r="K41" s="210"/>
      <c r="L41" s="159"/>
      <c r="M41" s="2274"/>
      <c r="P41" s="2282">
        <v>1986</v>
      </c>
      <c r="Q41" s="2284">
        <v>110.3</v>
      </c>
      <c r="R41" s="2284">
        <v>110.6</v>
      </c>
      <c r="S41" s="2284">
        <v>110.8</v>
      </c>
      <c r="T41" s="2284">
        <v>111</v>
      </c>
      <c r="U41" s="2284">
        <v>111</v>
      </c>
      <c r="V41" s="2284">
        <v>110.9</v>
      </c>
      <c r="W41" s="2284">
        <v>111.5</v>
      </c>
      <c r="X41" s="2284">
        <v>111.5</v>
      </c>
      <c r="Y41" s="2284">
        <v>111.7</v>
      </c>
      <c r="Z41" s="2284">
        <v>111.7</v>
      </c>
      <c r="AA41" s="2284">
        <v>111.8</v>
      </c>
      <c r="AB41" s="2284">
        <v>111.9</v>
      </c>
      <c r="AC41" s="2299">
        <v>111.2</v>
      </c>
      <c r="AD41" s="2291"/>
      <c r="AT41" s="2275" t="s">
        <v>1345</v>
      </c>
      <c r="AU41" s="2276"/>
      <c r="AV41" s="2276"/>
      <c r="AW41" s="2276"/>
      <c r="AX41" s="2276"/>
      <c r="AY41" s="2276"/>
      <c r="AZ41" s="2276"/>
      <c r="BA41" s="2276"/>
      <c r="BB41" s="2276"/>
      <c r="BC41" s="2276"/>
      <c r="BD41" s="2276"/>
      <c r="BE41" s="2276"/>
      <c r="BF41" s="2276"/>
      <c r="BG41" s="2277"/>
      <c r="BI41" s="2282">
        <v>1980</v>
      </c>
      <c r="BJ41" s="2284">
        <v>83.7</v>
      </c>
      <c r="BK41" s="2284">
        <v>84.2</v>
      </c>
      <c r="BL41" s="2284">
        <v>84.2</v>
      </c>
      <c r="BM41" s="2284">
        <v>86.3</v>
      </c>
      <c r="BN41" s="2284">
        <v>87.1</v>
      </c>
      <c r="BO41" s="2284">
        <v>87.7</v>
      </c>
      <c r="BP41" s="2284">
        <v>86.5</v>
      </c>
      <c r="BQ41" s="2284">
        <v>86.1</v>
      </c>
      <c r="BR41" s="2284">
        <v>86.5</v>
      </c>
      <c r="BS41" s="2284">
        <v>87.9</v>
      </c>
      <c r="BT41" s="2284">
        <v>88.9</v>
      </c>
      <c r="BU41" s="2284">
        <v>90.4</v>
      </c>
      <c r="BV41" s="2284"/>
      <c r="BX41" s="2320">
        <v>1925</v>
      </c>
      <c r="BY41" s="2321">
        <v>207</v>
      </c>
      <c r="BZ41" s="2320">
        <v>1948</v>
      </c>
      <c r="CA41" s="2321">
        <v>461</v>
      </c>
      <c r="CB41" s="2320">
        <v>1971</v>
      </c>
      <c r="CC41" s="2321">
        <v>1581</v>
      </c>
      <c r="CD41" s="2319"/>
      <c r="CE41" s="2319"/>
      <c r="CF41" s="2316"/>
      <c r="CG41" s="2316"/>
      <c r="CH41" s="2316"/>
      <c r="CI41" s="2316"/>
      <c r="CJ41" s="2316"/>
      <c r="CK41" s="2316"/>
      <c r="CM41" s="2320">
        <v>1923</v>
      </c>
      <c r="CN41" s="2321">
        <v>186</v>
      </c>
      <c r="CO41" s="2320">
        <v>1944</v>
      </c>
      <c r="CP41" s="2321">
        <v>235</v>
      </c>
      <c r="CQ41" s="2320">
        <v>1965</v>
      </c>
      <c r="CR41" s="2321">
        <v>627</v>
      </c>
      <c r="CS41" s="2320">
        <v>1986</v>
      </c>
      <c r="CT41" s="2321">
        <v>2483</v>
      </c>
      <c r="CU41" s="2316"/>
      <c r="CV41" s="2316"/>
      <c r="CW41" s="2316"/>
      <c r="CX41" s="2316"/>
      <c r="CY41" s="2316"/>
      <c r="CZ41" s="2316"/>
    </row>
    <row r="42" spans="1:104" ht="12.75" customHeight="1">
      <c r="A42" s="1733" t="s">
        <v>1100</v>
      </c>
      <c r="B42" s="1746"/>
      <c r="C42" s="1746"/>
      <c r="D42" s="1746"/>
      <c r="E42" s="1746"/>
      <c r="F42" s="1746"/>
      <c r="G42" s="210"/>
      <c r="H42" s="210"/>
      <c r="I42" s="210"/>
      <c r="J42" s="210"/>
      <c r="K42" s="210"/>
      <c r="L42" s="159"/>
      <c r="M42" s="2274"/>
      <c r="P42" s="2282">
        <v>1987</v>
      </c>
      <c r="Q42" s="2283">
        <v>112.3</v>
      </c>
      <c r="R42" s="2283">
        <v>112.4</v>
      </c>
      <c r="S42" s="2283">
        <v>112.3</v>
      </c>
      <c r="T42" s="2283">
        <v>112.2</v>
      </c>
      <c r="U42" s="2283">
        <v>112.3</v>
      </c>
      <c r="V42" s="2283">
        <v>112.2</v>
      </c>
      <c r="W42" s="2283">
        <v>112.7</v>
      </c>
      <c r="X42" s="2283">
        <v>112.9</v>
      </c>
      <c r="Y42" s="2283">
        <v>112.7</v>
      </c>
      <c r="Z42" s="2283">
        <v>113.1</v>
      </c>
      <c r="AA42" s="2283">
        <v>113.2</v>
      </c>
      <c r="AB42" s="2283">
        <v>113.4</v>
      </c>
      <c r="AC42" s="2285">
        <v>112.6</v>
      </c>
      <c r="AD42" s="2290"/>
      <c r="AT42" s="2278" t="s">
        <v>1302</v>
      </c>
      <c r="AU42"/>
      <c r="AV42"/>
      <c r="AW42"/>
      <c r="AX42"/>
      <c r="AY42"/>
      <c r="AZ42"/>
      <c r="BA42"/>
      <c r="BB42"/>
      <c r="BC42"/>
      <c r="BD42"/>
      <c r="BE42"/>
      <c r="BF42"/>
      <c r="BG42" s="2279"/>
      <c r="BI42" s="2282">
        <v>1981</v>
      </c>
      <c r="BJ42" s="2283">
        <v>91.9</v>
      </c>
      <c r="BK42" s="2283">
        <v>92.4</v>
      </c>
      <c r="BL42" s="2283">
        <v>93.8</v>
      </c>
      <c r="BM42" s="2283">
        <v>94.3</v>
      </c>
      <c r="BN42" s="2283">
        <v>94.6</v>
      </c>
      <c r="BO42" s="2283">
        <v>95.2</v>
      </c>
      <c r="BP42" s="2283">
        <v>99.1</v>
      </c>
      <c r="BQ42" s="2283">
        <v>98.8</v>
      </c>
      <c r="BR42" s="2283">
        <v>99.3</v>
      </c>
      <c r="BS42" s="2283">
        <v>99.6</v>
      </c>
      <c r="BT42" s="2283">
        <v>99.9</v>
      </c>
      <c r="BU42" s="2283">
        <v>100.2</v>
      </c>
      <c r="BV42" s="2283"/>
      <c r="BX42" s="2320">
        <v>1926</v>
      </c>
      <c r="BY42" s="2321">
        <v>208</v>
      </c>
      <c r="BZ42" s="2320">
        <v>1949</v>
      </c>
      <c r="CA42" s="2321">
        <v>477</v>
      </c>
      <c r="CB42" s="2320">
        <v>1972</v>
      </c>
      <c r="CC42" s="2321">
        <v>1753</v>
      </c>
      <c r="CD42" s="2319"/>
      <c r="CE42" s="2319"/>
      <c r="CF42" s="2316"/>
      <c r="CG42" s="2316"/>
      <c r="CH42" s="2316"/>
      <c r="CI42" s="2316"/>
      <c r="CJ42" s="2316"/>
      <c r="CK42" s="2316"/>
      <c r="CM42" s="2320">
        <v>1924</v>
      </c>
      <c r="CN42" s="2321">
        <v>186</v>
      </c>
      <c r="CO42" s="2320">
        <v>1945</v>
      </c>
      <c r="CP42" s="2321">
        <v>239</v>
      </c>
      <c r="CQ42" s="2320">
        <v>1966</v>
      </c>
      <c r="CR42" s="2321">
        <v>650</v>
      </c>
      <c r="CS42" s="2320">
        <v>1987</v>
      </c>
      <c r="CT42" s="2321">
        <v>2541</v>
      </c>
      <c r="CU42" s="2316"/>
      <c r="CV42" s="2316"/>
      <c r="CW42" s="2316"/>
      <c r="CX42" s="2316"/>
      <c r="CY42" s="2316"/>
      <c r="CZ42" s="2316"/>
    </row>
    <row r="43" spans="1:104" ht="12.75" customHeight="1">
      <c r="A43" s="1746" t="s">
        <v>1101</v>
      </c>
      <c r="B43" s="1746"/>
      <c r="C43" s="1746"/>
      <c r="D43" s="1746"/>
      <c r="E43" s="1746"/>
      <c r="F43" s="1746"/>
      <c r="G43" s="210"/>
      <c r="H43" s="210"/>
      <c r="I43" s="210"/>
      <c r="J43" s="210"/>
      <c r="K43" s="210"/>
      <c r="L43" s="159"/>
      <c r="M43" s="2274"/>
      <c r="P43" s="2282">
        <v>1988</v>
      </c>
      <c r="Q43" s="2284">
        <v>113.7</v>
      </c>
      <c r="R43" s="2284">
        <v>114.1</v>
      </c>
      <c r="S43" s="2284">
        <v>113.7</v>
      </c>
      <c r="T43" s="2284">
        <v>113.8</v>
      </c>
      <c r="U43" s="2284">
        <v>114.4</v>
      </c>
      <c r="V43" s="2284">
        <v>114.2</v>
      </c>
      <c r="W43" s="2284">
        <v>114.4</v>
      </c>
      <c r="X43" s="2284">
        <v>114.7</v>
      </c>
      <c r="Y43" s="2284">
        <v>114.8</v>
      </c>
      <c r="Z43" s="2284">
        <v>115.1</v>
      </c>
      <c r="AA43" s="2284">
        <v>115.2</v>
      </c>
      <c r="AB43" s="2284">
        <v>115.4</v>
      </c>
      <c r="AC43" s="2299">
        <v>114.5</v>
      </c>
      <c r="AD43" s="2291"/>
      <c r="AT43" s="2280" t="s">
        <v>1339</v>
      </c>
      <c r="AU43"/>
      <c r="AV43"/>
      <c r="AW43"/>
      <c r="AX43"/>
      <c r="AY43"/>
      <c r="AZ43"/>
      <c r="BA43"/>
      <c r="BB43"/>
      <c r="BC43"/>
      <c r="BD43"/>
      <c r="BE43"/>
      <c r="BF43"/>
      <c r="BG43" s="2279"/>
      <c r="BI43" s="2282">
        <v>1982</v>
      </c>
      <c r="BJ43" s="2284">
        <v>100</v>
      </c>
      <c r="BK43" s="2284">
        <v>100.2</v>
      </c>
      <c r="BL43" s="2284">
        <v>100.1</v>
      </c>
      <c r="BM43" s="2284">
        <v>100.2</v>
      </c>
      <c r="BN43" s="2284">
        <v>100.7</v>
      </c>
      <c r="BO43" s="2284">
        <v>100.4</v>
      </c>
      <c r="BP43" s="2284">
        <v>99.9</v>
      </c>
      <c r="BQ43" s="2284">
        <v>99.9</v>
      </c>
      <c r="BR43" s="2284">
        <v>99.9</v>
      </c>
      <c r="BS43" s="2284">
        <v>99.8</v>
      </c>
      <c r="BT43" s="2284">
        <v>99.7</v>
      </c>
      <c r="BU43" s="2284">
        <v>98.9</v>
      </c>
      <c r="BV43" s="2284"/>
      <c r="BX43" s="2320">
        <v>1927</v>
      </c>
      <c r="BY43" s="2321">
        <v>206</v>
      </c>
      <c r="BZ43" s="2320">
        <v>1950</v>
      </c>
      <c r="CA43" s="2321">
        <v>510</v>
      </c>
      <c r="CB43" s="2320">
        <v>1973</v>
      </c>
      <c r="CC43" s="2321">
        <v>1895</v>
      </c>
      <c r="CD43" s="2319"/>
      <c r="CE43" s="2319"/>
      <c r="CF43" s="2316"/>
      <c r="CG43" s="2316"/>
      <c r="CH43" s="2316"/>
      <c r="CI43" s="2316"/>
      <c r="CJ43" s="2316"/>
      <c r="CK43" s="2316"/>
      <c r="CM43" s="2320">
        <v>1925</v>
      </c>
      <c r="CN43" s="2321">
        <v>183</v>
      </c>
      <c r="CO43" s="2320">
        <v>1946</v>
      </c>
      <c r="CP43" s="2321">
        <v>262</v>
      </c>
      <c r="CQ43" s="2320">
        <v>1967</v>
      </c>
      <c r="CR43" s="2321">
        <v>676</v>
      </c>
      <c r="CS43" s="2320">
        <v>1988</v>
      </c>
      <c r="CT43" s="2321">
        <v>2598</v>
      </c>
      <c r="CU43" s="2316"/>
      <c r="CV43" s="2316"/>
      <c r="CW43" s="2316"/>
      <c r="CX43" s="2316"/>
      <c r="CY43" s="2316"/>
      <c r="CZ43" s="2316"/>
    </row>
    <row r="44" spans="1:104" ht="13.5">
      <c r="A44" s="1746"/>
      <c r="B44" s="1746"/>
      <c r="C44" s="1746"/>
      <c r="D44" s="1746"/>
      <c r="E44" s="1746"/>
      <c r="F44" s="1746"/>
      <c r="G44" s="210"/>
      <c r="H44" s="210"/>
      <c r="I44" s="210"/>
      <c r="J44" s="210"/>
      <c r="K44" s="210"/>
      <c r="L44" s="159"/>
      <c r="M44" s="159"/>
      <c r="P44" s="2282">
        <v>1989</v>
      </c>
      <c r="Q44" s="2283">
        <v>116.2</v>
      </c>
      <c r="R44" s="2283">
        <v>116.6</v>
      </c>
      <c r="S44" s="2283">
        <v>116.7</v>
      </c>
      <c r="T44" s="2283">
        <v>116.8</v>
      </c>
      <c r="U44" s="2283">
        <v>117</v>
      </c>
      <c r="V44" s="2283">
        <v>117.5</v>
      </c>
      <c r="W44" s="2283">
        <v>117.9</v>
      </c>
      <c r="X44" s="2283">
        <v>118</v>
      </c>
      <c r="Y44" s="2283">
        <v>117.9</v>
      </c>
      <c r="Z44" s="2283">
        <v>118.4</v>
      </c>
      <c r="AA44" s="2283">
        <v>118.3</v>
      </c>
      <c r="AB44" s="2283">
        <v>118.4</v>
      </c>
      <c r="AC44" s="2285">
        <v>117.5</v>
      </c>
      <c r="AD44" s="2290"/>
      <c r="AT44" s="2280" t="s">
        <v>1340</v>
      </c>
      <c r="AU44"/>
      <c r="AV44"/>
      <c r="AW44"/>
      <c r="AX44"/>
      <c r="AY44"/>
      <c r="AZ44"/>
      <c r="BA44"/>
      <c r="BB44"/>
      <c r="BC44"/>
      <c r="BD44"/>
      <c r="BE44"/>
      <c r="BF44"/>
      <c r="BG44" s="2279"/>
      <c r="BI44" s="2282">
        <v>1983</v>
      </c>
      <c r="BJ44" s="2283">
        <v>98.2</v>
      </c>
      <c r="BK44" s="2283">
        <v>100.6</v>
      </c>
      <c r="BL44" s="2283">
        <v>100.1</v>
      </c>
      <c r="BM44" s="2283">
        <v>99.9</v>
      </c>
      <c r="BN44" s="2283">
        <v>100.2</v>
      </c>
      <c r="BO44" s="2283">
        <v>100.4</v>
      </c>
      <c r="BP44" s="2283">
        <v>100.5</v>
      </c>
      <c r="BQ44" s="2283">
        <v>100.7</v>
      </c>
      <c r="BR44" s="2283">
        <v>102.5</v>
      </c>
      <c r="BS44" s="2283">
        <v>102.1</v>
      </c>
      <c r="BT44" s="2283">
        <v>102.6</v>
      </c>
      <c r="BU44" s="2283">
        <v>103.1</v>
      </c>
      <c r="BV44" s="2283"/>
      <c r="BX44" s="2320">
        <v>1928</v>
      </c>
      <c r="BY44" s="2321">
        <v>207</v>
      </c>
      <c r="BZ44" s="2320">
        <v>1951</v>
      </c>
      <c r="CA44" s="2321">
        <v>543</v>
      </c>
      <c r="CB44" s="2320">
        <v>1974</v>
      </c>
      <c r="CC44" s="2321">
        <v>2020</v>
      </c>
      <c r="CD44" s="2319"/>
      <c r="CE44" s="2319"/>
      <c r="CF44" s="2316"/>
      <c r="CG44" s="2316"/>
      <c r="CH44" s="2316"/>
      <c r="CI44" s="2316"/>
      <c r="CJ44" s="2316"/>
      <c r="CK44" s="2316"/>
      <c r="CM44" s="2320">
        <v>1926</v>
      </c>
      <c r="CN44" s="2321">
        <v>185</v>
      </c>
      <c r="CO44" s="2320">
        <v>1947</v>
      </c>
      <c r="CP44" s="2321">
        <v>313</v>
      </c>
      <c r="CQ44" s="2320">
        <v>1968</v>
      </c>
      <c r="CR44" s="2321">
        <v>721</v>
      </c>
      <c r="CS44" s="2320">
        <v>1989</v>
      </c>
      <c r="CT44" s="2321">
        <v>2634</v>
      </c>
      <c r="CU44" s="2316"/>
      <c r="CV44" s="2316"/>
      <c r="CW44" s="2316"/>
      <c r="CX44" s="2316"/>
      <c r="CY44" s="2316"/>
      <c r="CZ44" s="2316"/>
    </row>
    <row r="45" spans="1:104" ht="13.5">
      <c r="A45" s="159"/>
      <c r="B45" s="159"/>
      <c r="C45" s="159"/>
      <c r="D45" s="159"/>
      <c r="E45" s="159"/>
      <c r="F45" s="159"/>
      <c r="G45" s="210"/>
      <c r="H45" s="210"/>
      <c r="I45" s="210"/>
      <c r="J45" s="210"/>
      <c r="K45" s="210"/>
      <c r="L45" s="159"/>
      <c r="M45" s="159"/>
      <c r="P45" s="2282">
        <v>1990</v>
      </c>
      <c r="Q45" s="2284">
        <v>118.9</v>
      </c>
      <c r="R45" s="2284">
        <v>118.6</v>
      </c>
      <c r="S45" s="2284">
        <v>118.9</v>
      </c>
      <c r="T45" s="2284">
        <v>119</v>
      </c>
      <c r="U45" s="2284">
        <v>119</v>
      </c>
      <c r="V45" s="2284">
        <v>119.2</v>
      </c>
      <c r="W45" s="2284">
        <v>119.5</v>
      </c>
      <c r="X45" s="2284">
        <v>119.4</v>
      </c>
      <c r="Y45" s="2284">
        <v>119.5</v>
      </c>
      <c r="Z45" s="2284">
        <v>119.6</v>
      </c>
      <c r="AA45" s="2284">
        <v>119.8</v>
      </c>
      <c r="AB45" s="2284">
        <v>119.9</v>
      </c>
      <c r="AC45" s="2299">
        <v>119.3</v>
      </c>
      <c r="AD45" s="2291"/>
      <c r="AT45" s="2280" t="s">
        <v>1305</v>
      </c>
      <c r="AU45"/>
      <c r="AV45"/>
      <c r="AW45"/>
      <c r="AX45"/>
      <c r="AY45"/>
      <c r="AZ45"/>
      <c r="BA45"/>
      <c r="BB45"/>
      <c r="BC45"/>
      <c r="BD45"/>
      <c r="BE45"/>
      <c r="BF45"/>
      <c r="BG45" s="2279"/>
      <c r="BI45" s="2282">
        <v>1984</v>
      </c>
      <c r="BJ45" s="2284">
        <v>103.7</v>
      </c>
      <c r="BK45" s="2284">
        <v>104.2</v>
      </c>
      <c r="BL45" s="2284">
        <v>104.2</v>
      </c>
      <c r="BM45" s="2284">
        <v>104.3</v>
      </c>
      <c r="BN45" s="2284">
        <v>104.4</v>
      </c>
      <c r="BO45" s="2284">
        <v>104.7</v>
      </c>
      <c r="BP45" s="2284">
        <v>105.3</v>
      </c>
      <c r="BQ45" s="2284">
        <v>105.4</v>
      </c>
      <c r="BR45" s="2284">
        <v>105.1</v>
      </c>
      <c r="BS45" s="2284">
        <v>104.9</v>
      </c>
      <c r="BT45" s="2284">
        <v>105</v>
      </c>
      <c r="BU45" s="2284">
        <v>105.5</v>
      </c>
      <c r="BV45" s="2284"/>
      <c r="BX45" s="2320">
        <v>1929</v>
      </c>
      <c r="BY45" s="2321">
        <v>207</v>
      </c>
      <c r="BZ45" s="2320">
        <v>1952</v>
      </c>
      <c r="CA45" s="2321">
        <v>569</v>
      </c>
      <c r="CB45" s="2320">
        <v>1975</v>
      </c>
      <c r="CC45" s="2321">
        <v>2212</v>
      </c>
      <c r="CD45" s="2319"/>
      <c r="CE45" s="2319"/>
      <c r="CF45" s="2316"/>
      <c r="CG45" s="2316"/>
      <c r="CH45" s="2316"/>
      <c r="CI45" s="2316"/>
      <c r="CJ45" s="2316"/>
      <c r="CK45" s="2316"/>
      <c r="CM45" s="2320">
        <v>1927</v>
      </c>
      <c r="CN45" s="2321">
        <v>186</v>
      </c>
      <c r="CO45" s="2320">
        <v>1948</v>
      </c>
      <c r="CP45" s="2321">
        <v>341</v>
      </c>
      <c r="CQ45" s="2320">
        <v>1969</v>
      </c>
      <c r="CR45" s="2321">
        <v>790</v>
      </c>
      <c r="CS45" s="2316"/>
      <c r="CT45" s="2316"/>
      <c r="CU45" s="2316"/>
      <c r="CV45" s="2316"/>
      <c r="CW45" s="2316"/>
      <c r="CX45" s="2316"/>
      <c r="CY45" s="2316"/>
      <c r="CZ45" s="2316"/>
    </row>
    <row r="46" spans="2:104" ht="13.5">
      <c r="B46" s="159"/>
      <c r="C46" s="159"/>
      <c r="D46" s="159"/>
      <c r="E46" s="159"/>
      <c r="F46" s="159"/>
      <c r="G46" s="210"/>
      <c r="H46" s="210"/>
      <c r="I46" s="210"/>
      <c r="J46" s="210"/>
      <c r="K46" s="210"/>
      <c r="L46" s="159"/>
      <c r="M46" s="159"/>
      <c r="P46" s="2282">
        <v>1991</v>
      </c>
      <c r="Q46" s="2283">
        <v>120.5</v>
      </c>
      <c r="R46" s="2283">
        <v>120.6</v>
      </c>
      <c r="S46" s="2283">
        <v>120.7</v>
      </c>
      <c r="T46" s="2283">
        <v>120.9</v>
      </c>
      <c r="U46" s="2283">
        <v>120.7</v>
      </c>
      <c r="V46" s="2283">
        <v>120.8</v>
      </c>
      <c r="W46" s="2283">
        <v>120.9</v>
      </c>
      <c r="X46" s="2283">
        <v>120.9</v>
      </c>
      <c r="Y46" s="2283">
        <v>120.8</v>
      </c>
      <c r="Z46" s="2283">
        <v>120.8</v>
      </c>
      <c r="AA46" s="2283">
        <v>120.9</v>
      </c>
      <c r="AB46" s="2283">
        <v>120.9</v>
      </c>
      <c r="AC46" s="2285">
        <v>120.8</v>
      </c>
      <c r="AD46" s="2290"/>
      <c r="AT46" s="2510"/>
      <c r="AU46" s="2511"/>
      <c r="AV46" s="2511"/>
      <c r="AW46" s="2511"/>
      <c r="AX46" s="2511"/>
      <c r="AY46" s="2511"/>
      <c r="AZ46" s="2511"/>
      <c r="BA46" s="2511"/>
      <c r="BB46" s="2511"/>
      <c r="BC46" s="2511"/>
      <c r="BD46" s="2511"/>
      <c r="BE46" s="2511"/>
      <c r="BF46" s="2511"/>
      <c r="BG46" s="2512"/>
      <c r="BI46" s="2282">
        <v>1985</v>
      </c>
      <c r="BJ46" s="2283">
        <v>105.1</v>
      </c>
      <c r="BK46" s="2283">
        <v>105.3</v>
      </c>
      <c r="BL46" s="2283">
        <v>105.3</v>
      </c>
      <c r="BM46" s="2283">
        <v>105.2</v>
      </c>
      <c r="BN46" s="2283">
        <v>105.1</v>
      </c>
      <c r="BO46" s="2283">
        <v>104.9</v>
      </c>
      <c r="BP46" s="2283">
        <v>104.8</v>
      </c>
      <c r="BQ46" s="2283">
        <v>104.6</v>
      </c>
      <c r="BR46" s="2283">
        <v>104.4</v>
      </c>
      <c r="BS46" s="2283">
        <v>104</v>
      </c>
      <c r="BT46" s="2283">
        <v>104</v>
      </c>
      <c r="BU46" s="2283">
        <v>104.4</v>
      </c>
      <c r="BV46" s="2283"/>
      <c r="BX46" s="2320">
        <v>1930</v>
      </c>
      <c r="BY46" s="2321">
        <v>203</v>
      </c>
      <c r="BZ46" s="2320">
        <v>1953</v>
      </c>
      <c r="CA46" s="2321">
        <v>600</v>
      </c>
      <c r="CB46" s="2320">
        <v>1976</v>
      </c>
      <c r="CC46" s="2321">
        <v>2401</v>
      </c>
      <c r="CD46" s="2319"/>
      <c r="CE46" s="2319"/>
      <c r="CF46" s="2316"/>
      <c r="CG46" s="2316"/>
      <c r="CH46" s="2316"/>
      <c r="CI46" s="2316"/>
      <c r="CJ46" s="2316"/>
      <c r="CK46" s="2316"/>
      <c r="CM46" s="2320">
        <v>1928</v>
      </c>
      <c r="CN46" s="2321">
        <v>188</v>
      </c>
      <c r="CO46" s="2320">
        <v>1949</v>
      </c>
      <c r="CP46" s="2321">
        <v>352</v>
      </c>
      <c r="CQ46" s="2320">
        <v>1970</v>
      </c>
      <c r="CR46" s="2321">
        <v>836</v>
      </c>
      <c r="CS46" s="2316"/>
      <c r="CT46" s="2316"/>
      <c r="CU46" s="2316"/>
      <c r="CV46" s="2316"/>
      <c r="CW46" s="2316"/>
      <c r="CX46" s="2316"/>
      <c r="CY46" s="2316"/>
      <c r="CZ46" s="2316"/>
    </row>
    <row r="47" spans="1:104" ht="12.75">
      <c r="A47" s="159"/>
      <c r="B47" s="159"/>
      <c r="C47" s="159"/>
      <c r="D47" s="159"/>
      <c r="E47" s="159"/>
      <c r="F47" s="159"/>
      <c r="G47" s="210"/>
      <c r="H47" s="210"/>
      <c r="I47" s="210"/>
      <c r="J47" s="210"/>
      <c r="K47" s="210"/>
      <c r="L47" s="159"/>
      <c r="M47" s="159"/>
      <c r="P47" s="2282">
        <v>1992</v>
      </c>
      <c r="Q47" s="2284">
        <v>120.9</v>
      </c>
      <c r="R47" s="2284">
        <v>121.2</v>
      </c>
      <c r="S47" s="2284">
        <v>121.4</v>
      </c>
      <c r="T47" s="2284">
        <v>121.2</v>
      </c>
      <c r="U47" s="2284">
        <v>121.3</v>
      </c>
      <c r="V47" s="2284">
        <v>121.2</v>
      </c>
      <c r="W47" s="2284">
        <v>121.2</v>
      </c>
      <c r="X47" s="2284">
        <v>121.2</v>
      </c>
      <c r="Y47" s="2284">
        <v>121.2</v>
      </c>
      <c r="Z47" s="2284">
        <v>121.4</v>
      </c>
      <c r="AA47" s="2284">
        <v>121.6</v>
      </c>
      <c r="AB47" s="2284">
        <v>121.7</v>
      </c>
      <c r="AC47" s="2299">
        <v>121.3</v>
      </c>
      <c r="AD47" s="2291"/>
      <c r="AT47" s="2281" t="s">
        <v>981</v>
      </c>
      <c r="AU47" s="2281" t="s">
        <v>1306</v>
      </c>
      <c r="AV47" s="2281" t="s">
        <v>1307</v>
      </c>
      <c r="AW47" s="2281" t="s">
        <v>1308</v>
      </c>
      <c r="AX47" s="2281" t="s">
        <v>1309</v>
      </c>
      <c r="AY47" s="2281" t="s">
        <v>1310</v>
      </c>
      <c r="AZ47" s="2281" t="s">
        <v>1311</v>
      </c>
      <c r="BA47" s="2281" t="s">
        <v>1312</v>
      </c>
      <c r="BB47" s="2281" t="s">
        <v>1313</v>
      </c>
      <c r="BC47" s="2281" t="s">
        <v>1314</v>
      </c>
      <c r="BD47" s="2281" t="s">
        <v>1315</v>
      </c>
      <c r="BE47" s="2281" t="s">
        <v>1316</v>
      </c>
      <c r="BF47" s="2281" t="s">
        <v>1317</v>
      </c>
      <c r="BG47" s="2281" t="s">
        <v>1318</v>
      </c>
      <c r="BI47" s="2282">
        <v>1986</v>
      </c>
      <c r="BJ47" s="2284">
        <v>99.6</v>
      </c>
      <c r="BK47" s="2284">
        <v>99.5</v>
      </c>
      <c r="BL47" s="2284">
        <v>99.5</v>
      </c>
      <c r="BM47" s="2284">
        <v>99.5</v>
      </c>
      <c r="BN47" s="2284">
        <v>99.9</v>
      </c>
      <c r="BO47" s="2284">
        <v>100</v>
      </c>
      <c r="BP47" s="2284">
        <v>100</v>
      </c>
      <c r="BQ47" s="2284">
        <v>100.1</v>
      </c>
      <c r="BR47" s="2284">
        <v>100.1</v>
      </c>
      <c r="BS47" s="2284">
        <v>99.8</v>
      </c>
      <c r="BT47" s="2284">
        <v>99.6</v>
      </c>
      <c r="BU47" s="2284">
        <v>99.9</v>
      </c>
      <c r="BV47" s="2284"/>
      <c r="CM47" s="2320">
        <v>1929</v>
      </c>
      <c r="CN47" s="2321">
        <v>191</v>
      </c>
      <c r="CO47" s="2320">
        <v>1950</v>
      </c>
      <c r="CP47" s="2321">
        <v>375</v>
      </c>
      <c r="CQ47" s="2320">
        <v>1971</v>
      </c>
      <c r="CR47" s="2321">
        <v>948</v>
      </c>
      <c r="CS47" s="2316"/>
      <c r="CT47" s="2316"/>
      <c r="CU47" s="2316"/>
      <c r="CV47" s="2316"/>
      <c r="CW47" s="2316"/>
      <c r="CX47" s="2316"/>
      <c r="CY47" s="2316"/>
      <c r="CZ47" s="2316"/>
    </row>
    <row r="48" spans="1:104" s="2309" customFormat="1" ht="46.5" customHeight="1">
      <c r="A48" s="2527" t="s">
        <v>1745</v>
      </c>
      <c r="B48" s="2527"/>
      <c r="C48" s="2527"/>
      <c r="D48" s="2527"/>
      <c r="E48" s="2527"/>
      <c r="F48" s="730"/>
      <c r="G48" s="2372"/>
      <c r="H48" s="2372"/>
      <c r="I48" s="2372"/>
      <c r="J48" s="2372"/>
      <c r="K48" s="2372"/>
      <c r="L48" s="730"/>
      <c r="M48" s="730"/>
      <c r="P48" s="2282">
        <v>1993</v>
      </c>
      <c r="Q48" s="2283">
        <v>122</v>
      </c>
      <c r="R48" s="2283">
        <v>122.2</v>
      </c>
      <c r="S48" s="2283">
        <v>122.2</v>
      </c>
      <c r="T48" s="2283">
        <v>122.6</v>
      </c>
      <c r="U48" s="2283">
        <v>122.4</v>
      </c>
      <c r="V48" s="2283">
        <v>122.4</v>
      </c>
      <c r="W48" s="2283">
        <v>122.4</v>
      </c>
      <c r="X48" s="2283">
        <v>122.5</v>
      </c>
      <c r="Y48" s="2283">
        <v>122.6</v>
      </c>
      <c r="Z48" s="2283">
        <v>122.7</v>
      </c>
      <c r="AA48" s="2283">
        <v>122.8</v>
      </c>
      <c r="AB48" s="2283">
        <v>122.7</v>
      </c>
      <c r="AC48" s="2285">
        <v>122.5</v>
      </c>
      <c r="AD48" s="2290"/>
      <c r="AT48" s="2282">
        <v>1978</v>
      </c>
      <c r="AU48" s="2283">
        <v>67.7</v>
      </c>
      <c r="AV48" s="2283">
        <v>68</v>
      </c>
      <c r="AW48" s="2283">
        <v>68.4</v>
      </c>
      <c r="AX48" s="2283">
        <v>69.9</v>
      </c>
      <c r="AY48" s="2283">
        <v>70</v>
      </c>
      <c r="AZ48" s="2283">
        <v>70.2</v>
      </c>
      <c r="BA48" s="2283">
        <v>70.7</v>
      </c>
      <c r="BB48" s="2283">
        <v>71</v>
      </c>
      <c r="BC48" s="2283">
        <v>71.3</v>
      </c>
      <c r="BD48" s="2302">
        <v>71.6</v>
      </c>
      <c r="BE48" s="2283">
        <v>72.1</v>
      </c>
      <c r="BF48" s="2283">
        <v>72.1</v>
      </c>
      <c r="BG48" s="2302">
        <v>70.2</v>
      </c>
      <c r="BI48" s="2282">
        <v>1987</v>
      </c>
      <c r="BJ48" s="2283">
        <v>100.8</v>
      </c>
      <c r="BK48" s="2283">
        <v>101.2</v>
      </c>
      <c r="BL48" s="2283">
        <v>101.2</v>
      </c>
      <c r="BM48" s="2283">
        <v>101.1</v>
      </c>
      <c r="BN48" s="2283">
        <v>101</v>
      </c>
      <c r="BO48" s="2283">
        <v>101</v>
      </c>
      <c r="BP48" s="2283">
        <v>101.4</v>
      </c>
      <c r="BQ48" s="2283">
        <v>101.8</v>
      </c>
      <c r="BR48" s="2283">
        <v>102.4</v>
      </c>
      <c r="BS48" s="2283">
        <v>105</v>
      </c>
      <c r="BT48" s="2283">
        <v>105.6</v>
      </c>
      <c r="BU48" s="2283">
        <v>105.7</v>
      </c>
      <c r="BV48" s="2283"/>
      <c r="CM48" s="2320">
        <v>1930</v>
      </c>
      <c r="CN48" s="2321">
        <v>185</v>
      </c>
      <c r="CO48" s="2320">
        <v>1951</v>
      </c>
      <c r="CP48" s="2321">
        <v>401</v>
      </c>
      <c r="CQ48" s="2320">
        <v>1972</v>
      </c>
      <c r="CR48" s="2321">
        <v>1048</v>
      </c>
      <c r="CS48" s="2319"/>
      <c r="CT48" s="2319"/>
      <c r="CU48" s="2319"/>
      <c r="CV48" s="2319"/>
      <c r="CW48" s="2319"/>
      <c r="CX48" s="2319"/>
      <c r="CY48" s="2319"/>
      <c r="CZ48" s="2319"/>
    </row>
    <row r="49" spans="1:104" s="2309" customFormat="1" ht="15.75">
      <c r="A49" s="2373"/>
      <c r="B49" s="730"/>
      <c r="C49" s="730"/>
      <c r="D49" s="730"/>
      <c r="E49" s="730"/>
      <c r="F49" s="730"/>
      <c r="G49" s="730"/>
      <c r="H49" s="730"/>
      <c r="I49" s="730"/>
      <c r="J49" s="730"/>
      <c r="K49" s="730"/>
      <c r="L49" s="730"/>
      <c r="M49" s="730"/>
      <c r="P49" s="2282">
        <v>1994</v>
      </c>
      <c r="Q49" s="2284">
        <v>123.1</v>
      </c>
      <c r="R49" s="2284">
        <v>123.2</v>
      </c>
      <c r="S49" s="2284">
        <v>123.3</v>
      </c>
      <c r="T49" s="2284">
        <v>123.6</v>
      </c>
      <c r="U49" s="2284">
        <v>123.7</v>
      </c>
      <c r="V49" s="2284">
        <v>123.7</v>
      </c>
      <c r="W49" s="2284">
        <v>123.8</v>
      </c>
      <c r="X49" s="2284">
        <v>123.5</v>
      </c>
      <c r="Y49" s="2284">
        <v>123.4</v>
      </c>
      <c r="Z49" s="2284">
        <v>123.2</v>
      </c>
      <c r="AA49" s="2284">
        <v>123.4</v>
      </c>
      <c r="AB49" s="2284">
        <v>123.4</v>
      </c>
      <c r="AC49" s="2299">
        <v>123.4</v>
      </c>
      <c r="AD49" s="2291"/>
      <c r="AT49" s="2282">
        <v>1979</v>
      </c>
      <c r="AU49" s="2284">
        <v>76.1</v>
      </c>
      <c r="AV49" s="2284">
        <v>76.9</v>
      </c>
      <c r="AW49" s="2284">
        <v>77.4</v>
      </c>
      <c r="AX49" s="2284">
        <v>78.1</v>
      </c>
      <c r="AY49" s="2284">
        <v>78.2</v>
      </c>
      <c r="AZ49" s="2284">
        <v>78.5</v>
      </c>
      <c r="BA49" s="2284">
        <v>79.1</v>
      </c>
      <c r="BB49" s="2284">
        <v>79.3</v>
      </c>
      <c r="BC49" s="2284">
        <v>79.6</v>
      </c>
      <c r="BD49" s="2284">
        <v>80.1</v>
      </c>
      <c r="BE49" s="2284">
        <v>80.5</v>
      </c>
      <c r="BF49" s="2284">
        <v>81</v>
      </c>
      <c r="BG49" s="2284">
        <v>78.7</v>
      </c>
      <c r="BI49" s="2282">
        <v>1988</v>
      </c>
      <c r="BJ49" s="2284">
        <v>107.2</v>
      </c>
      <c r="BK49" s="2284">
        <v>107.8</v>
      </c>
      <c r="BL49" s="2284">
        <v>108.4</v>
      </c>
      <c r="BM49" s="2284">
        <v>109.8</v>
      </c>
      <c r="BN49" s="2284">
        <v>110.6</v>
      </c>
      <c r="BO49" s="2284">
        <v>111</v>
      </c>
      <c r="BP49" s="2284">
        <v>111.4</v>
      </c>
      <c r="BQ49" s="2284">
        <v>112.3</v>
      </c>
      <c r="BR49" s="2284">
        <v>112.3</v>
      </c>
      <c r="BS49" s="2284">
        <v>113</v>
      </c>
      <c r="BT49" s="2284">
        <v>112.5</v>
      </c>
      <c r="BU49" s="2284">
        <v>112.4</v>
      </c>
      <c r="BV49" s="2284"/>
      <c r="CM49" s="2320">
        <v>1931</v>
      </c>
      <c r="CN49" s="2321">
        <v>168</v>
      </c>
      <c r="CO49" s="2320">
        <v>1952</v>
      </c>
      <c r="CP49" s="2321">
        <v>416</v>
      </c>
      <c r="CQ49" s="2320">
        <v>1973</v>
      </c>
      <c r="CR49" s="2321">
        <v>1138</v>
      </c>
      <c r="CS49" s="2319"/>
      <c r="CT49" s="2319"/>
      <c r="CU49" s="2319"/>
      <c r="CV49" s="2319"/>
      <c r="CW49" s="2319"/>
      <c r="CX49" s="2319"/>
      <c r="CY49" s="2319"/>
      <c r="CZ49" s="2319"/>
    </row>
    <row r="50" spans="1:104" s="2309" customFormat="1" ht="33.75" customHeight="1">
      <c r="A50" s="2527" t="s">
        <v>1746</v>
      </c>
      <c r="B50" s="2527"/>
      <c r="C50" s="2527"/>
      <c r="D50" s="2527"/>
      <c r="E50" s="2527"/>
      <c r="F50" s="730"/>
      <c r="G50" s="730"/>
      <c r="H50" s="730"/>
      <c r="I50" s="730"/>
      <c r="J50" s="730"/>
      <c r="K50" s="730"/>
      <c r="L50" s="730"/>
      <c r="M50" s="730"/>
      <c r="P50" s="2282">
        <v>1995</v>
      </c>
      <c r="Q50" s="2283">
        <v>123.9</v>
      </c>
      <c r="R50" s="2283">
        <v>124.2</v>
      </c>
      <c r="S50" s="2283">
        <v>124.1</v>
      </c>
      <c r="T50" s="2283">
        <v>124.2</v>
      </c>
      <c r="U50" s="2283">
        <v>124.2</v>
      </c>
      <c r="V50" s="2283">
        <v>124.1</v>
      </c>
      <c r="W50" s="2283">
        <v>124</v>
      </c>
      <c r="X50" s="2283">
        <v>124</v>
      </c>
      <c r="Y50" s="2283">
        <v>124.2</v>
      </c>
      <c r="Z50" s="2283">
        <v>124.8</v>
      </c>
      <c r="AA50" s="2283">
        <v>124.9</v>
      </c>
      <c r="AB50" s="2283">
        <v>124.3</v>
      </c>
      <c r="AC50" s="2285">
        <v>124.2</v>
      </c>
      <c r="AD50" s="2290"/>
      <c r="AT50" s="2282">
        <v>1980</v>
      </c>
      <c r="AU50" s="2283">
        <v>85.5</v>
      </c>
      <c r="AV50" s="2283">
        <v>86</v>
      </c>
      <c r="AW50" s="2283">
        <v>86.3</v>
      </c>
      <c r="AX50" s="2283">
        <v>87.7</v>
      </c>
      <c r="AY50" s="2283">
        <v>87.9</v>
      </c>
      <c r="AZ50" s="2283">
        <v>88.1</v>
      </c>
      <c r="BA50" s="2283">
        <v>89</v>
      </c>
      <c r="BB50" s="2283">
        <v>89.9</v>
      </c>
      <c r="BC50" s="2283">
        <v>90</v>
      </c>
      <c r="BD50" s="2283">
        <v>90</v>
      </c>
      <c r="BE50" s="2283">
        <v>90.1</v>
      </c>
      <c r="BF50" s="2283">
        <v>90.2</v>
      </c>
      <c r="BG50" s="2283">
        <v>88.4</v>
      </c>
      <c r="BI50" s="2282">
        <v>1989</v>
      </c>
      <c r="BJ50" s="2283">
        <v>113.8</v>
      </c>
      <c r="BK50" s="2283">
        <v>114.3</v>
      </c>
      <c r="BL50" s="2283">
        <v>114.8</v>
      </c>
      <c r="BM50" s="2283">
        <v>115.2</v>
      </c>
      <c r="BN50" s="2283">
        <v>114.9</v>
      </c>
      <c r="BO50" s="2283">
        <v>114.9</v>
      </c>
      <c r="BP50" s="2283">
        <v>114.7</v>
      </c>
      <c r="BQ50" s="2283">
        <v>114.4</v>
      </c>
      <c r="BR50" s="2283">
        <v>114.7</v>
      </c>
      <c r="BS50" s="2283">
        <v>114.4</v>
      </c>
      <c r="BT50" s="2283">
        <v>114.2</v>
      </c>
      <c r="BU50" s="2283">
        <v>114</v>
      </c>
      <c r="BV50" s="2283"/>
      <c r="CM50" s="2320">
        <v>1932</v>
      </c>
      <c r="CN50" s="2321">
        <v>131</v>
      </c>
      <c r="CO50" s="2320">
        <v>1953</v>
      </c>
      <c r="CP50" s="2321">
        <v>431</v>
      </c>
      <c r="CQ50" s="2320">
        <v>1974</v>
      </c>
      <c r="CR50" s="2321">
        <v>1205</v>
      </c>
      <c r="CS50" s="2319"/>
      <c r="CT50" s="2319"/>
      <c r="CU50" s="2319"/>
      <c r="CV50" s="2319"/>
      <c r="CW50" s="2319"/>
      <c r="CX50" s="2319"/>
      <c r="CY50" s="2319"/>
      <c r="CZ50" s="2319"/>
    </row>
    <row r="51" spans="1:104" s="2309" customFormat="1" ht="15.75">
      <c r="A51" s="2373"/>
      <c r="B51" s="730"/>
      <c r="C51" s="730"/>
      <c r="D51" s="730"/>
      <c r="E51" s="730"/>
      <c r="F51" s="730"/>
      <c r="G51" s="730"/>
      <c r="H51" s="730"/>
      <c r="I51" s="730"/>
      <c r="J51" s="730"/>
      <c r="K51" s="730"/>
      <c r="L51" s="730"/>
      <c r="M51" s="730"/>
      <c r="P51" s="2282">
        <v>1996</v>
      </c>
      <c r="Q51" s="2284">
        <v>124.6</v>
      </c>
      <c r="R51" s="2284">
        <v>124.6</v>
      </c>
      <c r="S51" s="2284">
        <v>124.1</v>
      </c>
      <c r="T51" s="2284">
        <v>123.6</v>
      </c>
      <c r="U51" s="2284">
        <v>123.2</v>
      </c>
      <c r="V51" s="2284">
        <v>122.9</v>
      </c>
      <c r="W51" s="2284">
        <v>123.1</v>
      </c>
      <c r="X51" s="2284">
        <v>123.2</v>
      </c>
      <c r="Y51" s="2284">
        <v>123.2</v>
      </c>
      <c r="Z51" s="2284">
        <v>122.9</v>
      </c>
      <c r="AA51" s="2284">
        <v>122.9</v>
      </c>
      <c r="AB51" s="2284">
        <v>123.2</v>
      </c>
      <c r="AC51" s="2299">
        <v>123.4</v>
      </c>
      <c r="AD51" s="2291"/>
      <c r="AT51" s="2282">
        <v>1981</v>
      </c>
      <c r="AU51" s="2284">
        <v>93.5</v>
      </c>
      <c r="AV51" s="2284">
        <v>94</v>
      </c>
      <c r="AW51" s="2284">
        <v>94.4</v>
      </c>
      <c r="AX51" s="2284">
        <v>96</v>
      </c>
      <c r="AY51" s="2284">
        <v>96</v>
      </c>
      <c r="AZ51" s="2284">
        <v>96</v>
      </c>
      <c r="BA51" s="2284">
        <v>96.1</v>
      </c>
      <c r="BB51" s="2284">
        <v>96.1</v>
      </c>
      <c r="BC51" s="2284">
        <v>96.3</v>
      </c>
      <c r="BD51" s="2284">
        <v>96.3</v>
      </c>
      <c r="BE51" s="2284">
        <v>96.3</v>
      </c>
      <c r="BF51" s="2284">
        <v>96.4</v>
      </c>
      <c r="BG51" s="2284">
        <v>95.6</v>
      </c>
      <c r="BI51" s="2282">
        <v>1998</v>
      </c>
      <c r="BJ51" s="2284">
        <v>116.5</v>
      </c>
      <c r="BK51" s="2284">
        <v>116.6</v>
      </c>
      <c r="BL51" s="2284">
        <v>116.1</v>
      </c>
      <c r="BM51" s="2284">
        <v>115.5</v>
      </c>
      <c r="BN51" s="2284">
        <v>115.2</v>
      </c>
      <c r="BO51" s="2284">
        <v>114.7</v>
      </c>
      <c r="BP51" s="2284">
        <v>114.2</v>
      </c>
      <c r="BQ51" s="2284">
        <v>113.8</v>
      </c>
      <c r="BR51" s="2284">
        <v>112.6</v>
      </c>
      <c r="BS51" s="2284">
        <v>111.4</v>
      </c>
      <c r="BT51" s="2284">
        <v>110.2</v>
      </c>
      <c r="BU51" s="2284">
        <v>108.9</v>
      </c>
      <c r="BV51" s="2284"/>
      <c r="CM51" s="2320">
        <v>1933</v>
      </c>
      <c r="CN51" s="2321">
        <v>148</v>
      </c>
      <c r="CO51" s="2320">
        <v>1954</v>
      </c>
      <c r="CP51" s="2321">
        <v>446</v>
      </c>
      <c r="CQ51" s="2320">
        <v>1975</v>
      </c>
      <c r="CR51" s="2321">
        <v>1306</v>
      </c>
      <c r="CS51" s="2319"/>
      <c r="CT51" s="2319"/>
      <c r="CU51" s="2319"/>
      <c r="CV51" s="2319"/>
      <c r="CW51" s="2319"/>
      <c r="CX51" s="2319"/>
      <c r="CY51" s="2319"/>
      <c r="CZ51" s="2319"/>
    </row>
    <row r="52" spans="1:104" s="2309" customFormat="1" ht="12.75">
      <c r="A52" s="328"/>
      <c r="B52" s="730"/>
      <c r="C52" s="730"/>
      <c r="D52" s="730"/>
      <c r="E52" s="730"/>
      <c r="F52" s="730"/>
      <c r="G52" s="730"/>
      <c r="H52" s="730"/>
      <c r="I52" s="730"/>
      <c r="J52" s="730"/>
      <c r="K52" s="730"/>
      <c r="L52" s="730"/>
      <c r="M52" s="730"/>
      <c r="P52" s="2282">
        <v>1997</v>
      </c>
      <c r="Q52" s="2283">
        <v>123</v>
      </c>
      <c r="R52" s="2283">
        <v>122.9</v>
      </c>
      <c r="S52" s="2283">
        <v>122.7</v>
      </c>
      <c r="T52" s="2283">
        <v>122.6</v>
      </c>
      <c r="U52" s="2283">
        <v>122.4</v>
      </c>
      <c r="V52" s="2283">
        <v>122.4</v>
      </c>
      <c r="W52" s="2283">
        <v>122.6</v>
      </c>
      <c r="X52" s="2283">
        <v>122.1</v>
      </c>
      <c r="Y52" s="2283">
        <v>122</v>
      </c>
      <c r="Z52" s="2283">
        <v>121.6</v>
      </c>
      <c r="AA52" s="2283">
        <v>121.8</v>
      </c>
      <c r="AB52" s="2283">
        <v>121.8</v>
      </c>
      <c r="AC52" s="2285">
        <v>122.3</v>
      </c>
      <c r="AD52" s="2290"/>
      <c r="AT52" s="2282">
        <v>1982</v>
      </c>
      <c r="AU52" s="2283">
        <v>98.8</v>
      </c>
      <c r="AV52" s="2283">
        <v>99.5</v>
      </c>
      <c r="AW52" s="2283">
        <v>99.9</v>
      </c>
      <c r="AX52" s="2283">
        <v>99.8</v>
      </c>
      <c r="AY52" s="2283">
        <v>100.8</v>
      </c>
      <c r="AZ52" s="2283">
        <v>100.9</v>
      </c>
      <c r="BA52" s="2283">
        <v>100.6</v>
      </c>
      <c r="BB52" s="2283">
        <v>100.4</v>
      </c>
      <c r="BC52" s="2283">
        <v>100.3</v>
      </c>
      <c r="BD52" s="2283">
        <v>100</v>
      </c>
      <c r="BE52" s="2283">
        <v>100</v>
      </c>
      <c r="BF52" s="2283">
        <v>98.9</v>
      </c>
      <c r="BG52" s="2283">
        <v>100</v>
      </c>
      <c r="BI52" s="2282">
        <v>1999</v>
      </c>
      <c r="BJ52" s="2283">
        <v>107.6</v>
      </c>
      <c r="BK52" s="2283">
        <v>106.4</v>
      </c>
      <c r="BL52" s="2283">
        <v>106</v>
      </c>
      <c r="BM52" s="2283">
        <v>105.4</v>
      </c>
      <c r="BN52" s="2283">
        <v>104.7</v>
      </c>
      <c r="BO52" s="2283">
        <v>105</v>
      </c>
      <c r="BP52" s="2283">
        <v>104.2</v>
      </c>
      <c r="BQ52" s="2283">
        <v>104.2</v>
      </c>
      <c r="BR52" s="2283">
        <v>104</v>
      </c>
      <c r="BS52" s="2283">
        <v>104.7</v>
      </c>
      <c r="BT52" s="2283">
        <v>105.4</v>
      </c>
      <c r="BU52" s="2283">
        <v>106.3</v>
      </c>
      <c r="BV52" s="2283"/>
      <c r="CM52" s="2320">
        <v>1934</v>
      </c>
      <c r="CN52" s="2321">
        <v>167</v>
      </c>
      <c r="CO52" s="2320">
        <v>1955</v>
      </c>
      <c r="CP52" s="2321">
        <v>469</v>
      </c>
      <c r="CQ52" s="2320">
        <v>1976</v>
      </c>
      <c r="CR52" s="2321">
        <v>1425</v>
      </c>
      <c r="CS52" s="2319"/>
      <c r="CT52" s="2319"/>
      <c r="CU52" s="2319"/>
      <c r="CV52" s="2319"/>
      <c r="CW52" s="2319"/>
      <c r="CX52" s="2319"/>
      <c r="CY52" s="2319"/>
      <c r="CZ52" s="2319"/>
    </row>
    <row r="53" spans="1:104" s="2309" customFormat="1" ht="15.75">
      <c r="A53" s="2373"/>
      <c r="B53" s="730"/>
      <c r="C53" s="730"/>
      <c r="D53" s="730"/>
      <c r="E53" s="730"/>
      <c r="F53" s="730"/>
      <c r="G53" s="730"/>
      <c r="H53" s="730"/>
      <c r="I53" s="730"/>
      <c r="J53" s="730"/>
      <c r="K53" s="730"/>
      <c r="L53" s="730"/>
      <c r="M53" s="730"/>
      <c r="P53" s="2282">
        <v>1998</v>
      </c>
      <c r="Q53" s="2284">
        <v>121.8</v>
      </c>
      <c r="R53" s="2284">
        <v>121.6</v>
      </c>
      <c r="S53" s="2284">
        <v>121.5</v>
      </c>
      <c r="T53" s="2284">
        <v>121.2</v>
      </c>
      <c r="U53" s="2284">
        <v>121.1</v>
      </c>
      <c r="V53" s="2284">
        <v>121.1</v>
      </c>
      <c r="W53" s="2284">
        <v>120.8</v>
      </c>
      <c r="X53" s="2284">
        <v>120.7</v>
      </c>
      <c r="Y53" s="2284">
        <v>120.6</v>
      </c>
      <c r="Z53" s="2284">
        <v>120.6</v>
      </c>
      <c r="AA53" s="2284">
        <v>120.6</v>
      </c>
      <c r="AB53" s="2284">
        <v>120.4</v>
      </c>
      <c r="AC53" s="2299">
        <v>121</v>
      </c>
      <c r="AD53" s="2291"/>
      <c r="AT53" s="2282">
        <v>1983</v>
      </c>
      <c r="AU53" s="2284">
        <v>99.1</v>
      </c>
      <c r="AV53" s="2284">
        <v>100</v>
      </c>
      <c r="AW53" s="2284">
        <v>99.5</v>
      </c>
      <c r="AX53" s="2284">
        <v>100.9</v>
      </c>
      <c r="AY53" s="2284">
        <v>101.2</v>
      </c>
      <c r="AZ53" s="2284">
        <v>101.4</v>
      </c>
      <c r="BA53" s="2284">
        <v>101.3</v>
      </c>
      <c r="BB53" s="2284">
        <v>102.1</v>
      </c>
      <c r="BC53" s="2284">
        <v>102.3</v>
      </c>
      <c r="BD53" s="2284">
        <v>102.2</v>
      </c>
      <c r="BE53" s="2284">
        <v>101.6</v>
      </c>
      <c r="BF53" s="2284">
        <v>101.5</v>
      </c>
      <c r="BG53" s="2284">
        <v>101.1</v>
      </c>
      <c r="BI53" s="2282">
        <v>2000</v>
      </c>
      <c r="BJ53" s="2284">
        <v>107.9</v>
      </c>
      <c r="BK53" s="2284">
        <v>108.8</v>
      </c>
      <c r="BL53" s="2284">
        <v>109.1</v>
      </c>
      <c r="BM53" s="2284">
        <v>109.9</v>
      </c>
      <c r="BN53" s="2284">
        <v>110.4</v>
      </c>
      <c r="BO53" s="2284">
        <v>109.7</v>
      </c>
      <c r="BP53" s="2284">
        <v>109.3</v>
      </c>
      <c r="BQ53" s="2284">
        <v>108.2</v>
      </c>
      <c r="BR53" s="2284">
        <v>107.8</v>
      </c>
      <c r="BS53" s="2284">
        <v>107.2</v>
      </c>
      <c r="BT53" s="2284">
        <v>106</v>
      </c>
      <c r="BU53" s="2284">
        <v>105.6</v>
      </c>
      <c r="BV53" s="2284"/>
      <c r="CM53" s="2320">
        <v>1935</v>
      </c>
      <c r="CN53" s="2321">
        <v>166</v>
      </c>
      <c r="CO53" s="2320">
        <v>1956</v>
      </c>
      <c r="CP53" s="2321">
        <v>491</v>
      </c>
      <c r="CQ53" s="2320">
        <v>1977</v>
      </c>
      <c r="CR53" s="2321">
        <v>1545</v>
      </c>
      <c r="CS53" s="2319"/>
      <c r="CT53" s="2319"/>
      <c r="CU53" s="2319"/>
      <c r="CV53" s="2319"/>
      <c r="CW53" s="2319"/>
      <c r="CX53" s="2319"/>
      <c r="CY53" s="2319"/>
      <c r="CZ53" s="2319"/>
    </row>
    <row r="54" spans="1:74" s="2309" customFormat="1" ht="15.75">
      <c r="A54" s="2373"/>
      <c r="B54" s="730"/>
      <c r="C54" s="730"/>
      <c r="D54" s="730"/>
      <c r="E54" s="730"/>
      <c r="F54" s="730"/>
      <c r="G54" s="730"/>
      <c r="H54" s="730"/>
      <c r="I54" s="730"/>
      <c r="J54" s="730"/>
      <c r="K54" s="730"/>
      <c r="L54" s="730"/>
      <c r="M54" s="730"/>
      <c r="P54" s="2282">
        <v>1999</v>
      </c>
      <c r="Q54" s="2283">
        <v>120.6</v>
      </c>
      <c r="R54" s="2283">
        <v>120.6</v>
      </c>
      <c r="S54" s="2283">
        <v>120.5</v>
      </c>
      <c r="T54" s="2283">
        <v>120.3</v>
      </c>
      <c r="U54" s="2283">
        <v>119.8</v>
      </c>
      <c r="V54" s="2283">
        <v>119.6</v>
      </c>
      <c r="W54" s="2283">
        <v>119.5</v>
      </c>
      <c r="X54" s="2283">
        <v>119.4</v>
      </c>
      <c r="Y54" s="2283">
        <v>119.2</v>
      </c>
      <c r="Z54" s="2283">
        <v>119.3</v>
      </c>
      <c r="AA54" s="2283">
        <v>119.3</v>
      </c>
      <c r="AB54" s="2283">
        <v>119.3</v>
      </c>
      <c r="AC54" s="2285">
        <v>119.8</v>
      </c>
      <c r="AD54" s="2290"/>
      <c r="AT54" s="2282">
        <v>1984</v>
      </c>
      <c r="AU54" s="2283">
        <v>101.8</v>
      </c>
      <c r="AV54" s="2283">
        <v>103.2</v>
      </c>
      <c r="AW54" s="2283">
        <v>104.6</v>
      </c>
      <c r="AX54" s="2283">
        <v>104.6</v>
      </c>
      <c r="AY54" s="2283">
        <v>105.8</v>
      </c>
      <c r="AZ54" s="2283">
        <v>105.4</v>
      </c>
      <c r="BA54" s="2283">
        <v>105.5</v>
      </c>
      <c r="BB54" s="2283">
        <v>106</v>
      </c>
      <c r="BC54" s="2283">
        <v>105.9</v>
      </c>
      <c r="BD54" s="2283">
        <v>105.7</v>
      </c>
      <c r="BE54" s="2283">
        <v>106</v>
      </c>
      <c r="BF54" s="2283">
        <v>106.3</v>
      </c>
      <c r="BG54" s="2283">
        <v>105.1</v>
      </c>
      <c r="BI54" s="2282">
        <v>2001</v>
      </c>
      <c r="BJ54" s="2283">
        <v>104.5</v>
      </c>
      <c r="BK54" s="2283">
        <v>103.7</v>
      </c>
      <c r="BL54" s="2283">
        <v>103.2</v>
      </c>
      <c r="BM54" s="2283">
        <v>102.2</v>
      </c>
      <c r="BN54" s="2283">
        <v>101.8</v>
      </c>
      <c r="BO54" s="2283">
        <v>101</v>
      </c>
      <c r="BP54" s="2283">
        <v>100.7</v>
      </c>
      <c r="BQ54" s="2283">
        <v>100.3</v>
      </c>
      <c r="BR54" s="2283">
        <v>99.9</v>
      </c>
      <c r="BS54" s="2283">
        <v>99.4</v>
      </c>
      <c r="BT54" s="2283">
        <v>99.3</v>
      </c>
      <c r="BU54" s="2283">
        <v>99.1</v>
      </c>
      <c r="BV54" s="2283"/>
    </row>
    <row r="55" spans="1:74" s="2375" customFormat="1" ht="36" customHeight="1">
      <c r="A55" s="2527" t="s">
        <v>1747</v>
      </c>
      <c r="B55" s="2527"/>
      <c r="C55" s="2527"/>
      <c r="D55" s="2527"/>
      <c r="E55" s="2527"/>
      <c r="F55" s="2374"/>
      <c r="G55" s="2374"/>
      <c r="H55" s="2374"/>
      <c r="I55" s="2374"/>
      <c r="J55" s="2374"/>
      <c r="K55" s="2374"/>
      <c r="L55" s="2374"/>
      <c r="M55" s="2374"/>
      <c r="P55" s="2376">
        <v>2000</v>
      </c>
      <c r="Q55" s="2377">
        <v>119</v>
      </c>
      <c r="R55" s="2377">
        <v>118.8</v>
      </c>
      <c r="S55" s="2377">
        <v>118.6</v>
      </c>
      <c r="T55" s="2377">
        <v>118.7</v>
      </c>
      <c r="U55" s="2377">
        <v>118.8</v>
      </c>
      <c r="V55" s="2377">
        <v>118.8</v>
      </c>
      <c r="W55" s="2377">
        <v>119</v>
      </c>
      <c r="X55" s="2377">
        <v>118.9</v>
      </c>
      <c r="Y55" s="2377">
        <v>118.9</v>
      </c>
      <c r="Z55" s="2377">
        <v>118.7</v>
      </c>
      <c r="AA55" s="2377">
        <v>118.6</v>
      </c>
      <c r="AB55" s="2377">
        <v>118.1</v>
      </c>
      <c r="AC55" s="2378">
        <v>118.7</v>
      </c>
      <c r="AD55" s="2379"/>
      <c r="AT55" s="2376">
        <v>1985</v>
      </c>
      <c r="AU55" s="2377">
        <v>106.8</v>
      </c>
      <c r="AV55" s="2377">
        <v>107.6</v>
      </c>
      <c r="AW55" s="2377">
        <v>108.2</v>
      </c>
      <c r="AX55" s="2377">
        <v>108.5</v>
      </c>
      <c r="AY55" s="2377">
        <v>109.3</v>
      </c>
      <c r="AZ55" s="2377">
        <v>109.3</v>
      </c>
      <c r="BA55" s="2377">
        <v>108.9</v>
      </c>
      <c r="BB55" s="2377">
        <v>109.1</v>
      </c>
      <c r="BC55" s="2377">
        <v>108.7</v>
      </c>
      <c r="BD55" s="2377">
        <v>108.6</v>
      </c>
      <c r="BE55" s="2377">
        <v>108.1</v>
      </c>
      <c r="BF55" s="2377">
        <v>108.4</v>
      </c>
      <c r="BG55" s="2377">
        <v>108.5</v>
      </c>
      <c r="BI55" s="2376">
        <v>2002</v>
      </c>
      <c r="BJ55" s="2377">
        <v>99.1</v>
      </c>
      <c r="BK55" s="2377">
        <v>99.3</v>
      </c>
      <c r="BL55" s="2377">
        <v>100.3</v>
      </c>
      <c r="BM55" s="2377">
        <v>101.3</v>
      </c>
      <c r="BN55" s="2377">
        <v>102.6</v>
      </c>
      <c r="BO55" s="2377">
        <v>104.3</v>
      </c>
      <c r="BP55" s="2377">
        <v>105.4</v>
      </c>
      <c r="BQ55" s="2377">
        <v>106.7</v>
      </c>
      <c r="BR55" s="2377">
        <v>108.8</v>
      </c>
      <c r="BS55" s="2377">
        <v>109.6</v>
      </c>
      <c r="BT55" s="2377">
        <v>109.9</v>
      </c>
      <c r="BU55" s="2377">
        <v>110.1</v>
      </c>
      <c r="BV55" s="2377"/>
    </row>
    <row r="56" spans="1:74" ht="12.75">
      <c r="A56" s="159"/>
      <c r="B56" s="159"/>
      <c r="C56" s="159"/>
      <c r="D56" s="159"/>
      <c r="E56" s="159"/>
      <c r="F56" s="159"/>
      <c r="G56" s="159"/>
      <c r="H56" s="159"/>
      <c r="I56" s="159"/>
      <c r="J56" s="159"/>
      <c r="K56" s="159"/>
      <c r="L56" s="159"/>
      <c r="M56" s="159"/>
      <c r="P56" s="2282">
        <v>2001</v>
      </c>
      <c r="Q56" s="2283">
        <v>118.2</v>
      </c>
      <c r="R56" s="2283">
        <v>118</v>
      </c>
      <c r="S56" s="2283">
        <v>118.1</v>
      </c>
      <c r="T56" s="2283">
        <v>117.8</v>
      </c>
      <c r="U56" s="2283">
        <v>117.7</v>
      </c>
      <c r="V56" s="2283">
        <v>117.4</v>
      </c>
      <c r="W56" s="2283">
        <v>117.1</v>
      </c>
      <c r="X56" s="2283">
        <v>116.9</v>
      </c>
      <c r="Y56" s="2283">
        <v>116.8</v>
      </c>
      <c r="Z56" s="2283">
        <v>116.7</v>
      </c>
      <c r="AA56" s="2283">
        <v>116.7</v>
      </c>
      <c r="AB56" s="2283">
        <v>116.7</v>
      </c>
      <c r="AC56" s="2285">
        <v>117.3</v>
      </c>
      <c r="AD56" s="2290"/>
      <c r="AT56" s="2282">
        <v>1986</v>
      </c>
      <c r="AU56" s="2283">
        <v>109.4</v>
      </c>
      <c r="AV56" s="2283">
        <v>109.4</v>
      </c>
      <c r="AW56" s="2283">
        <v>109.7</v>
      </c>
      <c r="AX56" s="2283">
        <v>110.1</v>
      </c>
      <c r="AY56" s="2283">
        <v>109.7</v>
      </c>
      <c r="AZ56" s="2283">
        <v>109.5</v>
      </c>
      <c r="BA56" s="2283">
        <v>109.4</v>
      </c>
      <c r="BB56" s="2283">
        <v>109.3</v>
      </c>
      <c r="BC56" s="2283">
        <v>109.4</v>
      </c>
      <c r="BD56" s="2283">
        <v>109.5</v>
      </c>
      <c r="BE56" s="2283">
        <v>109.5</v>
      </c>
      <c r="BF56" s="2283">
        <v>108.2</v>
      </c>
      <c r="BG56" s="2283">
        <v>109.4</v>
      </c>
      <c r="BI56" s="2282">
        <v>2003</v>
      </c>
      <c r="BJ56" s="2283">
        <v>110.4</v>
      </c>
      <c r="BK56" s="2283">
        <v>110.9</v>
      </c>
      <c r="BL56" s="2283">
        <v>110.2</v>
      </c>
      <c r="BM56" s="2283">
        <v>110</v>
      </c>
      <c r="BN56" s="2283">
        <v>109.3</v>
      </c>
      <c r="BO56" s="2283">
        <v>108.6</v>
      </c>
      <c r="BP56" s="2283">
        <v>107.8</v>
      </c>
      <c r="BQ56" s="2283">
        <v>107.7</v>
      </c>
      <c r="BR56" s="2283">
        <v>107.8</v>
      </c>
      <c r="BS56" s="2283">
        <v>109.3</v>
      </c>
      <c r="BT56" s="2283">
        <v>110.2</v>
      </c>
      <c r="BU56" s="2283">
        <v>111.9</v>
      </c>
      <c r="BV56" s="2283"/>
    </row>
    <row r="57" spans="1:74" ht="25.5">
      <c r="A57" s="159"/>
      <c r="B57" s="159"/>
      <c r="C57" s="159"/>
      <c r="D57" s="159"/>
      <c r="E57" s="159"/>
      <c r="F57" s="159"/>
      <c r="G57" s="159"/>
      <c r="H57" s="159"/>
      <c r="I57" s="159"/>
      <c r="J57" s="159"/>
      <c r="K57" s="159"/>
      <c r="L57" s="159"/>
      <c r="M57" s="159"/>
      <c r="P57" s="2282">
        <v>2002</v>
      </c>
      <c r="Q57" s="2284">
        <v>116.9</v>
      </c>
      <c r="R57" s="2284">
        <v>116.9</v>
      </c>
      <c r="S57" s="2284">
        <v>117.1</v>
      </c>
      <c r="T57" s="2284">
        <v>116.6</v>
      </c>
      <c r="U57" s="2284">
        <v>116.4</v>
      </c>
      <c r="V57" s="2284">
        <v>116.4</v>
      </c>
      <c r="W57" s="2284">
        <v>116</v>
      </c>
      <c r="X57" s="2284">
        <v>116.1</v>
      </c>
      <c r="Y57" s="2284">
        <v>116.1</v>
      </c>
      <c r="Z57" s="2284">
        <v>115.8</v>
      </c>
      <c r="AA57" s="2284">
        <v>115.8</v>
      </c>
      <c r="AB57" s="2284">
        <v>115.4</v>
      </c>
      <c r="AC57" s="2299">
        <v>116.3</v>
      </c>
      <c r="AD57" s="2291"/>
      <c r="AT57" s="2282">
        <v>1987</v>
      </c>
      <c r="AU57" s="2284">
        <v>109.1</v>
      </c>
      <c r="AV57" s="2284">
        <v>109.6</v>
      </c>
      <c r="AW57" s="2284">
        <v>110.1</v>
      </c>
      <c r="AX57" s="2284">
        <v>110.4</v>
      </c>
      <c r="AY57" s="2284">
        <v>110.7</v>
      </c>
      <c r="AZ57" s="2284">
        <v>110.8</v>
      </c>
      <c r="BA57" s="2284">
        <v>110.8</v>
      </c>
      <c r="BB57" s="2284">
        <v>110.8</v>
      </c>
      <c r="BC57" s="2284">
        <v>110.8</v>
      </c>
      <c r="BD57" s="2284">
        <v>110.8</v>
      </c>
      <c r="BE57" s="2284">
        <v>110.8</v>
      </c>
      <c r="BF57" s="2284">
        <v>110.6</v>
      </c>
      <c r="BG57" s="2284">
        <v>110.4</v>
      </c>
      <c r="BI57" s="2282">
        <v>2004</v>
      </c>
      <c r="BJ57" s="2284">
        <v>116.4</v>
      </c>
      <c r="BK57" s="2284" t="s">
        <v>1366</v>
      </c>
      <c r="BL57" s="2284" t="s">
        <v>1367</v>
      </c>
      <c r="BM57" s="2284" t="s">
        <v>1368</v>
      </c>
      <c r="BN57" s="2284" t="s">
        <v>1369</v>
      </c>
      <c r="BO57" s="2284"/>
      <c r="BP57" s="2284"/>
      <c r="BQ57" s="2284"/>
      <c r="BR57" s="2284"/>
      <c r="BS57" s="2284"/>
      <c r="BT57" s="2284"/>
      <c r="BU57" s="2284"/>
      <c r="BV57" s="2284"/>
    </row>
    <row r="58" spans="16:74" ht="12.75" customHeight="1">
      <c r="P58" s="2282">
        <v>2003</v>
      </c>
      <c r="Q58" s="2283">
        <v>115.3</v>
      </c>
      <c r="R58" s="2283">
        <v>115</v>
      </c>
      <c r="S58" s="2283">
        <v>115.1</v>
      </c>
      <c r="T58" s="2283">
        <v>115.2</v>
      </c>
      <c r="U58" s="2283">
        <v>115.2</v>
      </c>
      <c r="V58" s="2283">
        <v>114.9</v>
      </c>
      <c r="W58" s="2283">
        <v>114.6</v>
      </c>
      <c r="X58" s="2283">
        <v>114.4</v>
      </c>
      <c r="Y58" s="2283">
        <v>114.4</v>
      </c>
      <c r="Z58" s="2283">
        <v>114.2</v>
      </c>
      <c r="AA58" s="2283">
        <v>114.2</v>
      </c>
      <c r="AB58" s="2283">
        <v>114</v>
      </c>
      <c r="AC58" s="2285">
        <v>114.7</v>
      </c>
      <c r="AD58" s="2290"/>
      <c r="AT58" s="2282">
        <v>1988</v>
      </c>
      <c r="AU58" s="2283">
        <v>111.3</v>
      </c>
      <c r="AV58" s="2283">
        <v>111.6</v>
      </c>
      <c r="AW58" s="2283">
        <v>111.6</v>
      </c>
      <c r="AX58" s="2283">
        <v>112.3</v>
      </c>
      <c r="AY58" s="2283">
        <v>112.6</v>
      </c>
      <c r="AZ58" s="2283">
        <v>112.3</v>
      </c>
      <c r="BA58" s="2283">
        <v>112.1</v>
      </c>
      <c r="BB58" s="2283">
        <v>112.2</v>
      </c>
      <c r="BC58" s="2283">
        <v>112</v>
      </c>
      <c r="BD58" s="2283">
        <v>111.9</v>
      </c>
      <c r="BE58" s="2283">
        <v>111.9</v>
      </c>
      <c r="BF58" s="2283">
        <v>111.9</v>
      </c>
      <c r="BG58" s="2283">
        <v>112</v>
      </c>
      <c r="BI58" s="2516" t="s">
        <v>1330</v>
      </c>
      <c r="BJ58" s="2517"/>
      <c r="BK58" s="2517"/>
      <c r="BL58" s="2517"/>
      <c r="BM58" s="2517"/>
      <c r="BN58" s="2517"/>
      <c r="BO58" s="2517"/>
      <c r="BP58" s="2517"/>
      <c r="BQ58" s="2517"/>
      <c r="BR58" s="2517"/>
      <c r="BS58" s="2517"/>
      <c r="BT58" s="2517"/>
      <c r="BU58" s="2517"/>
      <c r="BV58" s="2518"/>
    </row>
    <row r="59" spans="16:74" ht="25.5">
      <c r="P59" s="2282">
        <v>2004</v>
      </c>
      <c r="Q59" s="2284">
        <v>113.5</v>
      </c>
      <c r="R59" s="2284" t="s">
        <v>1319</v>
      </c>
      <c r="S59" s="2284" t="s">
        <v>1320</v>
      </c>
      <c r="T59" s="2284" t="s">
        <v>1321</v>
      </c>
      <c r="U59" s="2284" t="s">
        <v>1322</v>
      </c>
      <c r="V59" s="2284"/>
      <c r="W59" s="2284"/>
      <c r="X59" s="2284"/>
      <c r="Y59" s="2284"/>
      <c r="Z59" s="2284"/>
      <c r="AA59" s="2284"/>
      <c r="AB59" s="2284"/>
      <c r="AC59" s="2299"/>
      <c r="AD59" s="2291"/>
      <c r="AT59" s="2282">
        <v>1989</v>
      </c>
      <c r="AU59" s="2284">
        <v>112.3</v>
      </c>
      <c r="AV59" s="2284">
        <v>112.3</v>
      </c>
      <c r="AW59" s="2284">
        <v>112.3</v>
      </c>
      <c r="AX59" s="2284">
        <v>113.1</v>
      </c>
      <c r="AY59" s="2284">
        <v>113.3</v>
      </c>
      <c r="AZ59" s="2284">
        <v>113.3</v>
      </c>
      <c r="BA59" s="2284">
        <v>113.3</v>
      </c>
      <c r="BB59" s="2284">
        <v>113.2</v>
      </c>
      <c r="BC59" s="2284">
        <v>113.7</v>
      </c>
      <c r="BD59" s="2284">
        <v>113.8</v>
      </c>
      <c r="BE59" s="2284">
        <v>113.6</v>
      </c>
      <c r="BF59" s="2284">
        <v>113.6</v>
      </c>
      <c r="BG59" s="2284">
        <v>113.2</v>
      </c>
      <c r="BI59" s="2513"/>
      <c r="BJ59" s="2513"/>
      <c r="BK59" s="2513"/>
      <c r="BL59" s="2513"/>
      <c r="BM59" s="2513"/>
      <c r="BN59" s="2513"/>
      <c r="BO59" s="2513"/>
      <c r="BP59" s="2513"/>
      <c r="BQ59" s="2513"/>
      <c r="BR59" s="2513"/>
      <c r="BS59" s="2513"/>
      <c r="BT59" s="2513"/>
      <c r="BU59" s="2513"/>
      <c r="BV59" s="2513"/>
    </row>
    <row r="60" spans="16:74" ht="12.75" customHeight="1">
      <c r="P60" s="2516" t="s">
        <v>1330</v>
      </c>
      <c r="Q60" s="2517"/>
      <c r="R60" s="2517"/>
      <c r="S60" s="2517"/>
      <c r="T60" s="2517"/>
      <c r="U60" s="2517"/>
      <c r="V60" s="2517"/>
      <c r="W60" s="2517"/>
      <c r="X60" s="2517"/>
      <c r="Y60" s="2517"/>
      <c r="Z60" s="2517"/>
      <c r="AA60" s="2517"/>
      <c r="AB60" s="2517"/>
      <c r="AC60" s="2518"/>
      <c r="AD60" s="2290"/>
      <c r="AT60" s="2282">
        <v>1990</v>
      </c>
      <c r="AU60" s="2283">
        <v>113.9</v>
      </c>
      <c r="AV60" s="2283">
        <v>114.3</v>
      </c>
      <c r="AW60" s="2283">
        <v>114.8</v>
      </c>
      <c r="AX60" s="2283">
        <v>115.2</v>
      </c>
      <c r="AY60" s="2283">
        <v>115.5</v>
      </c>
      <c r="AZ60" s="2283">
        <v>115.5</v>
      </c>
      <c r="BA60" s="2283">
        <v>115.3</v>
      </c>
      <c r="BB60" s="2283">
        <v>115.5</v>
      </c>
      <c r="BC60" s="2283">
        <v>115.8</v>
      </c>
      <c r="BD60" s="2283">
        <v>115.8</v>
      </c>
      <c r="BE60" s="2283">
        <v>116</v>
      </c>
      <c r="BF60" s="2283">
        <v>115.9</v>
      </c>
      <c r="BG60" s="2283">
        <v>115.3</v>
      </c>
      <c r="BI60" s="2286"/>
      <c r="BJ60" s="2286"/>
      <c r="BK60" s="2286"/>
      <c r="BL60" s="2286"/>
      <c r="BM60" s="2286"/>
      <c r="BN60" s="2286"/>
      <c r="BO60" s="2286"/>
      <c r="BP60" s="2286"/>
      <c r="BQ60" s="2286"/>
      <c r="BR60" s="2286"/>
      <c r="BS60" s="2286"/>
      <c r="BT60" s="2286"/>
      <c r="BU60" s="2286"/>
      <c r="BV60" s="2286"/>
    </row>
    <row r="61" spans="46:74" ht="12.75">
      <c r="AT61" s="2282">
        <v>1991</v>
      </c>
      <c r="AU61" s="2284">
        <v>117.1</v>
      </c>
      <c r="AV61" s="2284">
        <v>118.3</v>
      </c>
      <c r="AW61" s="2284">
        <v>118.3</v>
      </c>
      <c r="AX61" s="2284">
        <v>118.6</v>
      </c>
      <c r="AY61" s="2284">
        <v>118.8</v>
      </c>
      <c r="AZ61" s="2284">
        <v>118.9</v>
      </c>
      <c r="BA61" s="2284">
        <v>118.7</v>
      </c>
      <c r="BB61" s="2284">
        <v>118.8</v>
      </c>
      <c r="BC61" s="2284">
        <v>118.5</v>
      </c>
      <c r="BD61" s="2284">
        <v>118.5</v>
      </c>
      <c r="BE61" s="2284">
        <v>118.3</v>
      </c>
      <c r="BF61" s="2284">
        <v>118.2</v>
      </c>
      <c r="BG61" s="2284">
        <v>118.4</v>
      </c>
      <c r="BI61" s="2514"/>
      <c r="BJ61" s="2514"/>
      <c r="BK61" s="2514"/>
      <c r="BL61" s="2514"/>
      <c r="BM61" s="2514"/>
      <c r="BN61" s="2514"/>
      <c r="BO61" s="2514"/>
      <c r="BP61" s="2514"/>
      <c r="BQ61" s="2514"/>
      <c r="BR61" s="2514"/>
      <c r="BS61" s="2514"/>
      <c r="BT61" s="2514"/>
      <c r="BU61" s="2514"/>
      <c r="BV61" s="2514"/>
    </row>
    <row r="62" spans="46:74" ht="12.75">
      <c r="AT62" s="2282">
        <v>1992</v>
      </c>
      <c r="AU62" s="2283">
        <v>118.8</v>
      </c>
      <c r="AV62" s="2283">
        <v>118.8</v>
      </c>
      <c r="AW62" s="2283">
        <v>119.4</v>
      </c>
      <c r="AX62" s="2283">
        <v>119.3</v>
      </c>
      <c r="AY62" s="2283">
        <v>119.4</v>
      </c>
      <c r="AZ62" s="2283">
        <v>119.4</v>
      </c>
      <c r="BA62" s="2283">
        <v>119.4</v>
      </c>
      <c r="BB62" s="2283">
        <v>119.5</v>
      </c>
      <c r="BC62" s="2283">
        <v>119.4</v>
      </c>
      <c r="BD62" s="2283">
        <v>119.6</v>
      </c>
      <c r="BE62" s="2283">
        <v>119.7</v>
      </c>
      <c r="BF62" s="2283">
        <v>119.9</v>
      </c>
      <c r="BG62" s="2283">
        <v>119.4</v>
      </c>
      <c r="BI62" s="2515"/>
      <c r="BJ62" s="2515"/>
      <c r="BK62" s="2515"/>
      <c r="BL62" s="2515"/>
      <c r="BM62" s="2515"/>
      <c r="BN62" s="2515"/>
      <c r="BO62" s="2515"/>
      <c r="BP62" s="2515"/>
      <c r="BQ62" s="2515"/>
      <c r="BR62" s="2515"/>
      <c r="BS62" s="2515"/>
      <c r="BT62" s="2515"/>
      <c r="BU62" s="2515"/>
      <c r="BV62" s="2515"/>
    </row>
    <row r="63" spans="46:74" ht="13.5">
      <c r="AT63" s="2282">
        <v>1993</v>
      </c>
      <c r="AU63" s="2284">
        <v>120.9</v>
      </c>
      <c r="AV63" s="2284">
        <v>121.1</v>
      </c>
      <c r="AW63" s="2284">
        <v>121.4</v>
      </c>
      <c r="AX63" s="2284">
        <v>123.2</v>
      </c>
      <c r="AY63" s="2284">
        <v>123.2</v>
      </c>
      <c r="AZ63" s="2284">
        <v>123.5</v>
      </c>
      <c r="BA63" s="2284">
        <v>123.7</v>
      </c>
      <c r="BB63" s="2284">
        <v>123.8</v>
      </c>
      <c r="BC63" s="2284">
        <v>124.5</v>
      </c>
      <c r="BD63" s="2284">
        <v>125.5</v>
      </c>
      <c r="BE63" s="2284">
        <v>125.2</v>
      </c>
      <c r="BF63" s="2284">
        <v>125.3</v>
      </c>
      <c r="BG63" s="2284">
        <v>123.4</v>
      </c>
      <c r="BI63" s="2275" t="s">
        <v>1323</v>
      </c>
      <c r="BJ63" s="2276"/>
      <c r="BK63" s="2276"/>
      <c r="BL63" s="2276"/>
      <c r="BM63" s="2276"/>
      <c r="BN63" s="2276"/>
      <c r="BO63" s="2276"/>
      <c r="BP63" s="2276"/>
      <c r="BQ63" s="2276"/>
      <c r="BR63" s="2276"/>
      <c r="BS63" s="2276"/>
      <c r="BT63" s="2276"/>
      <c r="BU63" s="2276"/>
      <c r="BV63" s="2277"/>
    </row>
    <row r="64" spans="46:74" ht="13.5">
      <c r="AT64" s="2282">
        <v>1994</v>
      </c>
      <c r="AU64" s="2283">
        <v>126.2</v>
      </c>
      <c r="AV64" s="2283">
        <v>126.6</v>
      </c>
      <c r="AW64" s="2283">
        <v>127</v>
      </c>
      <c r="AX64" s="2283">
        <v>128.4</v>
      </c>
      <c r="AY64" s="2283">
        <v>128.4</v>
      </c>
      <c r="AZ64" s="2283">
        <v>129</v>
      </c>
      <c r="BA64" s="2283">
        <v>129.2</v>
      </c>
      <c r="BB64" s="2283">
        <v>129.7</v>
      </c>
      <c r="BC64" s="2283">
        <v>129.8</v>
      </c>
      <c r="BD64" s="2283">
        <v>130.2</v>
      </c>
      <c r="BE64" s="2283">
        <v>130.2</v>
      </c>
      <c r="BF64" s="2283">
        <v>130.2</v>
      </c>
      <c r="BG64" s="2283">
        <v>128.7</v>
      </c>
      <c r="BI64" s="2278" t="s">
        <v>1302</v>
      </c>
      <c r="BJ64"/>
      <c r="BK64"/>
      <c r="BL64"/>
      <c r="BM64"/>
      <c r="BN64"/>
      <c r="BO64"/>
      <c r="BP64"/>
      <c r="BQ64"/>
      <c r="BR64"/>
      <c r="BS64"/>
      <c r="BT64"/>
      <c r="BU64"/>
      <c r="BV64" s="2279"/>
    </row>
    <row r="65" spans="46:74" ht="13.5">
      <c r="AT65" s="2282">
        <v>1995</v>
      </c>
      <c r="AU65" s="2284">
        <v>131.6</v>
      </c>
      <c r="AV65" s="2284">
        <v>132.1</v>
      </c>
      <c r="AW65" s="2284">
        <v>132.4</v>
      </c>
      <c r="AX65" s="2284">
        <v>134.5</v>
      </c>
      <c r="AY65" s="2284">
        <v>134.8</v>
      </c>
      <c r="AZ65" s="2284">
        <v>135.2</v>
      </c>
      <c r="BA65" s="2284">
        <v>135.7</v>
      </c>
      <c r="BB65" s="2284">
        <v>135.7</v>
      </c>
      <c r="BC65" s="2284">
        <v>135.9</v>
      </c>
      <c r="BD65" s="2284">
        <v>135.8</v>
      </c>
      <c r="BE65" s="2284">
        <v>136</v>
      </c>
      <c r="BF65" s="2284">
        <v>135.9</v>
      </c>
      <c r="BG65" s="2284">
        <v>134.7</v>
      </c>
      <c r="BI65" s="2280" t="s">
        <v>1324</v>
      </c>
      <c r="BJ65"/>
      <c r="BK65"/>
      <c r="BL65"/>
      <c r="BM65"/>
      <c r="BN65"/>
      <c r="BO65"/>
      <c r="BP65"/>
      <c r="BQ65"/>
      <c r="BR65"/>
      <c r="BS65"/>
      <c r="BT65"/>
      <c r="BU65"/>
      <c r="BV65" s="2279"/>
    </row>
    <row r="66" spans="46:74" ht="13.5">
      <c r="AT66" s="2282">
        <v>1996</v>
      </c>
      <c r="AU66" s="2283">
        <v>136.5</v>
      </c>
      <c r="AV66" s="2283">
        <v>136.7</v>
      </c>
      <c r="AW66" s="2283">
        <v>137</v>
      </c>
      <c r="AX66" s="2283">
        <v>138.6</v>
      </c>
      <c r="AY66" s="2283">
        <v>139.2</v>
      </c>
      <c r="AZ66" s="2283">
        <v>139.2</v>
      </c>
      <c r="BA66" s="2283">
        <v>139.4</v>
      </c>
      <c r="BB66" s="2283">
        <v>139.3</v>
      </c>
      <c r="BC66" s="2283">
        <v>140</v>
      </c>
      <c r="BD66" s="2283">
        <v>140</v>
      </c>
      <c r="BE66" s="2283">
        <v>140.2</v>
      </c>
      <c r="BF66" s="2283">
        <v>140</v>
      </c>
      <c r="BG66" s="2283">
        <v>138.8</v>
      </c>
      <c r="BI66" s="2280" t="s">
        <v>1325</v>
      </c>
      <c r="BJ66"/>
      <c r="BK66"/>
      <c r="BL66"/>
      <c r="BM66"/>
      <c r="BN66"/>
      <c r="BO66"/>
      <c r="BP66"/>
      <c r="BQ66"/>
      <c r="BR66"/>
      <c r="BS66"/>
      <c r="BT66"/>
      <c r="BU66"/>
      <c r="BV66" s="2279"/>
    </row>
    <row r="67" spans="46:74" ht="13.5">
      <c r="AT67" s="2282">
        <v>1997</v>
      </c>
      <c r="AU67" s="2284">
        <v>140.7</v>
      </c>
      <c r="AV67" s="2284">
        <v>140.7</v>
      </c>
      <c r="AW67" s="2284">
        <v>140.8</v>
      </c>
      <c r="AX67" s="2284">
        <v>142.3</v>
      </c>
      <c r="AY67" s="2284">
        <v>142.7</v>
      </c>
      <c r="AZ67" s="2284">
        <v>143</v>
      </c>
      <c r="BA67" s="2284">
        <v>143.2</v>
      </c>
      <c r="BB67" s="2284">
        <v>143.3</v>
      </c>
      <c r="BC67" s="2284">
        <v>143.2</v>
      </c>
      <c r="BD67" s="2284">
        <v>143.4</v>
      </c>
      <c r="BE67" s="2284">
        <v>143.2</v>
      </c>
      <c r="BF67" s="2284">
        <v>143.4</v>
      </c>
      <c r="BG67" s="2284">
        <v>142.5</v>
      </c>
      <c r="BI67" s="2280" t="s">
        <v>1305</v>
      </c>
      <c r="BJ67"/>
      <c r="BK67"/>
      <c r="BL67"/>
      <c r="BM67"/>
      <c r="BN67"/>
      <c r="BO67"/>
      <c r="BP67"/>
      <c r="BQ67"/>
      <c r="BR67"/>
      <c r="BS67"/>
      <c r="BT67"/>
      <c r="BU67"/>
      <c r="BV67" s="2279"/>
    </row>
    <row r="68" spans="46:74" ht="13.5">
      <c r="AT68" s="2282">
        <v>1998</v>
      </c>
      <c r="AU68" s="2283">
        <v>144.2</v>
      </c>
      <c r="AV68" s="2283">
        <v>144.6</v>
      </c>
      <c r="AW68" s="2283">
        <v>145</v>
      </c>
      <c r="AX68" s="2283">
        <v>147.3</v>
      </c>
      <c r="AY68" s="2283">
        <v>147.6</v>
      </c>
      <c r="AZ68" s="2283">
        <v>148.4</v>
      </c>
      <c r="BA68" s="2283">
        <v>148.8</v>
      </c>
      <c r="BB68" s="2283">
        <v>148.9</v>
      </c>
      <c r="BC68" s="2283">
        <v>149</v>
      </c>
      <c r="BD68" s="2283">
        <v>149</v>
      </c>
      <c r="BE68" s="2283">
        <v>149</v>
      </c>
      <c r="BF68" s="2283">
        <v>149.3</v>
      </c>
      <c r="BG68" s="2283">
        <v>147.6</v>
      </c>
      <c r="BI68" s="2510"/>
      <c r="BJ68" s="2511"/>
      <c r="BK68" s="2511"/>
      <c r="BL68" s="2511"/>
      <c r="BM68" s="2511"/>
      <c r="BN68" s="2511"/>
      <c r="BO68" s="2511"/>
      <c r="BP68" s="2511"/>
      <c r="BQ68" s="2511"/>
      <c r="BR68" s="2511"/>
      <c r="BS68" s="2511"/>
      <c r="BT68" s="2511"/>
      <c r="BU68" s="2511"/>
      <c r="BV68" s="2512"/>
    </row>
    <row r="69" spans="46:74" ht="12.75">
      <c r="AT69" s="2282">
        <v>1999</v>
      </c>
      <c r="AU69" s="2284">
        <v>150.4</v>
      </c>
      <c r="AV69" s="2284">
        <v>150.7</v>
      </c>
      <c r="AW69" s="2284">
        <v>151</v>
      </c>
      <c r="AX69" s="2284">
        <v>151.7</v>
      </c>
      <c r="AY69" s="2284">
        <v>152.1</v>
      </c>
      <c r="AZ69" s="2284">
        <v>152.4</v>
      </c>
      <c r="BA69" s="2284">
        <v>152.6</v>
      </c>
      <c r="BB69" s="2284">
        <v>152.8</v>
      </c>
      <c r="BC69" s="2284">
        <v>153</v>
      </c>
      <c r="BD69" s="2284">
        <v>153</v>
      </c>
      <c r="BE69" s="2284">
        <v>153.2</v>
      </c>
      <c r="BF69" s="2284">
        <v>153</v>
      </c>
      <c r="BG69" s="2284">
        <v>152.1</v>
      </c>
      <c r="BI69" s="2281" t="s">
        <v>981</v>
      </c>
      <c r="BJ69" s="2281" t="s">
        <v>1306</v>
      </c>
      <c r="BK69" s="2281" t="s">
        <v>1307</v>
      </c>
      <c r="BL69" s="2281" t="s">
        <v>1308</v>
      </c>
      <c r="BM69" s="2281" t="s">
        <v>1309</v>
      </c>
      <c r="BN69" s="2281" t="s">
        <v>1310</v>
      </c>
      <c r="BO69" s="2281" t="s">
        <v>1311</v>
      </c>
      <c r="BP69" s="2281" t="s">
        <v>1312</v>
      </c>
      <c r="BQ69" s="2281" t="s">
        <v>1313</v>
      </c>
      <c r="BR69" s="2281" t="s">
        <v>1314</v>
      </c>
      <c r="BS69" s="2281" t="s">
        <v>1315</v>
      </c>
      <c r="BT69" s="2281" t="s">
        <v>1316</v>
      </c>
      <c r="BU69" s="2281" t="s">
        <v>1317</v>
      </c>
      <c r="BV69" s="2281" t="s">
        <v>1318</v>
      </c>
    </row>
    <row r="70" spans="46:74" ht="12.75">
      <c r="AT70" s="2282">
        <v>2000</v>
      </c>
      <c r="AU70" s="2283">
        <v>153.8</v>
      </c>
      <c r="AV70" s="2283">
        <v>153.9</v>
      </c>
      <c r="AW70" s="2283">
        <v>154.3</v>
      </c>
      <c r="AX70" s="2283">
        <v>155.3</v>
      </c>
      <c r="AY70" s="2283">
        <v>156</v>
      </c>
      <c r="AZ70" s="2283">
        <v>156.2</v>
      </c>
      <c r="BA70" s="2283">
        <v>156.3</v>
      </c>
      <c r="BB70" s="2283">
        <v>156.3</v>
      </c>
      <c r="BC70" s="2283">
        <v>156.4</v>
      </c>
      <c r="BD70" s="2283">
        <v>156.3</v>
      </c>
      <c r="BE70" s="2283">
        <v>156.3</v>
      </c>
      <c r="BF70" s="2283">
        <v>155.8</v>
      </c>
      <c r="BG70" s="2283">
        <v>155.6</v>
      </c>
      <c r="BI70" s="2282">
        <v>1977</v>
      </c>
      <c r="BJ70" s="2283">
        <v>63.3</v>
      </c>
      <c r="BK70" s="2283">
        <v>63.3</v>
      </c>
      <c r="BL70" s="2283">
        <v>64</v>
      </c>
      <c r="BM70" s="2283">
        <v>64.2</v>
      </c>
      <c r="BN70" s="2283">
        <v>64.4</v>
      </c>
      <c r="BO70" s="2283">
        <v>64.5</v>
      </c>
      <c r="BP70" s="2283">
        <v>66.8</v>
      </c>
      <c r="BQ70" s="2283">
        <v>67.1</v>
      </c>
      <c r="BR70" s="2283">
        <v>68</v>
      </c>
      <c r="BS70" s="2283">
        <v>67.9</v>
      </c>
      <c r="BT70" s="2283">
        <v>67.9</v>
      </c>
      <c r="BU70" s="2283">
        <v>67.9</v>
      </c>
      <c r="BV70" s="2283">
        <v>65.8</v>
      </c>
    </row>
    <row r="71" spans="46:74" ht="12.75">
      <c r="AT71" s="2282">
        <v>2001</v>
      </c>
      <c r="AU71" s="2284">
        <v>157.2</v>
      </c>
      <c r="AV71" s="2284">
        <v>157.9</v>
      </c>
      <c r="AW71" s="2284">
        <v>157.9</v>
      </c>
      <c r="AX71" s="2284">
        <v>158.9</v>
      </c>
      <c r="AY71" s="2284">
        <v>159.2</v>
      </c>
      <c r="AZ71" s="2284">
        <v>159.3</v>
      </c>
      <c r="BA71" s="2284">
        <v>159.6</v>
      </c>
      <c r="BB71" s="2284">
        <v>159.8</v>
      </c>
      <c r="BC71" s="2284">
        <v>159.8</v>
      </c>
      <c r="BD71" s="2284">
        <v>159.9</v>
      </c>
      <c r="BE71" s="2284">
        <v>159.7</v>
      </c>
      <c r="BF71" s="2284">
        <v>159.7</v>
      </c>
      <c r="BG71" s="2284">
        <v>159.1</v>
      </c>
      <c r="BI71" s="2282">
        <v>1978</v>
      </c>
      <c r="BJ71" s="2284">
        <v>67.9</v>
      </c>
      <c r="BK71" s="2284">
        <v>70.5</v>
      </c>
      <c r="BL71" s="2284">
        <v>71.2</v>
      </c>
      <c r="BM71" s="2284">
        <v>72.3</v>
      </c>
      <c r="BN71" s="2284">
        <v>72.5</v>
      </c>
      <c r="BO71" s="2284">
        <v>72.6</v>
      </c>
      <c r="BP71" s="2284">
        <v>72.7</v>
      </c>
      <c r="BQ71" s="2284">
        <v>74.5</v>
      </c>
      <c r="BR71" s="2284">
        <v>74.5</v>
      </c>
      <c r="BS71" s="2304">
        <v>75</v>
      </c>
      <c r="BT71" s="2284">
        <v>75</v>
      </c>
      <c r="BU71" s="2284">
        <v>75</v>
      </c>
      <c r="BV71" s="2304">
        <v>72.8</v>
      </c>
    </row>
    <row r="72" spans="46:74" ht="12.75">
      <c r="AT72" s="2282">
        <v>2002</v>
      </c>
      <c r="AU72" s="2283">
        <v>160.5</v>
      </c>
      <c r="AV72" s="2283">
        <v>160.9</v>
      </c>
      <c r="AW72" s="2283">
        <v>161</v>
      </c>
      <c r="AX72" s="2283">
        <v>162.7</v>
      </c>
      <c r="AY72" s="2283">
        <v>163.1</v>
      </c>
      <c r="AZ72" s="2283">
        <v>163</v>
      </c>
      <c r="BA72" s="2283">
        <v>163.2</v>
      </c>
      <c r="BB72" s="2283">
        <v>163.5</v>
      </c>
      <c r="BC72" s="2283">
        <v>163.5</v>
      </c>
      <c r="BD72" s="2283">
        <v>163.4</v>
      </c>
      <c r="BE72" s="2283">
        <v>163.1</v>
      </c>
      <c r="BF72" s="2283">
        <v>163.2</v>
      </c>
      <c r="BG72" s="2283">
        <v>162.6</v>
      </c>
      <c r="BI72" s="2282">
        <v>1979</v>
      </c>
      <c r="BJ72" s="2283">
        <v>77.7</v>
      </c>
      <c r="BK72" s="2283">
        <v>77.8</v>
      </c>
      <c r="BL72" s="2283">
        <v>78</v>
      </c>
      <c r="BM72" s="2283">
        <v>78.7</v>
      </c>
      <c r="BN72" s="2283">
        <v>79.2</v>
      </c>
      <c r="BO72" s="2283">
        <v>79.3</v>
      </c>
      <c r="BP72" s="2283">
        <v>81.4</v>
      </c>
      <c r="BQ72" s="2283">
        <v>81.4</v>
      </c>
      <c r="BR72" s="2283">
        <v>81.5</v>
      </c>
      <c r="BS72" s="2283">
        <v>82.5</v>
      </c>
      <c r="BT72" s="2283">
        <v>82.6</v>
      </c>
      <c r="BU72" s="2283">
        <v>82.8</v>
      </c>
      <c r="BV72" s="2283">
        <v>80.2</v>
      </c>
    </row>
    <row r="73" spans="46:74" ht="12.75">
      <c r="AT73" s="2282">
        <v>2003</v>
      </c>
      <c r="AU73" s="2284">
        <v>163.7</v>
      </c>
      <c r="AV73" s="2284">
        <v>164.2</v>
      </c>
      <c r="AW73" s="2284">
        <v>164.3</v>
      </c>
      <c r="AX73" s="2284">
        <v>164.7</v>
      </c>
      <c r="AY73" s="2284">
        <v>165</v>
      </c>
      <c r="AZ73" s="2284">
        <v>165.2</v>
      </c>
      <c r="BA73" s="2284">
        <v>165.1</v>
      </c>
      <c r="BB73" s="2284">
        <v>165.1</v>
      </c>
      <c r="BC73" s="2284">
        <v>165.3</v>
      </c>
      <c r="BD73" s="2284">
        <v>165.1</v>
      </c>
      <c r="BE73" s="2284">
        <v>165.2</v>
      </c>
      <c r="BF73" s="2284">
        <v>165</v>
      </c>
      <c r="BG73" s="2284">
        <v>164.8</v>
      </c>
      <c r="BI73" s="2282">
        <v>1980</v>
      </c>
      <c r="BJ73" s="2284">
        <v>84</v>
      </c>
      <c r="BK73" s="2284">
        <v>84.2</v>
      </c>
      <c r="BL73" s="2284">
        <v>84.5</v>
      </c>
      <c r="BM73" s="2284">
        <v>87</v>
      </c>
      <c r="BN73" s="2284">
        <v>87.4</v>
      </c>
      <c r="BO73" s="2284">
        <v>87.5</v>
      </c>
      <c r="BP73" s="2284">
        <v>86.1</v>
      </c>
      <c r="BQ73" s="2284">
        <v>86.1</v>
      </c>
      <c r="BR73" s="2284">
        <v>86.1</v>
      </c>
      <c r="BS73" s="2284">
        <v>88</v>
      </c>
      <c r="BT73" s="2284">
        <v>88.5</v>
      </c>
      <c r="BU73" s="2284">
        <v>89.7</v>
      </c>
      <c r="BV73" s="2284">
        <v>86.6</v>
      </c>
    </row>
    <row r="74" spans="46:74" ht="25.5">
      <c r="AT74" s="2282">
        <v>2004</v>
      </c>
      <c r="AU74" s="2283">
        <v>166.2</v>
      </c>
      <c r="AV74" s="2283" t="s">
        <v>1346</v>
      </c>
      <c r="AW74" s="2283" t="s">
        <v>1341</v>
      </c>
      <c r="AX74" s="2283" t="s">
        <v>1347</v>
      </c>
      <c r="AY74" s="2283" t="s">
        <v>1348</v>
      </c>
      <c r="AZ74" s="2283"/>
      <c r="BA74" s="2283"/>
      <c r="BB74" s="2283"/>
      <c r="BC74" s="2283"/>
      <c r="BD74" s="2283"/>
      <c r="BE74" s="2283"/>
      <c r="BF74" s="2283"/>
      <c r="BG74" s="2283"/>
      <c r="BI74" s="2282">
        <v>1981</v>
      </c>
      <c r="BJ74" s="2283">
        <v>92.3</v>
      </c>
      <c r="BK74" s="2283">
        <v>92.4</v>
      </c>
      <c r="BL74" s="2283">
        <v>94</v>
      </c>
      <c r="BM74" s="2283">
        <v>94.9</v>
      </c>
      <c r="BN74" s="2283">
        <v>94.9</v>
      </c>
      <c r="BO74" s="2283">
        <v>95.1</v>
      </c>
      <c r="BP74" s="2283">
        <v>98.7</v>
      </c>
      <c r="BQ74" s="2283">
        <v>98.7</v>
      </c>
      <c r="BR74" s="2283">
        <v>98.8</v>
      </c>
      <c r="BS74" s="2283">
        <v>99.8</v>
      </c>
      <c r="BT74" s="2283">
        <v>99.7</v>
      </c>
      <c r="BU74" s="2283">
        <v>99.8</v>
      </c>
      <c r="BV74" s="2283">
        <v>96.6</v>
      </c>
    </row>
    <row r="75" spans="46:74" ht="12.75" customHeight="1">
      <c r="AT75" s="2516" t="s">
        <v>1330</v>
      </c>
      <c r="AU75" s="2517"/>
      <c r="AV75" s="2517"/>
      <c r="AW75" s="2517"/>
      <c r="AX75" s="2517"/>
      <c r="AY75" s="2517"/>
      <c r="AZ75" s="2517"/>
      <c r="BA75" s="2517"/>
      <c r="BB75" s="2517"/>
      <c r="BC75" s="2517"/>
      <c r="BD75" s="2517"/>
      <c r="BE75" s="2517"/>
      <c r="BF75" s="2517"/>
      <c r="BG75" s="2518"/>
      <c r="BI75" s="2282">
        <v>1982</v>
      </c>
      <c r="BJ75" s="2284">
        <v>100.3</v>
      </c>
      <c r="BK75" s="2284">
        <v>100.2</v>
      </c>
      <c r="BL75" s="2284">
        <v>100.3</v>
      </c>
      <c r="BM75" s="2284">
        <v>100.8</v>
      </c>
      <c r="BN75" s="2284">
        <v>100.7</v>
      </c>
      <c r="BO75" s="2284">
        <v>100.1</v>
      </c>
      <c r="BP75" s="2284">
        <v>99.9</v>
      </c>
      <c r="BQ75" s="2284">
        <v>99.7</v>
      </c>
      <c r="BR75" s="2284">
        <v>99.6</v>
      </c>
      <c r="BS75" s="2284">
        <v>100.1</v>
      </c>
      <c r="BT75" s="2284">
        <v>99.7</v>
      </c>
      <c r="BU75" s="2284">
        <v>98.6</v>
      </c>
      <c r="BV75" s="2284">
        <v>100</v>
      </c>
    </row>
    <row r="76" spans="46:74" ht="12.75">
      <c r="AT76" s="2513"/>
      <c r="AU76" s="2513"/>
      <c r="AV76" s="2513"/>
      <c r="AW76" s="2513"/>
      <c r="AX76" s="2513"/>
      <c r="AY76" s="2513"/>
      <c r="AZ76" s="2513"/>
      <c r="BA76" s="2513"/>
      <c r="BB76" s="2513"/>
      <c r="BC76" s="2513"/>
      <c r="BD76" s="2513"/>
      <c r="BE76" s="2513"/>
      <c r="BF76" s="2513"/>
      <c r="BG76" s="2513"/>
      <c r="BI76" s="2282">
        <v>1983</v>
      </c>
      <c r="BJ76" s="2283">
        <v>98.3</v>
      </c>
      <c r="BK76" s="2283">
        <v>100.5</v>
      </c>
      <c r="BL76" s="2283">
        <v>100.1</v>
      </c>
      <c r="BM76" s="2283">
        <v>100</v>
      </c>
      <c r="BN76" s="2283">
        <v>100.1</v>
      </c>
      <c r="BO76" s="2283">
        <v>100.2</v>
      </c>
      <c r="BP76" s="2283">
        <v>100.4</v>
      </c>
      <c r="BQ76" s="2283">
        <v>100.6</v>
      </c>
      <c r="BR76" s="2283">
        <v>102.5</v>
      </c>
      <c r="BS76" s="2283">
        <v>102.6</v>
      </c>
      <c r="BT76" s="2283">
        <v>102.8</v>
      </c>
      <c r="BU76" s="2283">
        <v>103</v>
      </c>
      <c r="BV76" s="2283">
        <v>100.9</v>
      </c>
    </row>
    <row r="77" spans="61:74" ht="12.75">
      <c r="BI77" s="2282">
        <v>1984</v>
      </c>
      <c r="BJ77" s="2284">
        <v>103.7</v>
      </c>
      <c r="BK77" s="2284">
        <v>104</v>
      </c>
      <c r="BL77" s="2284">
        <v>104</v>
      </c>
      <c r="BM77" s="2284">
        <v>104.2</v>
      </c>
      <c r="BN77" s="2284">
        <v>104.3</v>
      </c>
      <c r="BO77" s="2284">
        <v>104.5</v>
      </c>
      <c r="BP77" s="2284">
        <v>105.2</v>
      </c>
      <c r="BQ77" s="2284">
        <v>105.3</v>
      </c>
      <c r="BR77" s="2284">
        <v>105.3</v>
      </c>
      <c r="BS77" s="2284">
        <v>105.5</v>
      </c>
      <c r="BT77" s="2284">
        <v>105.3</v>
      </c>
      <c r="BU77" s="2284">
        <v>105.3</v>
      </c>
      <c r="BV77" s="2284">
        <v>104.7</v>
      </c>
    </row>
    <row r="78" spans="61:74" ht="12.75">
      <c r="BI78" s="2282">
        <v>1985</v>
      </c>
      <c r="BJ78" s="2283">
        <v>105.1</v>
      </c>
      <c r="BK78" s="2283">
        <v>105.1</v>
      </c>
      <c r="BL78" s="2283">
        <v>105</v>
      </c>
      <c r="BM78" s="2283">
        <v>105</v>
      </c>
      <c r="BN78" s="2283">
        <v>105</v>
      </c>
      <c r="BO78" s="2283">
        <v>104.7</v>
      </c>
      <c r="BP78" s="2283">
        <v>104.7</v>
      </c>
      <c r="BQ78" s="2283">
        <v>104.5</v>
      </c>
      <c r="BR78" s="2283">
        <v>104.5</v>
      </c>
      <c r="BS78" s="2283">
        <v>104.6</v>
      </c>
      <c r="BT78" s="2283">
        <v>104.4</v>
      </c>
      <c r="BU78" s="2283">
        <v>104.3</v>
      </c>
      <c r="BV78" s="2283">
        <v>104.7</v>
      </c>
    </row>
    <row r="79" spans="61:74" ht="12.75">
      <c r="BI79" s="2282">
        <v>1986</v>
      </c>
      <c r="BJ79" s="2284">
        <v>99.5</v>
      </c>
      <c r="BK79" s="2284">
        <v>99.2</v>
      </c>
      <c r="BL79" s="2284">
        <v>99</v>
      </c>
      <c r="BM79" s="2284">
        <v>99.3</v>
      </c>
      <c r="BN79" s="2284">
        <v>99.8</v>
      </c>
      <c r="BO79" s="2284">
        <v>99.8</v>
      </c>
      <c r="BP79" s="2284">
        <v>99.9</v>
      </c>
      <c r="BQ79" s="2284">
        <v>100</v>
      </c>
      <c r="BR79" s="2284">
        <v>100.2</v>
      </c>
      <c r="BS79" s="2284">
        <v>100.3</v>
      </c>
      <c r="BT79" s="2284">
        <v>100.1</v>
      </c>
      <c r="BU79" s="2284">
        <v>99.9</v>
      </c>
      <c r="BV79" s="2284">
        <v>99.8</v>
      </c>
    </row>
    <row r="80" spans="61:74" ht="12.75">
      <c r="BI80" s="2282">
        <v>1987</v>
      </c>
      <c r="BJ80" s="2283">
        <v>100.7</v>
      </c>
      <c r="BK80" s="2283">
        <v>100.9</v>
      </c>
      <c r="BL80" s="2283">
        <v>100.7</v>
      </c>
      <c r="BM80" s="2283">
        <v>101</v>
      </c>
      <c r="BN80" s="2283">
        <v>101</v>
      </c>
      <c r="BO80" s="2283">
        <v>100.9</v>
      </c>
      <c r="BP80" s="2283">
        <v>101.4</v>
      </c>
      <c r="BQ80" s="2283">
        <v>101.7</v>
      </c>
      <c r="BR80" s="2283">
        <v>102.4</v>
      </c>
      <c r="BS80" s="2283">
        <v>105.4</v>
      </c>
      <c r="BT80" s="2283">
        <v>105.9</v>
      </c>
      <c r="BU80" s="2283">
        <v>105.8</v>
      </c>
      <c r="BV80" s="2283">
        <v>102.3</v>
      </c>
    </row>
    <row r="81" spans="61:74" ht="12.75">
      <c r="BI81" s="2282">
        <v>1988</v>
      </c>
      <c r="BJ81" s="2284">
        <v>107.3</v>
      </c>
      <c r="BK81" s="2284">
        <v>107.7</v>
      </c>
      <c r="BL81" s="2284">
        <v>108.1</v>
      </c>
      <c r="BM81" s="2284">
        <v>109.8</v>
      </c>
      <c r="BN81" s="2284">
        <v>110.7</v>
      </c>
      <c r="BO81" s="2284">
        <v>110.9</v>
      </c>
      <c r="BP81" s="2284">
        <v>111.4</v>
      </c>
      <c r="BQ81" s="2284">
        <v>112.1</v>
      </c>
      <c r="BR81" s="2284">
        <v>112</v>
      </c>
      <c r="BS81" s="2284">
        <v>113.3</v>
      </c>
      <c r="BT81" s="2284">
        <v>112.7</v>
      </c>
      <c r="BU81" s="2284">
        <v>112.5</v>
      </c>
      <c r="BV81" s="2284">
        <v>110.7</v>
      </c>
    </row>
    <row r="82" spans="61:74" ht="12.75">
      <c r="BI82" s="2282">
        <v>1989</v>
      </c>
      <c r="BJ82" s="2283">
        <v>114</v>
      </c>
      <c r="BK82" s="2283">
        <v>114.4</v>
      </c>
      <c r="BL82" s="2283">
        <v>114.9</v>
      </c>
      <c r="BM82" s="2283">
        <v>115.4</v>
      </c>
      <c r="BN82" s="2283">
        <v>115.1</v>
      </c>
      <c r="BO82" s="2283">
        <v>114.9</v>
      </c>
      <c r="BP82" s="2283">
        <v>114.7</v>
      </c>
      <c r="BQ82" s="2283">
        <v>114.1</v>
      </c>
      <c r="BR82" s="2283">
        <v>114.2</v>
      </c>
      <c r="BS82" s="2283">
        <v>114.5</v>
      </c>
      <c r="BT82" s="2283">
        <v>114.2</v>
      </c>
      <c r="BU82" s="2283">
        <v>113.8</v>
      </c>
      <c r="BV82" s="2283">
        <v>114.5</v>
      </c>
    </row>
    <row r="83" spans="61:74" ht="12.75">
      <c r="BI83" s="2282">
        <v>1990</v>
      </c>
      <c r="BJ83" s="2284">
        <v>113.1</v>
      </c>
      <c r="BK83" s="2284">
        <v>112.2</v>
      </c>
      <c r="BL83" s="2284">
        <v>112.2</v>
      </c>
      <c r="BM83" s="2284">
        <v>112</v>
      </c>
      <c r="BN83" s="2284">
        <v>112.2</v>
      </c>
      <c r="BO83" s="2284">
        <v>111.9</v>
      </c>
      <c r="BP83" s="2284">
        <v>112.4</v>
      </c>
      <c r="BQ83" s="2284">
        <v>111.9</v>
      </c>
      <c r="BR83" s="2284">
        <v>111.7</v>
      </c>
      <c r="BS83" s="2284">
        <v>112</v>
      </c>
      <c r="BT83" s="2284">
        <v>112</v>
      </c>
      <c r="BU83" s="2284">
        <v>112.1</v>
      </c>
      <c r="BV83" s="2284">
        <v>112.1</v>
      </c>
    </row>
    <row r="84" spans="61:74" ht="12.75">
      <c r="BI84" s="2282">
        <v>1991</v>
      </c>
      <c r="BJ84" s="2283">
        <v>112.2</v>
      </c>
      <c r="BK84" s="2283">
        <v>111.8</v>
      </c>
      <c r="BL84" s="2283">
        <v>111.3</v>
      </c>
      <c r="BM84" s="2283">
        <v>110.6</v>
      </c>
      <c r="BN84" s="2283">
        <v>109.9</v>
      </c>
      <c r="BO84" s="2283">
        <v>109.9</v>
      </c>
      <c r="BP84" s="2283">
        <v>109.4</v>
      </c>
      <c r="BQ84" s="2283">
        <v>108.2</v>
      </c>
      <c r="BR84" s="2283">
        <v>107.7</v>
      </c>
      <c r="BS84" s="2283">
        <v>107.2</v>
      </c>
      <c r="BT84" s="2283">
        <v>107.6</v>
      </c>
      <c r="BU84" s="2283">
        <v>107.9</v>
      </c>
      <c r="BV84" s="2283">
        <v>109.5</v>
      </c>
    </row>
    <row r="85" spans="61:74" ht="12.75">
      <c r="BI85" s="2282">
        <v>1992</v>
      </c>
      <c r="BJ85" s="2284">
        <v>107.4</v>
      </c>
      <c r="BK85" s="2284">
        <v>107.5</v>
      </c>
      <c r="BL85" s="2284">
        <v>107.5</v>
      </c>
      <c r="BM85" s="2284">
        <v>107.1</v>
      </c>
      <c r="BN85" s="2284">
        <v>107</v>
      </c>
      <c r="BO85" s="2284">
        <v>106.5</v>
      </c>
      <c r="BP85" s="2284">
        <v>106.3</v>
      </c>
      <c r="BQ85" s="2284">
        <v>106</v>
      </c>
      <c r="BR85" s="2284">
        <v>105.7</v>
      </c>
      <c r="BS85" s="2284">
        <v>105.3</v>
      </c>
      <c r="BT85" s="2284">
        <v>105.1</v>
      </c>
      <c r="BU85" s="2284">
        <v>105.1</v>
      </c>
      <c r="BV85" s="2284">
        <v>106.4</v>
      </c>
    </row>
    <row r="86" spans="61:74" ht="12.75">
      <c r="BI86" s="2282">
        <v>1993</v>
      </c>
      <c r="BJ86" s="2283">
        <v>105.1</v>
      </c>
      <c r="BK86" s="2283">
        <v>105.6</v>
      </c>
      <c r="BL86" s="2283">
        <v>106.1</v>
      </c>
      <c r="BM86" s="2283">
        <v>106.7</v>
      </c>
      <c r="BN86" s="2283">
        <v>107.3</v>
      </c>
      <c r="BO86" s="2283">
        <v>108</v>
      </c>
      <c r="BP86" s="2283">
        <v>108.4</v>
      </c>
      <c r="BQ86" s="2283">
        <v>109.2</v>
      </c>
      <c r="BR86" s="2283">
        <v>109.8</v>
      </c>
      <c r="BS86" s="2283">
        <v>110.2</v>
      </c>
      <c r="BT86" s="2283">
        <v>110.6</v>
      </c>
      <c r="BU86" s="2283">
        <v>111.1</v>
      </c>
      <c r="BV86" s="2283">
        <v>108.2</v>
      </c>
    </row>
    <row r="87" spans="61:74" ht="12.75">
      <c r="BI87" s="2282">
        <v>1994</v>
      </c>
      <c r="BJ87" s="2284">
        <v>111.4</v>
      </c>
      <c r="BK87" s="2284">
        <v>111.9</v>
      </c>
      <c r="BL87" s="2284">
        <v>111.9</v>
      </c>
      <c r="BM87" s="2284">
        <v>111.9</v>
      </c>
      <c r="BN87" s="2284">
        <v>112.5</v>
      </c>
      <c r="BO87" s="2284">
        <v>112.3</v>
      </c>
      <c r="BP87" s="2284">
        <v>113.4</v>
      </c>
      <c r="BQ87" s="2284">
        <v>114.1</v>
      </c>
      <c r="BR87" s="2284">
        <v>114.8</v>
      </c>
      <c r="BS87" s="2284">
        <v>115.3</v>
      </c>
      <c r="BT87" s="2284">
        <v>115.8</v>
      </c>
      <c r="BU87" s="2284">
        <v>115.8</v>
      </c>
      <c r="BV87" s="2284">
        <v>113.4</v>
      </c>
    </row>
    <row r="88" spans="61:74" ht="12.75">
      <c r="BI88" s="2282">
        <v>1995</v>
      </c>
      <c r="BJ88" s="2283">
        <v>117.9</v>
      </c>
      <c r="BK88" s="2283">
        <v>119.7</v>
      </c>
      <c r="BL88" s="2283">
        <v>121</v>
      </c>
      <c r="BM88" s="2283">
        <v>121.7</v>
      </c>
      <c r="BN88" s="2283">
        <v>121.9</v>
      </c>
      <c r="BO88" s="2283">
        <v>121.9</v>
      </c>
      <c r="BP88" s="2283">
        <v>121.9</v>
      </c>
      <c r="BQ88" s="2283">
        <v>121.2</v>
      </c>
      <c r="BR88" s="2283">
        <v>120.2</v>
      </c>
      <c r="BS88" s="2283">
        <v>119.1</v>
      </c>
      <c r="BT88" s="2283">
        <v>117.9</v>
      </c>
      <c r="BU88" s="2283">
        <v>117.3</v>
      </c>
      <c r="BV88" s="2283">
        <v>120.1</v>
      </c>
    </row>
    <row r="89" spans="61:74" ht="12.75">
      <c r="BI89" s="2282">
        <v>1996</v>
      </c>
      <c r="BJ89" s="2284">
        <v>116.6</v>
      </c>
      <c r="BK89" s="2284">
        <v>115.2</v>
      </c>
      <c r="BL89" s="2284">
        <v>114.7</v>
      </c>
      <c r="BM89" s="2284">
        <v>114.9</v>
      </c>
      <c r="BN89" s="2284">
        <v>115.2</v>
      </c>
      <c r="BO89" s="2284">
        <v>115.6</v>
      </c>
      <c r="BP89" s="2284">
        <v>115.5</v>
      </c>
      <c r="BQ89" s="2284">
        <v>115.9</v>
      </c>
      <c r="BR89" s="2284">
        <v>116.3</v>
      </c>
      <c r="BS89" s="2284">
        <v>116</v>
      </c>
      <c r="BT89" s="2284">
        <v>115.7</v>
      </c>
      <c r="BU89" s="2284">
        <v>115.6</v>
      </c>
      <c r="BV89" s="2284">
        <v>115.6</v>
      </c>
    </row>
    <row r="90" spans="61:74" ht="12.75">
      <c r="BI90" s="2282">
        <v>1997</v>
      </c>
      <c r="BJ90" s="2283">
        <v>115.9</v>
      </c>
      <c r="BK90" s="2283">
        <v>116.1</v>
      </c>
      <c r="BL90" s="2283">
        <v>116.1</v>
      </c>
      <c r="BM90" s="2283">
        <v>116.4</v>
      </c>
      <c r="BN90" s="2283">
        <v>116.2</v>
      </c>
      <c r="BO90" s="2283">
        <v>116.3</v>
      </c>
      <c r="BP90" s="2283">
        <v>116.6</v>
      </c>
      <c r="BQ90" s="2283">
        <v>116.6</v>
      </c>
      <c r="BR90" s="2283">
        <v>116.8</v>
      </c>
      <c r="BS90" s="2283">
        <v>116.6</v>
      </c>
      <c r="BT90" s="2283">
        <v>116.6</v>
      </c>
      <c r="BU90" s="2283">
        <v>116.2</v>
      </c>
      <c r="BV90" s="2283">
        <v>116.4</v>
      </c>
    </row>
    <row r="91" spans="61:74" ht="12.75">
      <c r="BI91" s="2282">
        <v>1998</v>
      </c>
      <c r="BJ91" s="2284">
        <v>115.9</v>
      </c>
      <c r="BK91" s="2284">
        <v>115.9</v>
      </c>
      <c r="BL91" s="2284">
        <v>115.5</v>
      </c>
      <c r="BM91" s="2284">
        <v>115.4</v>
      </c>
      <c r="BN91" s="2284">
        <v>115.1</v>
      </c>
      <c r="BO91" s="2284">
        <v>115.1</v>
      </c>
      <c r="BP91" s="2284">
        <v>114.8</v>
      </c>
      <c r="BQ91" s="2284">
        <v>114.3</v>
      </c>
      <c r="BR91" s="2284">
        <v>113.3</v>
      </c>
      <c r="BS91" s="2284">
        <v>111.8</v>
      </c>
      <c r="BT91" s="2284">
        <v>110.2</v>
      </c>
      <c r="BU91" s="2284">
        <v>108.7</v>
      </c>
      <c r="BV91" s="2284">
        <v>113.8</v>
      </c>
    </row>
    <row r="92" spans="61:74" ht="12.75">
      <c r="BI92" s="2282">
        <v>1999</v>
      </c>
      <c r="BJ92" s="2283">
        <v>107.1</v>
      </c>
      <c r="BK92" s="2283">
        <v>105.7</v>
      </c>
      <c r="BL92" s="2283">
        <v>105.4</v>
      </c>
      <c r="BM92" s="2283">
        <v>105.3</v>
      </c>
      <c r="BN92" s="2283">
        <v>104.6</v>
      </c>
      <c r="BO92" s="2283">
        <v>105.2</v>
      </c>
      <c r="BP92" s="2283">
        <v>104.7</v>
      </c>
      <c r="BQ92" s="2283">
        <v>104.7</v>
      </c>
      <c r="BR92" s="2283">
        <v>104.7</v>
      </c>
      <c r="BS92" s="2283">
        <v>105</v>
      </c>
      <c r="BT92" s="2283">
        <v>105.4</v>
      </c>
      <c r="BU92" s="2283">
        <v>106.1</v>
      </c>
      <c r="BV92" s="2283">
        <v>105.3</v>
      </c>
    </row>
    <row r="93" spans="61:74" ht="12.75">
      <c r="BI93" s="2282">
        <v>2000</v>
      </c>
      <c r="BJ93" s="2284">
        <v>107.3</v>
      </c>
      <c r="BK93" s="2284">
        <v>107.9</v>
      </c>
      <c r="BL93" s="2284">
        <v>108.5</v>
      </c>
      <c r="BM93" s="2284">
        <v>109.7</v>
      </c>
      <c r="BN93" s="2284">
        <v>110.2</v>
      </c>
      <c r="BO93" s="2284">
        <v>110</v>
      </c>
      <c r="BP93" s="2284">
        <v>109.9</v>
      </c>
      <c r="BQ93" s="2284">
        <v>108.9</v>
      </c>
      <c r="BR93" s="2284">
        <v>108.6</v>
      </c>
      <c r="BS93" s="2284">
        <v>107.6</v>
      </c>
      <c r="BT93" s="2284">
        <v>106.2</v>
      </c>
      <c r="BU93" s="2284">
        <v>105.5</v>
      </c>
      <c r="BV93" s="2284">
        <v>108.4</v>
      </c>
    </row>
    <row r="94" spans="61:74" ht="12.75">
      <c r="BI94" s="2282">
        <v>2001</v>
      </c>
      <c r="BJ94" s="2283">
        <v>103.8</v>
      </c>
      <c r="BK94" s="2283">
        <v>102.7</v>
      </c>
      <c r="BL94" s="2283">
        <v>102.6</v>
      </c>
      <c r="BM94" s="2283">
        <v>101.9</v>
      </c>
      <c r="BN94" s="2283">
        <v>101.6</v>
      </c>
      <c r="BO94" s="2283">
        <v>101.3</v>
      </c>
      <c r="BP94" s="2283">
        <v>101.3</v>
      </c>
      <c r="BQ94" s="2283">
        <v>100.9</v>
      </c>
      <c r="BR94" s="2283">
        <v>100.6</v>
      </c>
      <c r="BS94" s="2283">
        <v>100</v>
      </c>
      <c r="BT94" s="2283">
        <v>99.6</v>
      </c>
      <c r="BU94" s="2283">
        <v>99.1</v>
      </c>
      <c r="BV94" s="2283">
        <v>101.3</v>
      </c>
    </row>
    <row r="95" spans="61:74" ht="12.75">
      <c r="BI95" s="2282">
        <v>2002</v>
      </c>
      <c r="BJ95" s="2284">
        <v>98.3</v>
      </c>
      <c r="BK95" s="2284">
        <v>98.3</v>
      </c>
      <c r="BL95" s="2284">
        <v>99.6</v>
      </c>
      <c r="BM95" s="2284">
        <v>101</v>
      </c>
      <c r="BN95" s="2284">
        <v>102.3</v>
      </c>
      <c r="BO95" s="2284">
        <v>104.5</v>
      </c>
      <c r="BP95" s="2284">
        <v>106</v>
      </c>
      <c r="BQ95" s="2284">
        <v>107.3</v>
      </c>
      <c r="BR95" s="2284">
        <v>109.7</v>
      </c>
      <c r="BS95" s="2284">
        <v>110.4</v>
      </c>
      <c r="BT95" s="2284">
        <v>110.4</v>
      </c>
      <c r="BU95" s="2284">
        <v>110.1</v>
      </c>
      <c r="BV95" s="2284">
        <v>104.8</v>
      </c>
    </row>
    <row r="96" spans="61:74" ht="12.75">
      <c r="BI96" s="2282">
        <v>2003</v>
      </c>
      <c r="BJ96" s="2283">
        <v>109.5</v>
      </c>
      <c r="BK96" s="2283">
        <v>109.8</v>
      </c>
      <c r="BL96" s="2283">
        <v>109.4</v>
      </c>
      <c r="BM96" s="2283">
        <v>109.6</v>
      </c>
      <c r="BN96" s="2283">
        <v>109</v>
      </c>
      <c r="BO96" s="2283">
        <v>108.8</v>
      </c>
      <c r="BP96" s="2283">
        <v>108.4</v>
      </c>
      <c r="BQ96" s="2283">
        <v>108.4</v>
      </c>
      <c r="BR96" s="2283">
        <v>108.7</v>
      </c>
      <c r="BS96" s="2283">
        <v>110.1</v>
      </c>
      <c r="BT96" s="2283">
        <v>110.7</v>
      </c>
      <c r="BU96" s="2283">
        <v>112</v>
      </c>
      <c r="BV96" s="2283">
        <v>109.5</v>
      </c>
    </row>
    <row r="97" spans="61:74" ht="25.5">
      <c r="BI97" s="2282">
        <v>2004</v>
      </c>
      <c r="BJ97" s="2284">
        <v>115.4</v>
      </c>
      <c r="BK97" s="2284" t="s">
        <v>1326</v>
      </c>
      <c r="BL97" s="2284" t="s">
        <v>1327</v>
      </c>
      <c r="BM97" s="2284" t="s">
        <v>1328</v>
      </c>
      <c r="BN97" s="2284" t="s">
        <v>1329</v>
      </c>
      <c r="BO97" s="2284"/>
      <c r="BP97" s="2284"/>
      <c r="BQ97" s="2284"/>
      <c r="BR97" s="2284"/>
      <c r="BS97" s="2284"/>
      <c r="BT97" s="2284"/>
      <c r="BU97" s="2284"/>
      <c r="BV97" s="2284"/>
    </row>
    <row r="98" spans="61:74" ht="12.75" customHeight="1">
      <c r="BI98" s="2516" t="s">
        <v>1330</v>
      </c>
      <c r="BJ98" s="2517"/>
      <c r="BK98" s="2517"/>
      <c r="BL98" s="2517"/>
      <c r="BM98" s="2517"/>
      <c r="BN98" s="2517"/>
      <c r="BO98" s="2517"/>
      <c r="BP98" s="2517"/>
      <c r="BQ98" s="2517"/>
      <c r="BR98" s="2517"/>
      <c r="BS98" s="2517"/>
      <c r="BT98" s="2517"/>
      <c r="BU98" s="2517"/>
      <c r="BV98" s="2518"/>
    </row>
  </sheetData>
  <mergeCells count="78">
    <mergeCell ref="A48:E48"/>
    <mergeCell ref="A50:E50"/>
    <mergeCell ref="A55:E55"/>
    <mergeCell ref="CM29:CX29"/>
    <mergeCell ref="CM30:CX30"/>
    <mergeCell ref="CM31:CX31"/>
    <mergeCell ref="CM28:CZ28"/>
    <mergeCell ref="CM32:CT32"/>
    <mergeCell ref="CM1:CZ1"/>
    <mergeCell ref="CM2:CZ2"/>
    <mergeCell ref="CM3:CZ3"/>
    <mergeCell ref="CM4:CZ4"/>
    <mergeCell ref="CM6:CX6"/>
    <mergeCell ref="CM7:CX7"/>
    <mergeCell ref="CM8:CX8"/>
    <mergeCell ref="CV21:CV22"/>
    <mergeCell ref="CX21:CX22"/>
    <mergeCell ref="CY21:CY22"/>
    <mergeCell ref="CY9:CY10"/>
    <mergeCell ref="CX9:CX10"/>
    <mergeCell ref="CM21:CM22"/>
    <mergeCell ref="CN21:CN22"/>
    <mergeCell ref="CO21:CO22"/>
    <mergeCell ref="CP21:CP22"/>
    <mergeCell ref="CQ21:CQ22"/>
    <mergeCell ref="CR21:CR22"/>
    <mergeCell ref="CS21:CS22"/>
    <mergeCell ref="CT21:CT22"/>
    <mergeCell ref="CU21:CU22"/>
    <mergeCell ref="CU9:CU10"/>
    <mergeCell ref="CV9:CV10"/>
    <mergeCell ref="CW9:CW10"/>
    <mergeCell ref="CW21:CW22"/>
    <mergeCell ref="CQ9:CQ10"/>
    <mergeCell ref="CR9:CR10"/>
    <mergeCell ref="CS9:CS10"/>
    <mergeCell ref="CT9:CT10"/>
    <mergeCell ref="CM9:CM10"/>
    <mergeCell ref="CN9:CN10"/>
    <mergeCell ref="CO9:CO10"/>
    <mergeCell ref="CP9:CP10"/>
    <mergeCell ref="BX19:CK19"/>
    <mergeCell ref="BX23:CE23"/>
    <mergeCell ref="BX20:CI20"/>
    <mergeCell ref="BX21:CI21"/>
    <mergeCell ref="BX22:CI22"/>
    <mergeCell ref="BI98:BV98"/>
    <mergeCell ref="BI59:BV59"/>
    <mergeCell ref="BI61:BV61"/>
    <mergeCell ref="BI62:BV62"/>
    <mergeCell ref="AT76:BG76"/>
    <mergeCell ref="BI7:BV7"/>
    <mergeCell ref="BI23:BV23"/>
    <mergeCell ref="BI14:BV14"/>
    <mergeCell ref="BI16:BV16"/>
    <mergeCell ref="BI17:BV17"/>
    <mergeCell ref="BI30:BV30"/>
    <mergeCell ref="BI36:BV36"/>
    <mergeCell ref="BI58:BV58"/>
    <mergeCell ref="BI68:BV68"/>
    <mergeCell ref="AT7:BG7"/>
    <mergeCell ref="AT36:BG36"/>
    <mergeCell ref="AT46:BG46"/>
    <mergeCell ref="AT75:BG75"/>
    <mergeCell ref="AT37:BG37"/>
    <mergeCell ref="AT39:BG39"/>
    <mergeCell ref="AT40:BG40"/>
    <mergeCell ref="P60:AC60"/>
    <mergeCell ref="P21:AC21"/>
    <mergeCell ref="P23:AC23"/>
    <mergeCell ref="P24:AC24"/>
    <mergeCell ref="P7:AC7"/>
    <mergeCell ref="P30:AC30"/>
    <mergeCell ref="AE7:AR7"/>
    <mergeCell ref="AE24:AR24"/>
    <mergeCell ref="AE15:AR15"/>
    <mergeCell ref="AE17:AR17"/>
    <mergeCell ref="AE18:AR18"/>
  </mergeCells>
  <hyperlinks>
    <hyperlink ref="A36" r:id="rId1" display="http://www.enr.com/features/conEco/costIndexes/mostRecentIndexes.asp"/>
  </hyperlinks>
  <printOptions gridLines="1"/>
  <pageMargins left="0.75" right="0.75" top="1" bottom="1" header="0.5" footer="0.5"/>
  <pageSetup fitToHeight="1" fitToWidth="1" horizontalDpi="600" verticalDpi="600" orientation="landscape" scale="74" r:id="rId6"/>
  <headerFooter alignWithMargins="0">
    <oddHeader>&amp;C&amp;13&amp;A</oddHeader>
    <oddFooter>&amp;CWater Treatment Cost Estimation Program</oddFooter>
  </headerFooter>
  <drawing r:id="rId5"/>
  <legacyDrawing r:id="rId4"/>
  <oleObjects>
    <oleObject progId="Equation.3" shapeId="11934946" r:id="rId3"/>
  </oleObjects>
</worksheet>
</file>

<file path=xl/worksheets/sheet12.xml><?xml version="1.0" encoding="utf-8"?>
<worksheet xmlns="http://schemas.openxmlformats.org/spreadsheetml/2006/main" xmlns:r="http://schemas.openxmlformats.org/officeDocument/2006/relationships">
  <sheetPr codeName="Sheet2">
    <pageSetUpPr fitToPage="1"/>
  </sheetPr>
  <dimension ref="A1:S73"/>
  <sheetViews>
    <sheetView workbookViewId="0" topLeftCell="B27">
      <selection activeCell="I33" sqref="I33"/>
    </sheetView>
  </sheetViews>
  <sheetFormatPr defaultColWidth="9.140625" defaultRowHeight="12.75"/>
  <cols>
    <col min="1" max="1" width="4.140625" style="210" bestFit="1" customWidth="1"/>
    <col min="2" max="2" width="28.57421875" style="210" customWidth="1"/>
    <col min="3" max="3" width="18.28125" style="209" customWidth="1"/>
    <col min="4" max="4" width="13.00390625" style="210" customWidth="1"/>
    <col min="5" max="5" width="12.00390625" style="210" customWidth="1"/>
    <col min="6" max="6" width="9.8515625" style="210" bestFit="1" customWidth="1"/>
    <col min="7" max="7" width="11.00390625" style="210" customWidth="1"/>
    <col min="8" max="8" width="10.7109375" style="210" customWidth="1"/>
    <col min="9" max="9" width="11.421875" style="210" customWidth="1"/>
    <col min="10" max="10" width="11.7109375" style="210" customWidth="1"/>
    <col min="11" max="11" width="8.8515625" style="210" customWidth="1"/>
    <col min="12" max="12" width="9.00390625" style="210" bestFit="1" customWidth="1"/>
    <col min="13" max="13" width="10.57421875" style="210" customWidth="1"/>
    <col min="14" max="14" width="11.421875" style="210" customWidth="1"/>
    <col min="15" max="15" width="12.28125" style="210" hidden="1" customWidth="1"/>
    <col min="16" max="16" width="17.421875" style="210" customWidth="1"/>
    <col min="17" max="17" width="16.7109375" style="210" customWidth="1"/>
    <col min="18" max="18" width="9.140625" style="210" customWidth="1"/>
    <col min="19" max="19" width="15.28125" style="210" bestFit="1" customWidth="1"/>
    <col min="20" max="16384" width="9.140625" style="210" customWidth="1"/>
  </cols>
  <sheetData>
    <row r="1" spans="2:4" ht="15.75">
      <c r="B1" s="381" t="s">
        <v>846</v>
      </c>
      <c r="C1" s="382" t="s">
        <v>847</v>
      </c>
      <c r="D1" s="383" t="s">
        <v>848</v>
      </c>
    </row>
    <row r="2" spans="2:7" ht="18.75" thickBot="1">
      <c r="B2" s="396" t="str">
        <f>'{a}Project &amp; Stage Info'!C3</f>
        <v>Model Development</v>
      </c>
      <c r="C2" s="397">
        <f>'{a}Project &amp; Stage Info'!C5</f>
        <v>38145</v>
      </c>
      <c r="D2" s="398" t="str">
        <f>'{a}Project &amp; Stage Info'!C7</f>
        <v>A1</v>
      </c>
      <c r="F2" s="210">
        <f>500/58.4</f>
        <v>8.561643835616438</v>
      </c>
      <c r="G2" s="210">
        <f>F2*39/2</f>
        <v>166.95205479452054</v>
      </c>
    </row>
    <row r="4" spans="2:11" ht="15.75">
      <c r="B4" s="419" t="s">
        <v>875</v>
      </c>
      <c r="J4" s="211"/>
      <c r="K4" s="212"/>
    </row>
    <row r="5" ht="13.5" thickBot="1"/>
    <row r="6" spans="2:12" ht="16.5" customHeight="1" thickBot="1">
      <c r="B6" s="216" t="s">
        <v>678</v>
      </c>
      <c r="C6" s="498"/>
      <c r="D6" s="640">
        <v>36526</v>
      </c>
      <c r="E6" s="204"/>
      <c r="F6" s="204"/>
      <c r="G6" s="1839" t="s">
        <v>986</v>
      </c>
      <c r="H6" s="1839"/>
      <c r="I6" s="1839"/>
      <c r="J6" s="1858"/>
      <c r="K6" s="1859"/>
      <c r="L6" s="1839"/>
    </row>
    <row r="7" spans="3:12" ht="13.5" thickBot="1">
      <c r="C7" s="241"/>
      <c r="G7" s="1839"/>
      <c r="L7" s="213"/>
    </row>
    <row r="8" spans="1:19" s="215" customFormat="1" ht="27.75" thickBot="1">
      <c r="A8" s="500"/>
      <c r="B8" s="497" t="s">
        <v>1681</v>
      </c>
      <c r="C8" s="501" t="s">
        <v>968</v>
      </c>
      <c r="D8" s="386" t="s">
        <v>1682</v>
      </c>
      <c r="E8" s="386" t="s">
        <v>1683</v>
      </c>
      <c r="F8" s="386" t="s">
        <v>1684</v>
      </c>
      <c r="G8" s="386" t="s">
        <v>1685</v>
      </c>
      <c r="H8" s="386" t="s">
        <v>1686</v>
      </c>
      <c r="I8" s="386" t="s">
        <v>1687</v>
      </c>
      <c r="J8" s="387" t="s">
        <v>1688</v>
      </c>
      <c r="K8" s="387" t="s">
        <v>1689</v>
      </c>
      <c r="L8" s="386" t="s">
        <v>1690</v>
      </c>
      <c r="M8" s="748" t="s">
        <v>175</v>
      </c>
      <c r="N8" s="748"/>
      <c r="O8" s="214"/>
      <c r="P8" s="748" t="s">
        <v>1410</v>
      </c>
      <c r="Q8" s="748" t="s">
        <v>1412</v>
      </c>
      <c r="S8" s="214" t="s">
        <v>1281</v>
      </c>
    </row>
    <row r="9" spans="1:19" ht="13.5" thickTop="1">
      <c r="A9" s="2530" t="s">
        <v>174</v>
      </c>
      <c r="B9" s="1785" t="s">
        <v>1691</v>
      </c>
      <c r="C9" s="1828"/>
      <c r="D9" s="1786" t="s">
        <v>1692</v>
      </c>
      <c r="E9" s="1787">
        <v>0.05</v>
      </c>
      <c r="F9" s="1788" t="str">
        <f>IF(AND(E9&gt;0,C9&gt;E9),C9-E9," ")</f>
        <v> </v>
      </c>
      <c r="G9" s="1836">
        <v>3</v>
      </c>
      <c r="H9" s="1135">
        <v>26.98</v>
      </c>
      <c r="I9" s="1789">
        <f aca="true" t="shared" si="0" ref="I9:I32">IF(OR(ISBLANK($C9),$C9=0),0,H9/ABS(G9))</f>
        <v>0</v>
      </c>
      <c r="J9" s="1790">
        <f>IF(OR(ISBLANK($C9),$C9=0),0,C9/(H9*1000))</f>
        <v>0</v>
      </c>
      <c r="K9" s="1790">
        <f>IF(OR(ISBLANK($C9),$C9=0),0,C9*ABS(G9)/(H9*1000))</f>
        <v>0</v>
      </c>
      <c r="L9" s="1791">
        <f aca="true" t="shared" si="1" ref="L9:L46">IF(OR(ISBLANK($C9),$C9=0),0,J9*ABS(G9)^2)</f>
        <v>0</v>
      </c>
      <c r="M9" s="749">
        <f>J9*100*1000</f>
        <v>0</v>
      </c>
      <c r="N9" s="749">
        <f>I9*K9</f>
        <v>0</v>
      </c>
      <c r="P9" s="1833">
        <f>IF(G9&gt;1,K9,0)</f>
        <v>0</v>
      </c>
      <c r="Q9" s="1833">
        <f>IF(G9&gt;1,J9,0)</f>
        <v>0</v>
      </c>
      <c r="S9" s="2402">
        <v>0.01</v>
      </c>
    </row>
    <row r="10" spans="1:19" ht="12.75">
      <c r="A10" s="2531"/>
      <c r="B10" s="498" t="s">
        <v>1693</v>
      </c>
      <c r="C10" s="1829"/>
      <c r="D10" s="503" t="s">
        <v>1692</v>
      </c>
      <c r="E10" s="205">
        <v>0.006</v>
      </c>
      <c r="F10" s="219" t="str">
        <f aca="true" t="shared" si="2" ref="F10:F46">IF(AND(E10&gt;0,C10&gt;E10),C10-E10," ")</f>
        <v> </v>
      </c>
      <c r="G10" s="1136">
        <v>3</v>
      </c>
      <c r="H10" s="1136">
        <v>121.75</v>
      </c>
      <c r="I10" s="220">
        <f>IF(OR(ISBLANK($C10),$C10=0),0,H10/ABS(G10))</f>
        <v>0</v>
      </c>
      <c r="J10" s="221">
        <f aca="true" t="shared" si="3" ref="J10:J30">IF(OR(ISBLANK($C10),$C10=0),0,C10/(H10*1000))</f>
        <v>0</v>
      </c>
      <c r="K10" s="221">
        <f aca="true" t="shared" si="4" ref="K10:K34">IF(OR(ISBLANK($C10),$C10=0),0,C10*ABS(G10)/(H10*1000))</f>
        <v>0</v>
      </c>
      <c r="L10" s="222">
        <f t="shared" si="1"/>
        <v>0</v>
      </c>
      <c r="M10" s="750">
        <f aca="true" t="shared" si="5" ref="M10:M40">J10*100*1000</f>
        <v>0</v>
      </c>
      <c r="N10" s="750">
        <f aca="true" t="shared" si="6" ref="N10:N39">I10*K10</f>
        <v>0</v>
      </c>
      <c r="P10" s="751">
        <f aca="true" t="shared" si="7" ref="P10:P39">IF(G10&gt;1,K10,0)</f>
        <v>0</v>
      </c>
      <c r="Q10" s="751">
        <f aca="true" t="shared" si="8" ref="Q10:Q40">IF(G10&gt;1,J10,0)</f>
        <v>0</v>
      </c>
      <c r="S10" s="2397">
        <v>0.00033</v>
      </c>
    </row>
    <row r="11" spans="1:19" ht="12.75">
      <c r="A11" s="2531"/>
      <c r="B11" s="498" t="s">
        <v>1694</v>
      </c>
      <c r="C11" s="1829"/>
      <c r="D11" s="503" t="s">
        <v>1692</v>
      </c>
      <c r="E11" s="756">
        <v>0.01</v>
      </c>
      <c r="F11" s="219" t="str">
        <f t="shared" si="2"/>
        <v> </v>
      </c>
      <c r="G11" s="1136">
        <v>3</v>
      </c>
      <c r="H11" s="1136">
        <v>74.92</v>
      </c>
      <c r="I11" s="220">
        <f t="shared" si="0"/>
        <v>0</v>
      </c>
      <c r="J11" s="221">
        <f t="shared" si="3"/>
        <v>0</v>
      </c>
      <c r="K11" s="221">
        <f t="shared" si="4"/>
        <v>0</v>
      </c>
      <c r="L11" s="222">
        <f t="shared" si="1"/>
        <v>0</v>
      </c>
      <c r="M11" s="750">
        <f t="shared" si="5"/>
        <v>0</v>
      </c>
      <c r="N11" s="750">
        <f t="shared" si="6"/>
        <v>0</v>
      </c>
      <c r="P11" s="751">
        <f t="shared" si="7"/>
        <v>0</v>
      </c>
      <c r="Q11" s="751">
        <f t="shared" si="8"/>
        <v>0</v>
      </c>
      <c r="S11" s="2397">
        <v>0.0005</v>
      </c>
    </row>
    <row r="12" spans="1:19" ht="12.75">
      <c r="A12" s="2531"/>
      <c r="B12" s="498" t="s">
        <v>1695</v>
      </c>
      <c r="C12" s="1829"/>
      <c r="D12" s="503" t="s">
        <v>1692</v>
      </c>
      <c r="E12" s="205">
        <v>2</v>
      </c>
      <c r="F12" s="219" t="str">
        <f t="shared" si="2"/>
        <v> </v>
      </c>
      <c r="G12" s="1136">
        <v>2</v>
      </c>
      <c r="H12" s="1136">
        <v>137.34</v>
      </c>
      <c r="I12" s="220">
        <f t="shared" si="0"/>
        <v>0</v>
      </c>
      <c r="J12" s="221">
        <f t="shared" si="3"/>
        <v>0</v>
      </c>
      <c r="K12" s="221">
        <f t="shared" si="4"/>
        <v>0</v>
      </c>
      <c r="L12" s="222">
        <f t="shared" si="1"/>
        <v>0</v>
      </c>
      <c r="M12" s="750">
        <f t="shared" si="5"/>
        <v>0</v>
      </c>
      <c r="N12" s="750">
        <f t="shared" si="6"/>
        <v>0</v>
      </c>
      <c r="P12" s="751">
        <f t="shared" si="7"/>
        <v>0</v>
      </c>
      <c r="Q12" s="751">
        <f t="shared" si="8"/>
        <v>0</v>
      </c>
      <c r="S12" s="2397">
        <v>0.03</v>
      </c>
    </row>
    <row r="13" spans="1:19" ht="12.75">
      <c r="A13" s="2531"/>
      <c r="B13" s="498" t="s">
        <v>1696</v>
      </c>
      <c r="C13" s="1829"/>
      <c r="D13" s="503" t="s">
        <v>1692</v>
      </c>
      <c r="E13" s="205">
        <v>0.004</v>
      </c>
      <c r="F13" s="219" t="str">
        <f t="shared" si="2"/>
        <v> </v>
      </c>
      <c r="G13" s="1136">
        <v>2</v>
      </c>
      <c r="H13" s="1136">
        <v>9.01</v>
      </c>
      <c r="I13" s="220">
        <f t="shared" si="0"/>
        <v>0</v>
      </c>
      <c r="J13" s="221">
        <f t="shared" si="3"/>
        <v>0</v>
      </c>
      <c r="K13" s="221">
        <f t="shared" si="4"/>
        <v>0</v>
      </c>
      <c r="L13" s="222">
        <f t="shared" si="1"/>
        <v>0</v>
      </c>
      <c r="M13" s="750">
        <f t="shared" si="5"/>
        <v>0</v>
      </c>
      <c r="N13" s="750">
        <f t="shared" si="6"/>
        <v>0</v>
      </c>
      <c r="P13" s="751">
        <f t="shared" si="7"/>
        <v>0</v>
      </c>
      <c r="Q13" s="751">
        <f t="shared" si="8"/>
        <v>0</v>
      </c>
      <c r="S13" s="2397">
        <v>6E-07</v>
      </c>
    </row>
    <row r="14" spans="1:19" ht="12.75">
      <c r="A14" s="2531"/>
      <c r="B14" s="498" t="s">
        <v>880</v>
      </c>
      <c r="C14" s="1829"/>
      <c r="D14" s="503" t="s">
        <v>1692</v>
      </c>
      <c r="E14" s="205">
        <v>0.5</v>
      </c>
      <c r="F14" s="219" t="str">
        <f t="shared" si="2"/>
        <v> </v>
      </c>
      <c r="G14" s="1136"/>
      <c r="H14" s="1136"/>
      <c r="I14" s="220"/>
      <c r="J14" s="221"/>
      <c r="K14" s="221"/>
      <c r="L14" s="222"/>
      <c r="M14" s="750"/>
      <c r="N14" s="750"/>
      <c r="P14" s="751"/>
      <c r="Q14" s="751"/>
      <c r="S14" s="2397"/>
    </row>
    <row r="15" spans="1:19" ht="12.75">
      <c r="A15" s="2531"/>
      <c r="B15" s="498" t="s">
        <v>1697</v>
      </c>
      <c r="C15" s="1829"/>
      <c r="D15" s="503" t="s">
        <v>1692</v>
      </c>
      <c r="E15" s="205">
        <v>0.005</v>
      </c>
      <c r="F15" s="219" t="str">
        <f t="shared" si="2"/>
        <v> </v>
      </c>
      <c r="G15" s="1136">
        <v>2</v>
      </c>
      <c r="H15" s="1136">
        <v>112.41</v>
      </c>
      <c r="I15" s="220">
        <f t="shared" si="0"/>
        <v>0</v>
      </c>
      <c r="J15" s="221">
        <f t="shared" si="3"/>
        <v>0</v>
      </c>
      <c r="K15" s="221">
        <f t="shared" si="4"/>
        <v>0</v>
      </c>
      <c r="L15" s="222">
        <f t="shared" si="1"/>
        <v>0</v>
      </c>
      <c r="M15" s="750">
        <f t="shared" si="5"/>
        <v>0</v>
      </c>
      <c r="N15" s="750">
        <f t="shared" si="6"/>
        <v>0</v>
      </c>
      <c r="P15" s="751">
        <f t="shared" si="7"/>
        <v>0</v>
      </c>
      <c r="Q15" s="751">
        <f t="shared" si="8"/>
        <v>0</v>
      </c>
      <c r="S15" s="2397">
        <v>0.00011</v>
      </c>
    </row>
    <row r="16" spans="1:19" ht="12.75">
      <c r="A16" s="2531"/>
      <c r="B16" s="498" t="s">
        <v>1698</v>
      </c>
      <c r="C16" s="1829">
        <v>2.1</v>
      </c>
      <c r="D16" s="503" t="s">
        <v>1692</v>
      </c>
      <c r="E16" s="223" t="s">
        <v>1699</v>
      </c>
      <c r="F16" s="219" t="str">
        <f t="shared" si="2"/>
        <v> </v>
      </c>
      <c r="G16" s="1136">
        <v>2</v>
      </c>
      <c r="H16" s="1136">
        <v>40.08</v>
      </c>
      <c r="I16" s="220">
        <f t="shared" si="0"/>
        <v>20.04</v>
      </c>
      <c r="J16" s="221">
        <f t="shared" si="3"/>
        <v>5.239520958083832E-05</v>
      </c>
      <c r="K16" s="221">
        <f t="shared" si="4"/>
        <v>0.00010479041916167665</v>
      </c>
      <c r="L16" s="222">
        <f t="shared" si="1"/>
        <v>0.0002095808383233533</v>
      </c>
      <c r="M16" s="750">
        <f t="shared" si="5"/>
        <v>5.239520958083832</v>
      </c>
      <c r="N16" s="750">
        <f t="shared" si="6"/>
        <v>0.0021</v>
      </c>
      <c r="P16" s="751">
        <f t="shared" si="7"/>
        <v>0.00010479041916167665</v>
      </c>
      <c r="Q16" s="751">
        <f t="shared" si="8"/>
        <v>5.239520958083832E-05</v>
      </c>
      <c r="S16" s="2397">
        <v>406</v>
      </c>
    </row>
    <row r="17" spans="1:19" ht="12.75">
      <c r="A17" s="2531"/>
      <c r="B17" s="498" t="s">
        <v>1700</v>
      </c>
      <c r="C17" s="1829"/>
      <c r="D17" s="503" t="s">
        <v>1692</v>
      </c>
      <c r="E17" s="205">
        <v>0.1</v>
      </c>
      <c r="F17" s="219" t="str">
        <f t="shared" si="2"/>
        <v> </v>
      </c>
      <c r="G17" s="1136">
        <v>2</v>
      </c>
      <c r="H17" s="1136">
        <v>52</v>
      </c>
      <c r="I17" s="220">
        <f t="shared" si="0"/>
        <v>0</v>
      </c>
      <c r="J17" s="221">
        <f t="shared" si="3"/>
        <v>0</v>
      </c>
      <c r="K17" s="221">
        <f t="shared" si="4"/>
        <v>0</v>
      </c>
      <c r="L17" s="222">
        <f t="shared" si="1"/>
        <v>0</v>
      </c>
      <c r="M17" s="750">
        <f t="shared" si="5"/>
        <v>0</v>
      </c>
      <c r="N17" s="750">
        <f t="shared" si="6"/>
        <v>0</v>
      </c>
      <c r="P17" s="751">
        <f t="shared" si="7"/>
        <v>0</v>
      </c>
      <c r="Q17" s="751">
        <f t="shared" si="8"/>
        <v>0</v>
      </c>
      <c r="S17" s="2397">
        <v>5E-05</v>
      </c>
    </row>
    <row r="18" spans="1:19" ht="12.75">
      <c r="A18" s="2531"/>
      <c r="B18" s="498" t="s">
        <v>1701</v>
      </c>
      <c r="C18" s="1829"/>
      <c r="D18" s="503" t="s">
        <v>1692</v>
      </c>
      <c r="E18" s="218">
        <v>1</v>
      </c>
      <c r="F18" s="219" t="str">
        <f t="shared" si="2"/>
        <v> </v>
      </c>
      <c r="G18" s="1136">
        <v>2</v>
      </c>
      <c r="H18" s="1136">
        <v>63.54</v>
      </c>
      <c r="I18" s="220">
        <f t="shared" si="0"/>
        <v>0</v>
      </c>
      <c r="J18" s="221">
        <f t="shared" si="3"/>
        <v>0</v>
      </c>
      <c r="K18" s="221">
        <f t="shared" si="4"/>
        <v>0</v>
      </c>
      <c r="L18" s="222">
        <f t="shared" si="1"/>
        <v>0</v>
      </c>
      <c r="M18" s="750">
        <f t="shared" si="5"/>
        <v>0</v>
      </c>
      <c r="N18" s="750">
        <f t="shared" si="6"/>
        <v>0</v>
      </c>
      <c r="P18" s="751">
        <f t="shared" si="7"/>
        <v>0</v>
      </c>
      <c r="Q18" s="751">
        <f t="shared" si="8"/>
        <v>0</v>
      </c>
      <c r="S18" s="2397">
        <v>0.003</v>
      </c>
    </row>
    <row r="19" spans="1:19" ht="12.75">
      <c r="A19" s="2531"/>
      <c r="B19" s="498" t="s">
        <v>1702</v>
      </c>
      <c r="C19" s="1829"/>
      <c r="D19" s="503" t="s">
        <v>1692</v>
      </c>
      <c r="E19" s="205">
        <v>0.3</v>
      </c>
      <c r="F19" s="219" t="str">
        <f t="shared" si="2"/>
        <v> </v>
      </c>
      <c r="G19" s="1136">
        <v>2</v>
      </c>
      <c r="H19" s="1136">
        <v>55.85</v>
      </c>
      <c r="I19" s="220">
        <f t="shared" si="0"/>
        <v>0</v>
      </c>
      <c r="J19" s="221">
        <f t="shared" si="3"/>
        <v>0</v>
      </c>
      <c r="K19" s="221">
        <f t="shared" si="4"/>
        <v>0</v>
      </c>
      <c r="L19" s="222">
        <f t="shared" si="1"/>
        <v>0</v>
      </c>
      <c r="M19" s="750">
        <f t="shared" si="5"/>
        <v>0</v>
      </c>
      <c r="N19" s="750">
        <f t="shared" si="6"/>
        <v>0</v>
      </c>
      <c r="P19" s="751">
        <f t="shared" si="7"/>
        <v>0</v>
      </c>
      <c r="Q19" s="751">
        <f t="shared" si="8"/>
        <v>0</v>
      </c>
      <c r="S19" s="2397">
        <v>0.01</v>
      </c>
    </row>
    <row r="20" spans="1:19" ht="12.75">
      <c r="A20" s="2531"/>
      <c r="B20" s="498" t="s">
        <v>1703</v>
      </c>
      <c r="C20" s="1829"/>
      <c r="D20" s="503" t="s">
        <v>1692</v>
      </c>
      <c r="E20" s="205">
        <v>0.015</v>
      </c>
      <c r="F20" s="219" t="str">
        <f t="shared" si="2"/>
        <v> </v>
      </c>
      <c r="G20" s="1136">
        <v>2</v>
      </c>
      <c r="H20" s="1136">
        <v>207.19</v>
      </c>
      <c r="I20" s="220">
        <f t="shared" si="0"/>
        <v>0</v>
      </c>
      <c r="J20" s="221">
        <f t="shared" si="3"/>
        <v>0</v>
      </c>
      <c r="K20" s="221">
        <f t="shared" si="4"/>
        <v>0</v>
      </c>
      <c r="L20" s="222">
        <f t="shared" si="1"/>
        <v>0</v>
      </c>
      <c r="M20" s="750">
        <f t="shared" si="5"/>
        <v>0</v>
      </c>
      <c r="N20" s="750">
        <f t="shared" si="6"/>
        <v>0</v>
      </c>
      <c r="P20" s="751">
        <f t="shared" si="7"/>
        <v>0</v>
      </c>
      <c r="Q20" s="751">
        <f t="shared" si="8"/>
        <v>0</v>
      </c>
      <c r="S20" s="2397">
        <v>3E-05</v>
      </c>
    </row>
    <row r="21" spans="1:19" ht="12.75">
      <c r="A21" s="2531"/>
      <c r="B21" s="498" t="s">
        <v>1704</v>
      </c>
      <c r="C21" s="1829"/>
      <c r="D21" s="503" t="s">
        <v>1692</v>
      </c>
      <c r="E21" s="224" t="s">
        <v>1699</v>
      </c>
      <c r="F21" s="219" t="str">
        <f t="shared" si="2"/>
        <v> </v>
      </c>
      <c r="G21" s="1136">
        <v>2</v>
      </c>
      <c r="H21" s="1136">
        <v>24.31</v>
      </c>
      <c r="I21" s="220">
        <f t="shared" si="0"/>
        <v>0</v>
      </c>
      <c r="J21" s="221">
        <f t="shared" si="3"/>
        <v>0</v>
      </c>
      <c r="K21" s="221">
        <f t="shared" si="4"/>
        <v>0</v>
      </c>
      <c r="L21" s="222">
        <f t="shared" si="1"/>
        <v>0</v>
      </c>
      <c r="M21" s="750">
        <f t="shared" si="5"/>
        <v>0</v>
      </c>
      <c r="N21" s="750">
        <f t="shared" si="6"/>
        <v>0</v>
      </c>
      <c r="P21" s="751">
        <f t="shared" si="7"/>
        <v>0</v>
      </c>
      <c r="Q21" s="751">
        <f t="shared" si="8"/>
        <v>0</v>
      </c>
      <c r="S21" s="2397">
        <v>1290</v>
      </c>
    </row>
    <row r="22" spans="1:19" ht="12.75">
      <c r="A22" s="2531"/>
      <c r="B22" s="498" t="s">
        <v>1705</v>
      </c>
      <c r="C22" s="1829"/>
      <c r="D22" s="503" t="s">
        <v>1692</v>
      </c>
      <c r="E22" s="218">
        <v>0.05</v>
      </c>
      <c r="F22" s="219" t="str">
        <f t="shared" si="2"/>
        <v> </v>
      </c>
      <c r="G22" s="1136">
        <v>2</v>
      </c>
      <c r="H22" s="1136">
        <v>54.94</v>
      </c>
      <c r="I22" s="220">
        <f t="shared" si="0"/>
        <v>0</v>
      </c>
      <c r="J22" s="221">
        <f t="shared" si="3"/>
        <v>0</v>
      </c>
      <c r="K22" s="221">
        <f t="shared" si="4"/>
        <v>0</v>
      </c>
      <c r="L22" s="222">
        <f t="shared" si="1"/>
        <v>0</v>
      </c>
      <c r="M22" s="750">
        <f t="shared" si="5"/>
        <v>0</v>
      </c>
      <c r="N22" s="750">
        <f t="shared" si="6"/>
        <v>0</v>
      </c>
      <c r="P22" s="751">
        <f t="shared" si="7"/>
        <v>0</v>
      </c>
      <c r="Q22" s="751">
        <f t="shared" si="8"/>
        <v>0</v>
      </c>
      <c r="S22" s="2397">
        <v>0.002</v>
      </c>
    </row>
    <row r="23" spans="1:19" ht="12.75">
      <c r="A23" s="2531"/>
      <c r="B23" s="498" t="s">
        <v>1706</v>
      </c>
      <c r="C23" s="1829"/>
      <c r="D23" s="503" t="s">
        <v>1692</v>
      </c>
      <c r="E23" s="205">
        <v>0.002</v>
      </c>
      <c r="F23" s="219" t="str">
        <f t="shared" si="2"/>
        <v> </v>
      </c>
      <c r="G23" s="1136">
        <v>2</v>
      </c>
      <c r="H23" s="1136">
        <v>200.59</v>
      </c>
      <c r="I23" s="220">
        <f t="shared" si="0"/>
        <v>0</v>
      </c>
      <c r="J23" s="221">
        <f t="shared" si="3"/>
        <v>0</v>
      </c>
      <c r="K23" s="221">
        <f t="shared" si="4"/>
        <v>0</v>
      </c>
      <c r="L23" s="222">
        <f t="shared" si="1"/>
        <v>0</v>
      </c>
      <c r="M23" s="750">
        <f t="shared" si="5"/>
        <v>0</v>
      </c>
      <c r="N23" s="750">
        <f t="shared" si="6"/>
        <v>0</v>
      </c>
      <c r="P23" s="751">
        <f t="shared" si="7"/>
        <v>0</v>
      </c>
      <c r="Q23" s="751">
        <f t="shared" si="8"/>
        <v>0</v>
      </c>
      <c r="S23" s="2397">
        <v>3E-05</v>
      </c>
    </row>
    <row r="24" spans="1:19" ht="12.75">
      <c r="A24" s="2531"/>
      <c r="B24" s="498" t="s">
        <v>1707</v>
      </c>
      <c r="C24" s="1829"/>
      <c r="D24" s="503" t="s">
        <v>1692</v>
      </c>
      <c r="E24" s="223" t="s">
        <v>1699</v>
      </c>
      <c r="F24" s="219" t="str">
        <f t="shared" si="2"/>
        <v> </v>
      </c>
      <c r="G24" s="1136">
        <v>2</v>
      </c>
      <c r="H24" s="1136">
        <v>58.71</v>
      </c>
      <c r="I24" s="220">
        <f t="shared" si="0"/>
        <v>0</v>
      </c>
      <c r="J24" s="221">
        <f t="shared" si="3"/>
        <v>0</v>
      </c>
      <c r="K24" s="221">
        <f t="shared" si="4"/>
        <v>0</v>
      </c>
      <c r="L24" s="222">
        <f t="shared" si="1"/>
        <v>0</v>
      </c>
      <c r="M24" s="750">
        <f t="shared" si="5"/>
        <v>0</v>
      </c>
      <c r="N24" s="750">
        <f t="shared" si="6"/>
        <v>0</v>
      </c>
      <c r="P24" s="751">
        <f t="shared" si="7"/>
        <v>0</v>
      </c>
      <c r="Q24" s="751">
        <f t="shared" si="8"/>
        <v>0</v>
      </c>
      <c r="S24" s="2397">
        <v>0.0054</v>
      </c>
    </row>
    <row r="25" spans="1:19" ht="12.75">
      <c r="A25" s="2531"/>
      <c r="B25" s="498" t="s">
        <v>1711</v>
      </c>
      <c r="C25" s="1829">
        <v>40</v>
      </c>
      <c r="D25" s="503" t="s">
        <v>1692</v>
      </c>
      <c r="E25" s="223" t="s">
        <v>1699</v>
      </c>
      <c r="F25" s="219" t="str">
        <f t="shared" si="2"/>
        <v> </v>
      </c>
      <c r="G25" s="1136">
        <v>1</v>
      </c>
      <c r="H25" s="1136">
        <v>39.1</v>
      </c>
      <c r="I25" s="220">
        <f t="shared" si="0"/>
        <v>39.1</v>
      </c>
      <c r="J25" s="221">
        <f t="shared" si="3"/>
        <v>0.0010230179028132991</v>
      </c>
      <c r="K25" s="221">
        <f t="shared" si="4"/>
        <v>0.0010230179028132991</v>
      </c>
      <c r="L25" s="222">
        <f t="shared" si="1"/>
        <v>0.0010230179028132991</v>
      </c>
      <c r="M25" s="750">
        <f t="shared" si="5"/>
        <v>102.30179028132991</v>
      </c>
      <c r="N25" s="750">
        <f t="shared" si="6"/>
        <v>0.04</v>
      </c>
      <c r="P25" s="751">
        <f t="shared" si="7"/>
        <v>0</v>
      </c>
      <c r="Q25" s="751">
        <f t="shared" si="8"/>
        <v>0</v>
      </c>
      <c r="S25" s="2397">
        <v>385</v>
      </c>
    </row>
    <row r="26" spans="1:19" ht="12.75">
      <c r="A26" s="2531"/>
      <c r="B26" s="498" t="s">
        <v>1710</v>
      </c>
      <c r="C26" s="1829"/>
      <c r="D26" s="503" t="s">
        <v>1692</v>
      </c>
      <c r="E26" s="205">
        <v>0.05</v>
      </c>
      <c r="F26" s="219" t="str">
        <f t="shared" si="2"/>
        <v> </v>
      </c>
      <c r="G26" s="1136">
        <v>4</v>
      </c>
      <c r="H26" s="1136">
        <v>78.96</v>
      </c>
      <c r="I26" s="220">
        <f t="shared" si="0"/>
        <v>0</v>
      </c>
      <c r="J26" s="221">
        <f t="shared" si="3"/>
        <v>0</v>
      </c>
      <c r="K26" s="221">
        <f t="shared" si="4"/>
        <v>0</v>
      </c>
      <c r="L26" s="222">
        <f t="shared" si="1"/>
        <v>0</v>
      </c>
      <c r="M26" s="750">
        <f t="shared" si="5"/>
        <v>0</v>
      </c>
      <c r="N26" s="750">
        <f t="shared" si="6"/>
        <v>0</v>
      </c>
      <c r="P26" s="751">
        <f t="shared" si="7"/>
        <v>0</v>
      </c>
      <c r="Q26" s="751">
        <f t="shared" si="8"/>
        <v>0</v>
      </c>
      <c r="S26" s="2397">
        <v>9E-05</v>
      </c>
    </row>
    <row r="27" spans="1:19" ht="12.75">
      <c r="A27" s="2531"/>
      <c r="B27" s="498" t="s">
        <v>1712</v>
      </c>
      <c r="C27" s="1829"/>
      <c r="D27" s="503" t="s">
        <v>1692</v>
      </c>
      <c r="E27" s="205">
        <v>0.1</v>
      </c>
      <c r="F27" s="219" t="str">
        <f t="shared" si="2"/>
        <v> </v>
      </c>
      <c r="G27" s="1136">
        <v>1</v>
      </c>
      <c r="H27" s="1136">
        <v>107.87</v>
      </c>
      <c r="I27" s="220">
        <f t="shared" si="0"/>
        <v>0</v>
      </c>
      <c r="J27" s="221">
        <f t="shared" si="3"/>
        <v>0</v>
      </c>
      <c r="K27" s="221">
        <f t="shared" si="4"/>
        <v>0</v>
      </c>
      <c r="L27" s="222">
        <f t="shared" si="1"/>
        <v>0</v>
      </c>
      <c r="M27" s="750">
        <f t="shared" si="5"/>
        <v>0</v>
      </c>
      <c r="N27" s="750">
        <f t="shared" si="6"/>
        <v>0</v>
      </c>
      <c r="P27" s="751">
        <f t="shared" si="7"/>
        <v>0</v>
      </c>
      <c r="Q27" s="751">
        <f t="shared" si="8"/>
        <v>0</v>
      </c>
      <c r="S27" s="2397">
        <v>0.0003</v>
      </c>
    </row>
    <row r="28" spans="1:19" ht="12.75">
      <c r="A28" s="2531"/>
      <c r="B28" s="498" t="s">
        <v>1713</v>
      </c>
      <c r="C28" s="1829">
        <v>140</v>
      </c>
      <c r="D28" s="503" t="s">
        <v>1692</v>
      </c>
      <c r="E28" s="223" t="s">
        <v>1699</v>
      </c>
      <c r="F28" s="219" t="str">
        <f t="shared" si="2"/>
        <v> </v>
      </c>
      <c r="G28" s="1136">
        <v>1</v>
      </c>
      <c r="H28" s="1136">
        <v>22.99</v>
      </c>
      <c r="I28" s="220">
        <f t="shared" si="0"/>
        <v>22.99</v>
      </c>
      <c r="J28" s="221">
        <f t="shared" si="3"/>
        <v>0.006089604175728578</v>
      </c>
      <c r="K28" s="221">
        <f t="shared" si="4"/>
        <v>0.006089604175728578</v>
      </c>
      <c r="L28" s="222">
        <f t="shared" si="1"/>
        <v>0.006089604175728578</v>
      </c>
      <c r="M28" s="750">
        <f t="shared" si="5"/>
        <v>608.9604175728578</v>
      </c>
      <c r="N28" s="750">
        <f t="shared" si="6"/>
        <v>0.13999999999999999</v>
      </c>
      <c r="P28" s="751">
        <f t="shared" si="7"/>
        <v>0</v>
      </c>
      <c r="Q28" s="751">
        <f t="shared" si="8"/>
        <v>0</v>
      </c>
      <c r="S28" s="2397">
        <v>10741</v>
      </c>
    </row>
    <row r="29" spans="1:19" ht="12.75">
      <c r="A29" s="2531"/>
      <c r="B29" s="498" t="s">
        <v>1709</v>
      </c>
      <c r="C29" s="1829"/>
      <c r="D29" s="503" t="s">
        <v>1692</v>
      </c>
      <c r="E29" s="223" t="s">
        <v>1699</v>
      </c>
      <c r="F29" s="219" t="str">
        <f t="shared" si="2"/>
        <v> </v>
      </c>
      <c r="G29" s="1136">
        <v>2</v>
      </c>
      <c r="H29" s="1136">
        <v>87.62</v>
      </c>
      <c r="I29" s="220">
        <f t="shared" si="0"/>
        <v>0</v>
      </c>
      <c r="J29" s="221">
        <f t="shared" si="3"/>
        <v>0</v>
      </c>
      <c r="K29" s="221">
        <f t="shared" si="4"/>
        <v>0</v>
      </c>
      <c r="L29" s="222">
        <f t="shared" si="1"/>
        <v>0</v>
      </c>
      <c r="M29" s="750">
        <f t="shared" si="5"/>
        <v>0</v>
      </c>
      <c r="N29" s="750">
        <f t="shared" si="6"/>
        <v>0</v>
      </c>
      <c r="P29" s="751">
        <f t="shared" si="7"/>
        <v>0</v>
      </c>
      <c r="Q29" s="751">
        <f t="shared" si="8"/>
        <v>0</v>
      </c>
      <c r="S29" s="2397">
        <v>14</v>
      </c>
    </row>
    <row r="30" spans="1:19" ht="13.5" thickBot="1">
      <c r="A30" s="2532"/>
      <c r="B30" s="499" t="s">
        <v>1708</v>
      </c>
      <c r="C30" s="1830"/>
      <c r="D30" s="504" t="s">
        <v>1692</v>
      </c>
      <c r="E30" s="391">
        <v>5</v>
      </c>
      <c r="F30" s="390" t="str">
        <f t="shared" si="2"/>
        <v> </v>
      </c>
      <c r="G30" s="1139">
        <v>2</v>
      </c>
      <c r="H30" s="1139">
        <v>65.37</v>
      </c>
      <c r="I30" s="392">
        <f t="shared" si="0"/>
        <v>0</v>
      </c>
      <c r="J30" s="393">
        <f t="shared" si="3"/>
        <v>0</v>
      </c>
      <c r="K30" s="393">
        <f t="shared" si="4"/>
        <v>0</v>
      </c>
      <c r="L30" s="394">
        <f t="shared" si="1"/>
        <v>0</v>
      </c>
      <c r="M30" s="1792">
        <f t="shared" si="5"/>
        <v>0</v>
      </c>
      <c r="N30" s="1792">
        <f t="shared" si="6"/>
        <v>0</v>
      </c>
      <c r="P30" s="1835">
        <f t="shared" si="7"/>
        <v>0</v>
      </c>
      <c r="Q30" s="1835">
        <f t="shared" si="8"/>
        <v>0</v>
      </c>
      <c r="S30" s="2398">
        <v>0.01</v>
      </c>
    </row>
    <row r="31" spans="1:19" ht="12.75" customHeight="1">
      <c r="A31" s="2533" t="s">
        <v>769</v>
      </c>
      <c r="B31" s="1484" t="s">
        <v>1714</v>
      </c>
      <c r="C31" s="1793">
        <v>180</v>
      </c>
      <c r="D31" s="1794" t="s">
        <v>1692</v>
      </c>
      <c r="E31" s="1795" t="s">
        <v>1699</v>
      </c>
      <c r="F31" s="1796" t="str">
        <f t="shared" si="2"/>
        <v> </v>
      </c>
      <c r="G31" s="1837">
        <v>-1</v>
      </c>
      <c r="H31" s="1837">
        <v>61</v>
      </c>
      <c r="I31" s="1797">
        <f t="shared" si="0"/>
        <v>61</v>
      </c>
      <c r="J31" s="1798">
        <f>IF(OR(ISBLANK($C31),$C31=0),0,C31/(H31*1000))</f>
        <v>0.0029508196721311475</v>
      </c>
      <c r="K31" s="1798">
        <f t="shared" si="4"/>
        <v>0.0029508196721311475</v>
      </c>
      <c r="L31" s="1799">
        <f t="shared" si="1"/>
        <v>0.0029508196721311475</v>
      </c>
      <c r="M31" s="1800">
        <f t="shared" si="5"/>
        <v>295.08196721311475</v>
      </c>
      <c r="N31" s="1800">
        <f t="shared" si="6"/>
        <v>0.18</v>
      </c>
      <c r="P31" s="1834">
        <f t="shared" si="7"/>
        <v>0</v>
      </c>
      <c r="Q31" s="1834">
        <f t="shared" si="8"/>
        <v>0</v>
      </c>
      <c r="S31" s="2399">
        <v>144</v>
      </c>
    </row>
    <row r="32" spans="1:19" ht="12.75">
      <c r="A32" s="2528"/>
      <c r="B32" s="498" t="s">
        <v>1715</v>
      </c>
      <c r="C32" s="217">
        <v>0.75</v>
      </c>
      <c r="D32" s="503" t="s">
        <v>1692</v>
      </c>
      <c r="E32" s="223" t="s">
        <v>1699</v>
      </c>
      <c r="F32" s="219" t="str">
        <f t="shared" si="2"/>
        <v> </v>
      </c>
      <c r="G32" s="1136">
        <v>-2</v>
      </c>
      <c r="H32" s="1136">
        <v>60</v>
      </c>
      <c r="I32" s="220">
        <f t="shared" si="0"/>
        <v>30</v>
      </c>
      <c r="J32" s="221">
        <f aca="true" t="shared" si="9" ref="J32:J39">IF(OR(ISBLANK($C32),$C32=0),0,C32/(H32*1000))</f>
        <v>1.25E-05</v>
      </c>
      <c r="K32" s="221">
        <f t="shared" si="4"/>
        <v>2.5E-05</v>
      </c>
      <c r="L32" s="222">
        <f t="shared" si="1"/>
        <v>5E-05</v>
      </c>
      <c r="M32" s="750">
        <f t="shared" si="5"/>
        <v>1.25</v>
      </c>
      <c r="N32" s="750">
        <f t="shared" si="6"/>
        <v>0.00075</v>
      </c>
      <c r="P32" s="751">
        <f t="shared" si="7"/>
        <v>0</v>
      </c>
      <c r="Q32" s="751">
        <f t="shared" si="8"/>
        <v>0</v>
      </c>
      <c r="S32" s="349">
        <v>0.5</v>
      </c>
    </row>
    <row r="33" spans="1:19" ht="12.75">
      <c r="A33" s="2528"/>
      <c r="B33" s="498" t="s">
        <v>1716</v>
      </c>
      <c r="C33" s="217">
        <v>7.91</v>
      </c>
      <c r="D33" s="503" t="s">
        <v>1692</v>
      </c>
      <c r="E33" s="223" t="s">
        <v>1699</v>
      </c>
      <c r="F33" s="219" t="str">
        <f t="shared" si="2"/>
        <v> </v>
      </c>
      <c r="G33" s="1136">
        <v>0</v>
      </c>
      <c r="H33" s="1136">
        <v>44</v>
      </c>
      <c r="I33" s="220"/>
      <c r="J33" s="221">
        <f t="shared" si="9"/>
        <v>0.00017977272727272728</v>
      </c>
      <c r="K33" s="221">
        <f t="shared" si="4"/>
        <v>0</v>
      </c>
      <c r="L33" s="222">
        <f t="shared" si="1"/>
        <v>0</v>
      </c>
      <c r="M33" s="750">
        <f t="shared" si="5"/>
        <v>17.977272727272727</v>
      </c>
      <c r="N33" s="750">
        <f t="shared" si="6"/>
        <v>0</v>
      </c>
      <c r="P33" s="751">
        <f t="shared" si="7"/>
        <v>0</v>
      </c>
      <c r="Q33" s="751">
        <f t="shared" si="8"/>
        <v>0</v>
      </c>
      <c r="S33" s="349">
        <v>2.31</v>
      </c>
    </row>
    <row r="34" spans="1:19" ht="12.75">
      <c r="A34" s="2528"/>
      <c r="B34" s="498" t="s">
        <v>1717</v>
      </c>
      <c r="C34" s="217">
        <v>150</v>
      </c>
      <c r="D34" s="503" t="s">
        <v>1692</v>
      </c>
      <c r="E34" s="205">
        <v>250</v>
      </c>
      <c r="F34" s="219" t="str">
        <f t="shared" si="2"/>
        <v> </v>
      </c>
      <c r="G34" s="1136">
        <v>-1</v>
      </c>
      <c r="H34" s="1136">
        <v>35.45</v>
      </c>
      <c r="I34" s="220">
        <f aca="true" t="shared" si="10" ref="I34:I39">IF(OR(ISBLANK($C34),$C34=0),0,H34/ABS(G34))</f>
        <v>35.45</v>
      </c>
      <c r="J34" s="221">
        <f t="shared" si="9"/>
        <v>0.004231311706629055</v>
      </c>
      <c r="K34" s="221">
        <f t="shared" si="4"/>
        <v>0.004231311706629055</v>
      </c>
      <c r="L34" s="222">
        <f t="shared" si="1"/>
        <v>0.004231311706629055</v>
      </c>
      <c r="M34" s="750">
        <f t="shared" si="5"/>
        <v>423.1311706629055</v>
      </c>
      <c r="N34" s="750">
        <f t="shared" si="6"/>
        <v>0.15000000000000002</v>
      </c>
      <c r="P34" s="751">
        <f t="shared" si="7"/>
        <v>0</v>
      </c>
      <c r="Q34" s="751">
        <f t="shared" si="8"/>
        <v>0</v>
      </c>
      <c r="S34" s="349">
        <v>19333</v>
      </c>
    </row>
    <row r="35" spans="1:19" ht="12.75">
      <c r="A35" s="2528"/>
      <c r="B35" s="498" t="s">
        <v>1719</v>
      </c>
      <c r="C35" s="217"/>
      <c r="D35" s="503" t="s">
        <v>1692</v>
      </c>
      <c r="E35" s="205">
        <v>0.2</v>
      </c>
      <c r="F35" s="219" t="str">
        <f t="shared" si="2"/>
        <v> </v>
      </c>
      <c r="G35" s="1136"/>
      <c r="H35" s="1136"/>
      <c r="I35" s="220">
        <f t="shared" si="10"/>
        <v>0</v>
      </c>
      <c r="J35" s="221">
        <f t="shared" si="9"/>
        <v>0</v>
      </c>
      <c r="K35" s="221">
        <f>IF(OR(ISBLANK($C35),$C35=0),0,C35*ABS(G35)/(H35*1000))</f>
        <v>0</v>
      </c>
      <c r="L35" s="222">
        <f t="shared" si="1"/>
        <v>0</v>
      </c>
      <c r="M35" s="750">
        <f t="shared" si="5"/>
        <v>0</v>
      </c>
      <c r="N35" s="750">
        <f t="shared" si="6"/>
        <v>0</v>
      </c>
      <c r="P35" s="751">
        <f t="shared" si="7"/>
        <v>0</v>
      </c>
      <c r="Q35" s="751">
        <f t="shared" si="8"/>
        <v>0</v>
      </c>
      <c r="S35" s="349"/>
    </row>
    <row r="36" spans="1:19" ht="12.75">
      <c r="A36" s="2528"/>
      <c r="B36" s="498" t="s">
        <v>1720</v>
      </c>
      <c r="C36" s="217"/>
      <c r="D36" s="503" t="s">
        <v>1692</v>
      </c>
      <c r="E36" s="205">
        <v>4</v>
      </c>
      <c r="F36" s="219" t="str">
        <f t="shared" si="2"/>
        <v> </v>
      </c>
      <c r="G36" s="1136">
        <v>-1</v>
      </c>
      <c r="H36" s="1136">
        <v>19</v>
      </c>
      <c r="I36" s="220">
        <f t="shared" si="10"/>
        <v>0</v>
      </c>
      <c r="J36" s="221">
        <f t="shared" si="9"/>
        <v>0</v>
      </c>
      <c r="K36" s="221">
        <f>IF(OR(ISBLANK($C36),$C36=0),0,C36*ABS(G36)/(H36*1000))</f>
        <v>0</v>
      </c>
      <c r="L36" s="222">
        <f t="shared" si="1"/>
        <v>0</v>
      </c>
      <c r="M36" s="750">
        <f t="shared" si="5"/>
        <v>0</v>
      </c>
      <c r="N36" s="750">
        <f t="shared" si="6"/>
        <v>0</v>
      </c>
      <c r="P36" s="751">
        <f t="shared" si="7"/>
        <v>0</v>
      </c>
      <c r="Q36" s="751">
        <f t="shared" si="8"/>
        <v>0</v>
      </c>
      <c r="S36" s="349">
        <v>1.3</v>
      </c>
    </row>
    <row r="37" spans="1:19" ht="12.75">
      <c r="A37" s="2528"/>
      <c r="B37" s="498" t="s">
        <v>1721</v>
      </c>
      <c r="C37" s="217"/>
      <c r="D37" s="503" t="s">
        <v>1692</v>
      </c>
      <c r="E37" s="205">
        <v>10</v>
      </c>
      <c r="F37" s="219" t="str">
        <f t="shared" si="2"/>
        <v> </v>
      </c>
      <c r="G37" s="1136">
        <v>-1</v>
      </c>
      <c r="H37" s="1136">
        <v>14</v>
      </c>
      <c r="I37" s="220">
        <f t="shared" si="10"/>
        <v>0</v>
      </c>
      <c r="J37" s="221">
        <f t="shared" si="9"/>
        <v>0</v>
      </c>
      <c r="K37" s="221">
        <f>IF(OR(ISBLANK($C37),$C37=0),0,C37*ABS(G37)/(H37*1000))</f>
        <v>0</v>
      </c>
      <c r="L37" s="222">
        <f t="shared" si="1"/>
        <v>0</v>
      </c>
      <c r="M37" s="750">
        <f t="shared" si="5"/>
        <v>0</v>
      </c>
      <c r="N37" s="750">
        <f t="shared" si="6"/>
        <v>0</v>
      </c>
      <c r="P37" s="751">
        <f t="shared" si="7"/>
        <v>0</v>
      </c>
      <c r="Q37" s="751">
        <f t="shared" si="8"/>
        <v>0</v>
      </c>
      <c r="S37" s="349">
        <v>0.5</v>
      </c>
    </row>
    <row r="38" spans="1:19" ht="12.75">
      <c r="A38" s="2528"/>
      <c r="B38" s="498" t="s">
        <v>1724</v>
      </c>
      <c r="C38" s="217"/>
      <c r="D38" s="503" t="s">
        <v>1692</v>
      </c>
      <c r="E38" s="223" t="s">
        <v>1699</v>
      </c>
      <c r="F38" s="219" t="str">
        <f t="shared" si="2"/>
        <v> </v>
      </c>
      <c r="G38" s="1136">
        <v>-3</v>
      </c>
      <c r="H38" s="1136">
        <v>94</v>
      </c>
      <c r="I38" s="220">
        <f t="shared" si="10"/>
        <v>0</v>
      </c>
      <c r="J38" s="221">
        <f t="shared" si="9"/>
        <v>0</v>
      </c>
      <c r="K38" s="221">
        <f>IF(OR(ISBLANK($C38),$C38=0),0,C38*ABS(G38)/(H38*1000))</f>
        <v>0</v>
      </c>
      <c r="L38" s="222">
        <f t="shared" si="1"/>
        <v>0</v>
      </c>
      <c r="M38" s="750">
        <f t="shared" si="5"/>
        <v>0</v>
      </c>
      <c r="N38" s="750">
        <f t="shared" si="6"/>
        <v>0</v>
      </c>
      <c r="P38" s="751">
        <f t="shared" si="7"/>
        <v>0</v>
      </c>
      <c r="Q38" s="751">
        <f t="shared" si="8"/>
        <v>0</v>
      </c>
      <c r="S38" s="349">
        <v>0.07</v>
      </c>
    </row>
    <row r="39" spans="1:19" ht="13.5" thickBot="1">
      <c r="A39" s="2529"/>
      <c r="B39" s="499" t="s">
        <v>1726</v>
      </c>
      <c r="C39" s="388"/>
      <c r="D39" s="504" t="s">
        <v>1692</v>
      </c>
      <c r="E39" s="391">
        <v>250</v>
      </c>
      <c r="F39" s="390" t="str">
        <f t="shared" si="2"/>
        <v> </v>
      </c>
      <c r="G39" s="1139">
        <v>-2</v>
      </c>
      <c r="H39" s="1139">
        <v>96</v>
      </c>
      <c r="I39" s="392">
        <f t="shared" si="10"/>
        <v>0</v>
      </c>
      <c r="J39" s="393">
        <f t="shared" si="9"/>
        <v>0</v>
      </c>
      <c r="K39" s="393">
        <f>IF(OR(ISBLANK($C39),$C39=0),0,C39*ABS(G39)/(H39*1000))</f>
        <v>0</v>
      </c>
      <c r="L39" s="394">
        <f t="shared" si="1"/>
        <v>0</v>
      </c>
      <c r="M39" s="1792">
        <f t="shared" si="5"/>
        <v>0</v>
      </c>
      <c r="N39" s="1792">
        <f t="shared" si="6"/>
        <v>0</v>
      </c>
      <c r="P39" s="1835">
        <f t="shared" si="7"/>
        <v>0</v>
      </c>
      <c r="Q39" s="1835">
        <f t="shared" si="8"/>
        <v>0</v>
      </c>
      <c r="S39" s="2400">
        <v>2688</v>
      </c>
    </row>
    <row r="40" spans="1:19" ht="12.75">
      <c r="A40" s="2528" t="s">
        <v>768</v>
      </c>
      <c r="B40" s="1777" t="s">
        <v>1038</v>
      </c>
      <c r="C40" s="1778">
        <v>7.6</v>
      </c>
      <c r="D40" s="1779" t="s">
        <v>1692</v>
      </c>
      <c r="E40" s="1780"/>
      <c r="F40" s="1468" t="str">
        <f>IF(AND(E40&gt;0,C40&gt;E40),C40-E40," ")</f>
        <v> </v>
      </c>
      <c r="G40" s="1838"/>
      <c r="H40" s="1838"/>
      <c r="I40" s="1781"/>
      <c r="J40" s="1782"/>
      <c r="K40" s="1782"/>
      <c r="L40" s="1783">
        <f>IF(OR(ISBLANK($C40),$C40=0),0,J40*ABS(G40)^2)</f>
        <v>0</v>
      </c>
      <c r="M40" s="1784">
        <f t="shared" si="5"/>
        <v>0</v>
      </c>
      <c r="N40" s="1784">
        <f>I40*K40</f>
        <v>0</v>
      </c>
      <c r="P40" s="1834">
        <f>IF(G40&gt;1,K40,0)</f>
        <v>0</v>
      </c>
      <c r="Q40" s="1834">
        <f t="shared" si="8"/>
        <v>0</v>
      </c>
      <c r="S40" s="2401"/>
    </row>
    <row r="41" spans="1:19" ht="12.75" customHeight="1">
      <c r="A41" s="2528"/>
      <c r="B41" s="498" t="s">
        <v>1722</v>
      </c>
      <c r="C41" s="217">
        <v>7.54</v>
      </c>
      <c r="D41" s="503" t="s">
        <v>1722</v>
      </c>
      <c r="E41" s="218" t="s">
        <v>1723</v>
      </c>
      <c r="F41" s="219" t="str">
        <f>IF(AND(E41&gt;0,C41&gt;E41),C41-E41," ")</f>
        <v> </v>
      </c>
      <c r="G41" s="1136">
        <v>1</v>
      </c>
      <c r="H41" s="1136">
        <v>1</v>
      </c>
      <c r="I41" s="220">
        <f>IF(OR(ISBLANK(10^-$C41),10^-$C41=0),0,H41/ABS(G41))</f>
        <v>1</v>
      </c>
      <c r="J41" s="221">
        <f>IF(OR(ISBLANK(10^-$C41),10^-$C41=0),0,10^-C41)</f>
        <v>2.8840315031265985E-08</v>
      </c>
      <c r="K41" s="221">
        <f>IF(OR(ISBLANK(10^-$C41),10^-$C41=0),0,10^-C41*ABS(G41)/(H41*1000))</f>
        <v>2.8840315031265984E-11</v>
      </c>
      <c r="L41" s="222">
        <f>IF(OR(ISBLANK(10^-$C41),10^-$C41=0),0,J41*ABS(G41)^2)</f>
        <v>2.8840315031265985E-08</v>
      </c>
      <c r="M41" s="750">
        <f>J41*100*1000</f>
        <v>0.002884031503126598</v>
      </c>
      <c r="N41" s="750">
        <f>I41*K41</f>
        <v>2.8840315031265984E-11</v>
      </c>
      <c r="P41" s="1834">
        <f>IF(G41&gt;1,K41,0)</f>
        <v>0</v>
      </c>
      <c r="Q41" s="750"/>
      <c r="S41" s="349">
        <v>8</v>
      </c>
    </row>
    <row r="42" spans="1:19" ht="12.75" customHeight="1">
      <c r="A42" s="2528"/>
      <c r="B42" s="498" t="s">
        <v>1417</v>
      </c>
      <c r="C42" s="217">
        <v>6.46</v>
      </c>
      <c r="D42" s="503" t="s">
        <v>1417</v>
      </c>
      <c r="E42" s="218"/>
      <c r="F42" s="219"/>
      <c r="G42" s="1136">
        <v>-1</v>
      </c>
      <c r="H42" s="1136">
        <v>1</v>
      </c>
      <c r="I42" s="220">
        <f>IF(OR(ISBLANK(10^-$C42),10^-$C42=0),0,H42/ABS(G42))</f>
        <v>1</v>
      </c>
      <c r="J42" s="221">
        <f>IF(OR(ISBLANK(10^-$C42),10^-$C42=0),0,10^-C42)</f>
        <v>3.467368504525315E-07</v>
      </c>
      <c r="K42" s="221">
        <f>IF(OR(ISBLANK(10^-$C42),10^-$C42=0),0,10^-C42*ABS(G42)/(H42*1000))</f>
        <v>3.467368504525315E-10</v>
      </c>
      <c r="L42" s="222">
        <f>IF(OR(ISBLANK(10^-$C42),10^-$C42=0),0,J42*ABS(G42)^2)</f>
        <v>3.467368504525315E-07</v>
      </c>
      <c r="M42" s="750">
        <f>J42*100*1000</f>
        <v>0.034673685045253144</v>
      </c>
      <c r="N42" s="750">
        <f>I42*K42</f>
        <v>3.467368504525315E-10</v>
      </c>
      <c r="P42" s="1834">
        <f>IF(G42&gt;1,K42,0)</f>
        <v>0</v>
      </c>
      <c r="Q42" s="750"/>
      <c r="S42" s="349">
        <f>14-S41</f>
        <v>6</v>
      </c>
    </row>
    <row r="43" spans="1:19" ht="12.75">
      <c r="A43" s="2528"/>
      <c r="B43" s="498" t="s">
        <v>1405</v>
      </c>
      <c r="C43" s="329">
        <v>500</v>
      </c>
      <c r="D43" s="503" t="s">
        <v>1692</v>
      </c>
      <c r="E43" s="205">
        <v>500</v>
      </c>
      <c r="F43" s="330" t="str">
        <f>IF(AND(E43&gt;0,C43&gt;E43),C43-E43," ")</f>
        <v> </v>
      </c>
      <c r="G43" s="1136"/>
      <c r="H43" s="1136"/>
      <c r="I43" s="220"/>
      <c r="J43" s="221"/>
      <c r="K43" s="221"/>
      <c r="L43" s="222">
        <f>IF(OR(ISBLANK($C43),$C43=0),0,J43*ABS(G43)^2)</f>
        <v>0</v>
      </c>
      <c r="M43" s="751"/>
      <c r="N43" s="751"/>
      <c r="P43" s="751"/>
      <c r="Q43" s="751"/>
      <c r="S43" s="348">
        <v>32000</v>
      </c>
    </row>
    <row r="44" spans="1:19" ht="12.75">
      <c r="A44" s="2528"/>
      <c r="B44" s="498" t="s">
        <v>1406</v>
      </c>
      <c r="C44" s="217">
        <v>22</v>
      </c>
      <c r="D44" s="503" t="s">
        <v>1692</v>
      </c>
      <c r="E44" s="223" t="s">
        <v>1699</v>
      </c>
      <c r="F44" s="219" t="str">
        <f>IF(AND(E44&gt;0,C44&gt;E44),C44-E44," ")</f>
        <v> </v>
      </c>
      <c r="G44" s="1136"/>
      <c r="H44" s="1136"/>
      <c r="I44" s="220"/>
      <c r="J44" s="221"/>
      <c r="K44" s="221"/>
      <c r="L44" s="222">
        <f>IF(OR(ISBLANK($C44),$C44=0),0,J44*ABS(G44)^2)</f>
        <v>0</v>
      </c>
      <c r="M44" s="751"/>
      <c r="N44" s="751"/>
      <c r="P44" s="751"/>
      <c r="Q44" s="751"/>
      <c r="S44" s="349"/>
    </row>
    <row r="45" spans="1:19" ht="12.75">
      <c r="A45" s="2528"/>
      <c r="B45" s="498" t="s">
        <v>1718</v>
      </c>
      <c r="C45" s="217">
        <v>23</v>
      </c>
      <c r="D45" s="503" t="s">
        <v>964</v>
      </c>
      <c r="E45" s="223" t="s">
        <v>1699</v>
      </c>
      <c r="F45" s="219" t="str">
        <f>IF(AND(E45&gt;0,C45&gt;E45),C45-E45," ")</f>
        <v> </v>
      </c>
      <c r="G45" s="1136"/>
      <c r="H45" s="1136"/>
      <c r="I45" s="220"/>
      <c r="J45" s="221"/>
      <c r="K45" s="221"/>
      <c r="L45" s="222">
        <f>IF(OR(ISBLANK($C45),$C45=0),0,J45*ABS(G45)^2)</f>
        <v>0</v>
      </c>
      <c r="M45" s="751"/>
      <c r="N45" s="751"/>
      <c r="P45" s="751"/>
      <c r="Q45" s="751"/>
      <c r="S45" s="349">
        <v>54534</v>
      </c>
    </row>
    <row r="46" spans="1:19" ht="13.5" thickBot="1">
      <c r="A46" s="2529"/>
      <c r="B46" s="499" t="s">
        <v>1727</v>
      </c>
      <c r="C46" s="388">
        <v>11.75</v>
      </c>
      <c r="D46" s="504" t="s">
        <v>963</v>
      </c>
      <c r="E46" s="389" t="s">
        <v>1699</v>
      </c>
      <c r="F46" s="390" t="str">
        <f t="shared" si="2"/>
        <v> </v>
      </c>
      <c r="G46" s="1139"/>
      <c r="H46" s="1139"/>
      <c r="I46" s="392"/>
      <c r="J46" s="393"/>
      <c r="K46" s="393"/>
      <c r="L46" s="394">
        <f t="shared" si="1"/>
        <v>0</v>
      </c>
      <c r="M46" s="752"/>
      <c r="N46" s="752"/>
      <c r="P46" s="752"/>
      <c r="Q46" s="752"/>
      <c r="S46" s="2400">
        <v>20</v>
      </c>
    </row>
    <row r="47" spans="1:14" ht="12.75">
      <c r="A47" s="737"/>
      <c r="B47" s="123"/>
      <c r="C47" s="745"/>
      <c r="D47" s="124"/>
      <c r="E47" s="738"/>
      <c r="F47" s="739"/>
      <c r="G47" s="123"/>
      <c r="H47" s="123"/>
      <c r="I47" s="740"/>
      <c r="J47" s="741">
        <f>SUM(J9:J42)</f>
        <v>0.01453979697132113</v>
      </c>
      <c r="K47" s="742"/>
      <c r="L47" s="743"/>
      <c r="M47" s="123"/>
      <c r="N47" s="744"/>
    </row>
    <row r="48" spans="2:16" ht="12.75">
      <c r="B48" s="205" t="s">
        <v>1729</v>
      </c>
      <c r="C48" s="746">
        <f>SUM(K9:K30)+K41</f>
        <v>0.007217412526543868</v>
      </c>
      <c r="D48" s="492"/>
      <c r="E48" s="492"/>
      <c r="F48" s="492"/>
      <c r="G48" s="492"/>
      <c r="K48" s="494"/>
      <c r="L48" s="492"/>
      <c r="O48" s="492"/>
      <c r="P48" s="492"/>
    </row>
    <row r="49" spans="2:16" ht="12.75">
      <c r="B49" s="205" t="s">
        <v>1731</v>
      </c>
      <c r="C49" s="746">
        <f>SUM(K31:K39)+K42</f>
        <v>0.0072071317254970525</v>
      </c>
      <c r="D49" s="492"/>
      <c r="E49" s="492"/>
      <c r="F49" s="495"/>
      <c r="G49" s="492"/>
      <c r="K49" s="492"/>
      <c r="L49" s="492"/>
      <c r="O49" s="492"/>
      <c r="P49" s="492"/>
    </row>
    <row r="50" spans="2:16" ht="12.75">
      <c r="B50" s="205" t="s">
        <v>1409</v>
      </c>
      <c r="C50" s="207">
        <f>C48/C49</f>
        <v>1.0014264760848541</v>
      </c>
      <c r="D50" s="492"/>
      <c r="E50" s="492"/>
      <c r="F50" s="492"/>
      <c r="G50" s="492"/>
      <c r="K50" s="492"/>
      <c r="L50" s="492"/>
      <c r="O50" s="492"/>
      <c r="P50" s="492"/>
    </row>
    <row r="51" spans="2:16" ht="12.75">
      <c r="B51" s="753" t="s">
        <v>1403</v>
      </c>
      <c r="C51" s="2471">
        <f>SUM(K9:K46)</f>
        <v>0.014424544252040924</v>
      </c>
      <c r="D51" s="205" t="s">
        <v>569</v>
      </c>
      <c r="E51" s="492"/>
      <c r="F51" s="492"/>
      <c r="G51" s="492"/>
      <c r="K51" s="492"/>
      <c r="L51" s="492"/>
      <c r="O51" s="492"/>
      <c r="P51" s="492"/>
    </row>
    <row r="52" spans="2:17" ht="12.75">
      <c r="B52" s="205" t="s">
        <v>1402</v>
      </c>
      <c r="C52" s="207">
        <f>SUM(N9:N46)/C51</f>
        <v>35.55398294840506</v>
      </c>
      <c r="D52" s="433" t="s">
        <v>1753</v>
      </c>
      <c r="O52" s="492"/>
      <c r="P52" s="492"/>
      <c r="Q52" s="492"/>
    </row>
    <row r="53" spans="2:16" ht="14.25">
      <c r="B53" s="753" t="s">
        <v>1408</v>
      </c>
      <c r="C53" s="2471">
        <f>0.5*(SUM(L9:L42))</f>
        <v>0.007277354936395458</v>
      </c>
      <c r="D53" s="433" t="s">
        <v>869</v>
      </c>
      <c r="E53" s="492"/>
      <c r="F53" s="492"/>
      <c r="G53" s="492"/>
      <c r="K53" s="492"/>
      <c r="L53" s="492"/>
      <c r="O53" s="492"/>
      <c r="P53" s="492"/>
    </row>
    <row r="54" spans="2:16" ht="12.75">
      <c r="B54" s="753" t="s">
        <v>1411</v>
      </c>
      <c r="C54" s="1402">
        <f>SUM(P9:P42)</f>
        <v>0.00010479041916167665</v>
      </c>
      <c r="D54" s="205" t="s">
        <v>569</v>
      </c>
      <c r="E54" s="492"/>
      <c r="F54" s="492"/>
      <c r="G54" s="492"/>
      <c r="K54" s="492"/>
      <c r="L54" s="492"/>
      <c r="O54" s="492"/>
      <c r="P54" s="492"/>
    </row>
    <row r="55" spans="2:16" ht="12.75">
      <c r="B55" s="753"/>
      <c r="C55" s="1832"/>
      <c r="D55" s="492"/>
      <c r="E55" s="492"/>
      <c r="F55" s="492"/>
      <c r="G55" s="493"/>
      <c r="K55" s="492"/>
      <c r="L55" s="492"/>
      <c r="O55" s="492"/>
      <c r="P55" s="492"/>
    </row>
    <row r="56" spans="2:16" ht="12.75">
      <c r="B56" s="753"/>
      <c r="C56" s="1832"/>
      <c r="D56" s="492"/>
      <c r="E56" s="492"/>
      <c r="F56" s="492"/>
      <c r="G56" s="493">
        <f>C61/C45</f>
        <v>0.0006321650857096144</v>
      </c>
      <c r="K56" s="492"/>
      <c r="L56" s="492"/>
      <c r="O56" s="492"/>
      <c r="P56" s="492"/>
    </row>
    <row r="57" spans="2:16" ht="12.75">
      <c r="B57" s="753" t="s">
        <v>1415</v>
      </c>
      <c r="C57" s="754">
        <f>C39+C40+C38+SUM(C37:C37)+C36+SUM(C9:C32)+C34</f>
        <v>520.45</v>
      </c>
      <c r="E57" s="215" t="s">
        <v>177</v>
      </c>
      <c r="F57" s="492"/>
      <c r="G57" s="492"/>
      <c r="H57" s="492"/>
      <c r="I57" s="493"/>
      <c r="J57" s="492"/>
      <c r="K57" s="492"/>
      <c r="L57" s="492"/>
      <c r="O57" s="492"/>
      <c r="P57" s="492"/>
    </row>
    <row r="58" spans="2:16" ht="12.75">
      <c r="B58" s="205" t="s">
        <v>1225</v>
      </c>
      <c r="C58" s="746">
        <f>J16*J39*(1/(1-'{c}Report'!D69))^2</f>
        <v>0</v>
      </c>
      <c r="D58" s="205"/>
      <c r="E58" s="755">
        <v>0.00019</v>
      </c>
      <c r="F58" s="492"/>
      <c r="G58" s="492"/>
      <c r="H58" s="492"/>
      <c r="I58" s="493"/>
      <c r="J58" s="492"/>
      <c r="K58" s="492"/>
      <c r="L58" s="492"/>
      <c r="O58" s="492"/>
      <c r="P58" s="492"/>
    </row>
    <row r="59" spans="6:16" ht="12.75">
      <c r="F59" s="495"/>
      <c r="G59" s="492"/>
      <c r="H59" s="492" t="s">
        <v>1734</v>
      </c>
      <c r="I59" s="492"/>
      <c r="J59" s="492"/>
      <c r="K59" s="492"/>
      <c r="L59" s="493"/>
      <c r="O59" s="492"/>
      <c r="P59" s="492"/>
    </row>
    <row r="60" spans="2:16" ht="12.75">
      <c r="B60" s="205" t="s">
        <v>1730</v>
      </c>
      <c r="C60" s="207">
        <f>SUM(C9:C39)/(SUM(J9:J42)*1000)</f>
        <v>35.816180998068106</v>
      </c>
      <c r="D60" s="492"/>
      <c r="E60" s="492"/>
      <c r="F60" s="492"/>
      <c r="G60" s="492"/>
      <c r="H60" s="492"/>
      <c r="I60" s="492"/>
      <c r="M60" s="492"/>
      <c r="N60" s="492"/>
      <c r="O60" s="492"/>
      <c r="P60" s="492"/>
    </row>
    <row r="61" spans="2:17" ht="12.75">
      <c r="B61" s="205" t="s">
        <v>1414</v>
      </c>
      <c r="C61" s="746">
        <f>SUM(J9:J42)</f>
        <v>0.01453979697132113</v>
      </c>
      <c r="D61" s="205" t="s">
        <v>1416</v>
      </c>
      <c r="E61" s="492"/>
      <c r="F61" s="492"/>
      <c r="G61" s="492"/>
      <c r="H61" s="492"/>
      <c r="I61" s="492"/>
      <c r="M61" s="492"/>
      <c r="N61" s="492"/>
      <c r="O61" s="492" t="s">
        <v>1459</v>
      </c>
      <c r="P61" s="492">
        <f>0.472+0.0002+0.0108</f>
        <v>0.48299999999999993</v>
      </c>
      <c r="Q61" s="492">
        <f>P61*1000*23</f>
        <v>11108.999999999998</v>
      </c>
    </row>
    <row r="62" spans="2:17" ht="12.75">
      <c r="B62" s="753" t="s">
        <v>1413</v>
      </c>
      <c r="C62" s="1404">
        <f>SUM(Q9:Q40)</f>
        <v>5.239520958083832E-05</v>
      </c>
      <c r="D62" s="205" t="s">
        <v>1416</v>
      </c>
      <c r="E62" s="492"/>
      <c r="F62" s="492"/>
      <c r="G62" s="492"/>
      <c r="H62" s="492"/>
      <c r="I62" s="492"/>
      <c r="M62" s="492"/>
      <c r="N62" s="492"/>
      <c r="O62" s="492"/>
      <c r="P62" s="492"/>
      <c r="Q62" s="492"/>
    </row>
    <row r="63" spans="2:17" ht="12.75">
      <c r="B63" s="205" t="s">
        <v>179</v>
      </c>
      <c r="C63" s="207">
        <f>(J39*2+J38*3+J37+J36+J34+J31+J32*2)/SUM(J31:J40)</f>
        <v>0.9773171194760153</v>
      </c>
      <c r="D63"/>
      <c r="E63" s="492"/>
      <c r="F63" s="492"/>
      <c r="G63" s="492"/>
      <c r="H63" s="492"/>
      <c r="I63" s="492"/>
      <c r="M63" s="492"/>
      <c r="N63" s="492"/>
      <c r="O63" s="492" t="s">
        <v>498</v>
      </c>
      <c r="P63" s="492">
        <f>0.0483+0.00036+0.00561</f>
        <v>0.05427</v>
      </c>
      <c r="Q63" s="492">
        <f>P63*24.31*1000</f>
        <v>1319.3037</v>
      </c>
    </row>
    <row r="64" spans="2:17" ht="12.75">
      <c r="B64" s="205" t="s">
        <v>180</v>
      </c>
      <c r="C64" s="207">
        <f>(SUM(J9:J11)*3+SUM(J12:J26)*2+J27*4+SUM(J28:J30))/SUM(J9:J30)</f>
        <v>1.1500921866827627</v>
      </c>
      <c r="D64"/>
      <c r="E64" s="492"/>
      <c r="F64" s="492"/>
      <c r="G64" s="492"/>
      <c r="H64" s="492"/>
      <c r="I64" s="492"/>
      <c r="M64" s="492"/>
      <c r="N64" s="492"/>
      <c r="O64" s="492" t="s">
        <v>499</v>
      </c>
      <c r="P64" s="492">
        <f>0.00143+0.00115</f>
        <v>0.00258</v>
      </c>
      <c r="Q64" s="492">
        <f>P64*40.08*1000</f>
        <v>103.40639999999999</v>
      </c>
    </row>
    <row r="65" spans="2:17" ht="12.75">
      <c r="B65" s="205" t="s">
        <v>1733</v>
      </c>
      <c r="C65" s="756">
        <f>0.5091*C64*C63*((SQRT(C53)/(1+SQRT(C53)))-0.2*C53)</f>
        <v>0.04414566538819876</v>
      </c>
      <c r="D65" s="492"/>
      <c r="E65" s="492"/>
      <c r="F65" s="492"/>
      <c r="G65" s="492"/>
      <c r="H65" s="492"/>
      <c r="I65" s="492"/>
      <c r="M65" s="492"/>
      <c r="N65" s="492"/>
      <c r="O65" s="492" t="s">
        <v>1457</v>
      </c>
      <c r="P65" s="492">
        <f>0.0114+0.0108+0.00012+0.00115+0.00561</f>
        <v>0.029079999999999998</v>
      </c>
      <c r="Q65" s="492">
        <f>P65*96*1000</f>
        <v>2791.68</v>
      </c>
    </row>
    <row r="66" spans="2:17" ht="12.75">
      <c r="B66" s="205" t="s">
        <v>1751</v>
      </c>
      <c r="C66" s="207">
        <f>C61*8.314*298.15*10^C65</f>
        <v>39.89779012447575</v>
      </c>
      <c r="O66" s="492" t="s">
        <v>1458</v>
      </c>
      <c r="P66" s="492">
        <f>0.00143+0.00036+0.0002</f>
        <v>0.00199</v>
      </c>
      <c r="Q66" s="492">
        <f>P66*61*1000</f>
        <v>121.39</v>
      </c>
    </row>
    <row r="67" spans="2:17" ht="12.75">
      <c r="B67" s="205"/>
      <c r="C67" s="207"/>
      <c r="O67" s="492"/>
      <c r="P67" s="492"/>
      <c r="Q67" s="492"/>
    </row>
    <row r="68" spans="16:17" ht="25.5">
      <c r="P68" s="496" t="s">
        <v>1732</v>
      </c>
      <c r="Q68" s="493">
        <f>K34+K36+K37+K38</f>
        <v>0.004231311706629055</v>
      </c>
    </row>
    <row r="69" ht="12.75">
      <c r="B69" s="492" t="s">
        <v>181</v>
      </c>
    </row>
    <row r="71" spans="1:4" ht="12.75">
      <c r="A71" s="205" t="s">
        <v>1129</v>
      </c>
      <c r="B71" s="205" t="s">
        <v>1128</v>
      </c>
      <c r="C71" s="747">
        <f>M33+M31+M41-(10^-(14-C41)*100*1000/17)</f>
        <v>313.06008434335854</v>
      </c>
      <c r="D71" s="210" t="s">
        <v>184</v>
      </c>
    </row>
    <row r="72" spans="1:4" ht="12.75">
      <c r="A72" s="205"/>
      <c r="B72" s="205" t="s">
        <v>1127</v>
      </c>
      <c r="C72" s="747">
        <f>(10^-(14-C41)*100*1000/17)+M32+M31-M41</f>
        <v>296.3311228101437</v>
      </c>
      <c r="D72" s="210" t="s">
        <v>183</v>
      </c>
    </row>
    <row r="73" spans="1:4" ht="12.75">
      <c r="A73" s="205" t="s">
        <v>1130</v>
      </c>
      <c r="B73" s="205"/>
      <c r="C73" s="747">
        <f>C72-M16</f>
        <v>291.09160185205985</v>
      </c>
      <c r="D73" s="210" t="s">
        <v>182</v>
      </c>
    </row>
    <row r="85" s="336" customFormat="1" ht="12.75"/>
  </sheetData>
  <mergeCells count="3">
    <mergeCell ref="A40:A46"/>
    <mergeCell ref="A9:A30"/>
    <mergeCell ref="A31:A39"/>
  </mergeCells>
  <printOptions horizontalCentered="1" verticalCentered="1"/>
  <pageMargins left="0.5" right="0.5" top="0.75" bottom="0.75" header="0.5" footer="0.5"/>
  <pageSetup fitToHeight="1" fitToWidth="1" horizontalDpi="300" verticalDpi="300" orientation="landscape" scale="84" r:id="rId1"/>
  <headerFooter alignWithMargins="0">
    <oddHeader>&amp;C&amp;A</oddHeader>
    <oddFooter>&amp;LWater Treatment Cost Estimation Program&amp;RPage &amp;P</oddFooter>
  </headerFooter>
</worksheet>
</file>

<file path=xl/worksheets/sheet13.xml><?xml version="1.0" encoding="utf-8"?>
<worksheet xmlns="http://schemas.openxmlformats.org/spreadsheetml/2006/main" xmlns:r="http://schemas.openxmlformats.org/officeDocument/2006/relationships">
  <sheetPr codeName="Sheet5">
    <pageSetUpPr fitToPage="1"/>
  </sheetPr>
  <dimension ref="A1:AE65"/>
  <sheetViews>
    <sheetView view="pageBreakPreview" zoomScaleSheetLayoutView="100" workbookViewId="0" topLeftCell="F7">
      <selection activeCell="J32" sqref="J32"/>
    </sheetView>
  </sheetViews>
  <sheetFormatPr defaultColWidth="9.140625" defaultRowHeight="12.75"/>
  <cols>
    <col min="1" max="1" width="33.7109375" style="108" customWidth="1"/>
    <col min="2" max="2" width="12.140625" style="108" bestFit="1" customWidth="1"/>
    <col min="3" max="3" width="17.421875" style="108" bestFit="1" customWidth="1"/>
    <col min="4" max="4" width="6.421875" style="108" customWidth="1"/>
    <col min="5" max="5" width="7.421875" style="108" bestFit="1" customWidth="1"/>
    <col min="6" max="7" width="10.421875" style="108" bestFit="1" customWidth="1"/>
    <col min="8" max="8" width="30.57421875" style="108" customWidth="1"/>
    <col min="9" max="9" width="16.140625" style="108" bestFit="1" customWidth="1"/>
    <col min="10" max="10" width="16.00390625" style="4" customWidth="1"/>
    <col min="11" max="11" width="12.28125" style="108" customWidth="1"/>
    <col min="12" max="12" width="4.28125" style="108" customWidth="1"/>
    <col min="13" max="14" width="10.421875" style="108" bestFit="1" customWidth="1"/>
    <col min="15" max="15" width="22.7109375" style="108" customWidth="1"/>
    <col min="16" max="16" width="9.140625" style="108" customWidth="1"/>
    <col min="17" max="17" width="19.8515625" style="108" customWidth="1"/>
    <col min="18" max="18" width="9.140625" style="108" customWidth="1"/>
    <col min="19" max="19" width="27.7109375" style="108" bestFit="1" customWidth="1"/>
    <col min="20" max="20" width="19.00390625" style="108" bestFit="1" customWidth="1"/>
    <col min="21" max="21" width="18.8515625" style="108" bestFit="1" customWidth="1"/>
    <col min="22" max="22" width="20.28125" style="108" bestFit="1" customWidth="1"/>
    <col min="23" max="23" width="21.140625" style="108" bestFit="1" customWidth="1"/>
    <col min="24" max="24" width="21.140625" style="108" customWidth="1"/>
    <col min="25" max="25" width="28.8515625" style="108" bestFit="1" customWidth="1"/>
    <col min="26" max="26" width="23.140625" style="108" bestFit="1" customWidth="1"/>
    <col min="27" max="27" width="20.00390625" style="108" bestFit="1" customWidth="1"/>
    <col min="28" max="28" width="14.421875" style="108" bestFit="1" customWidth="1"/>
    <col min="29" max="16384" width="9.140625" style="108"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spans="1:10" s="527" customFormat="1" ht="15.75">
      <c r="A3" s="152"/>
      <c r="B3" s="525"/>
      <c r="C3" s="526"/>
      <c r="J3" s="227"/>
    </row>
    <row r="4" spans="1:11" ht="18">
      <c r="A4" s="395" t="s">
        <v>850</v>
      </c>
      <c r="I4" s="108">
        <f>I17/7/3/10</f>
        <v>95.9</v>
      </c>
      <c r="J4" s="4">
        <f>82*7</f>
        <v>574</v>
      </c>
      <c r="K4" s="108">
        <f>I17/J4</f>
        <v>35.08536585365854</v>
      </c>
    </row>
    <row r="5" s="528" customFormat="1" ht="15">
      <c r="J5" s="529">
        <f>2000000*3.785/1000</f>
        <v>7570</v>
      </c>
    </row>
    <row r="6" spans="1:29" ht="16.5" thickBot="1">
      <c r="A6" s="400" t="s">
        <v>91</v>
      </c>
      <c r="B6" s="401"/>
      <c r="C6" s="401"/>
      <c r="D6" s="401"/>
      <c r="E6" s="401"/>
      <c r="F6" s="401"/>
      <c r="G6" s="401"/>
      <c r="H6" s="400" t="s">
        <v>92</v>
      </c>
      <c r="I6" s="402"/>
      <c r="J6" s="402"/>
      <c r="K6" s="401"/>
      <c r="L6" s="401"/>
      <c r="M6" s="401"/>
      <c r="N6" s="401"/>
      <c r="O6" s="400" t="s">
        <v>93</v>
      </c>
      <c r="P6" s="115"/>
      <c r="Q6" s="115"/>
      <c r="S6" s="420"/>
      <c r="T6" s="420"/>
      <c r="U6" s="420"/>
      <c r="V6" s="420"/>
      <c r="W6" s="420"/>
      <c r="X6" s="420"/>
      <c r="Y6" s="420"/>
      <c r="Z6" s="420"/>
      <c r="AA6" s="406"/>
      <c r="AB6" s="406"/>
      <c r="AC6" s="406"/>
    </row>
    <row r="7" spans="1:29" ht="15.75">
      <c r="A7" s="1504"/>
      <c r="B7" s="529"/>
      <c r="C7" s="529"/>
      <c r="D7" s="529"/>
      <c r="E7" s="1540"/>
      <c r="F7" s="2536" t="s">
        <v>1786</v>
      </c>
      <c r="G7" s="2535"/>
      <c r="H7" s="1504"/>
      <c r="I7" s="1505"/>
      <c r="J7" s="1505"/>
      <c r="K7" s="529"/>
      <c r="L7" s="529"/>
      <c r="M7" s="2534" t="s">
        <v>1786</v>
      </c>
      <c r="N7" s="2535"/>
      <c r="O7" s="1504"/>
      <c r="P7" s="4"/>
      <c r="Q7" s="4"/>
      <c r="S7" s="420"/>
      <c r="T7" s="420"/>
      <c r="U7" s="420"/>
      <c r="V7" s="420"/>
      <c r="W7" s="420"/>
      <c r="X7" s="420"/>
      <c r="Y7" s="420"/>
      <c r="Z7" s="420"/>
      <c r="AA7" s="406"/>
      <c r="AB7" s="406"/>
      <c r="AC7" s="406"/>
    </row>
    <row r="8" spans="1:29" ht="16.5" thickBot="1">
      <c r="A8" s="1535"/>
      <c r="B8" s="1537"/>
      <c r="C8" s="1537"/>
      <c r="D8" s="1537"/>
      <c r="E8" s="1538"/>
      <c r="F8" s="1539" t="s">
        <v>1785</v>
      </c>
      <c r="G8" s="865" t="s">
        <v>177</v>
      </c>
      <c r="H8" s="1535"/>
      <c r="I8" s="1536"/>
      <c r="J8" s="1536"/>
      <c r="K8" s="1537"/>
      <c r="L8" s="1538"/>
      <c r="M8" s="834" t="s">
        <v>1785</v>
      </c>
      <c r="N8" s="865" t="s">
        <v>177</v>
      </c>
      <c r="O8" s="1504"/>
      <c r="P8" s="4"/>
      <c r="Q8" s="4"/>
      <c r="S8" s="420"/>
      <c r="T8" s="420"/>
      <c r="U8" s="420"/>
      <c r="V8" s="420"/>
      <c r="W8" s="420"/>
      <c r="X8" s="420"/>
      <c r="Y8" s="420"/>
      <c r="Z8" s="420"/>
      <c r="AA8" s="406"/>
      <c r="AB8" s="406"/>
      <c r="AC8" s="406"/>
    </row>
    <row r="9" spans="1:29" ht="15.75" thickTop="1">
      <c r="A9" s="1548" t="s">
        <v>673</v>
      </c>
      <c r="B9" s="1531"/>
      <c r="C9" s="1531"/>
      <c r="D9" s="1531"/>
      <c r="E9" s="1532"/>
      <c r="F9" s="623"/>
      <c r="G9" s="623"/>
      <c r="H9" s="1529" t="s">
        <v>672</v>
      </c>
      <c r="I9" s="1530"/>
      <c r="J9" s="1530"/>
      <c r="K9" s="1531"/>
      <c r="L9" s="1532"/>
      <c r="M9" s="1533"/>
      <c r="N9" s="1534"/>
      <c r="O9" s="1523"/>
      <c r="P9" s="534"/>
      <c r="Q9" s="556"/>
      <c r="S9" s="420"/>
      <c r="T9" s="420"/>
      <c r="U9" s="420"/>
      <c r="V9" s="647"/>
      <c r="W9" s="647"/>
      <c r="X9" s="647"/>
      <c r="Y9" s="647"/>
      <c r="Z9" s="647"/>
      <c r="AA9" s="645"/>
      <c r="AB9" s="647"/>
      <c r="AC9" s="406"/>
    </row>
    <row r="10" spans="1:30" ht="14.25">
      <c r="A10" s="539"/>
      <c r="B10" s="624"/>
      <c r="C10" s="536"/>
      <c r="D10" s="541"/>
      <c r="E10" s="1508"/>
      <c r="F10" s="1503"/>
      <c r="G10" s="1503"/>
      <c r="H10" s="535" t="s">
        <v>101</v>
      </c>
      <c r="I10" s="573">
        <f>IF(B18="Y",B12-B25,B12)*3600*24/1000</f>
        <v>342665.6804733728</v>
      </c>
      <c r="J10" s="536" t="s">
        <v>102</v>
      </c>
      <c r="K10" s="574">
        <f>I10*1000/3.785</f>
        <v>90532544.37869823</v>
      </c>
      <c r="L10" s="1506" t="s">
        <v>103</v>
      </c>
      <c r="M10" s="1507"/>
      <c r="N10" s="538"/>
      <c r="O10" s="554" t="s">
        <v>104</v>
      </c>
      <c r="P10" s="536">
        <f>Power</f>
        <v>0.07</v>
      </c>
      <c r="Q10" s="559" t="s">
        <v>105</v>
      </c>
      <c r="S10" s="420"/>
      <c r="T10" s="420"/>
      <c r="U10" s="420"/>
      <c r="V10" s="647"/>
      <c r="W10" s="647"/>
      <c r="X10" s="647"/>
      <c r="Y10" s="647"/>
      <c r="Z10" s="647"/>
      <c r="AA10" s="645"/>
      <c r="AB10" s="648"/>
      <c r="AC10" s="406"/>
      <c r="AD10" s="111"/>
    </row>
    <row r="11" spans="1:29" ht="14.25">
      <c r="A11" s="553" t="s">
        <v>25</v>
      </c>
      <c r="B11" s="1495">
        <f>IF(B18="y",B12+B25,'{b}Capacity'!B32)</f>
        <v>4795.53610563226</v>
      </c>
      <c r="C11" s="554" t="s">
        <v>99</v>
      </c>
      <c r="D11" s="537">
        <f>B11/3.785*60</f>
        <v>76019.06640368179</v>
      </c>
      <c r="E11" s="1506" t="s">
        <v>100</v>
      </c>
      <c r="F11" s="1573"/>
      <c r="G11" s="1572"/>
      <c r="H11" s="535" t="s">
        <v>107</v>
      </c>
      <c r="I11" s="573">
        <f>IF(B18="Y",B25*3600*24/1000,0)</f>
        <v>35834.31952662722</v>
      </c>
      <c r="J11" s="536" t="s">
        <v>102</v>
      </c>
      <c r="K11" s="574">
        <f>I11*1000/3.785</f>
        <v>9467455.621301776</v>
      </c>
      <c r="L11" s="1506" t="s">
        <v>103</v>
      </c>
      <c r="M11" s="1507"/>
      <c r="N11" s="538"/>
      <c r="O11" s="1524" t="s">
        <v>108</v>
      </c>
      <c r="P11" s="582"/>
      <c r="Q11" s="559"/>
      <c r="S11" s="420"/>
      <c r="T11" s="420"/>
      <c r="U11" s="420"/>
      <c r="V11" s="647"/>
      <c r="W11" s="647"/>
      <c r="X11" s="647"/>
      <c r="Y11" s="647"/>
      <c r="Z11" s="647"/>
      <c r="AA11" s="645"/>
      <c r="AB11" s="649"/>
      <c r="AC11" s="406"/>
    </row>
    <row r="12" spans="1:29" ht="14.25">
      <c r="A12" s="553" t="s">
        <v>405</v>
      </c>
      <c r="B12" s="1495">
        <f>'{b}Capacity'!B18</f>
        <v>4380.787037037037</v>
      </c>
      <c r="C12" s="554" t="s">
        <v>99</v>
      </c>
      <c r="D12" s="537">
        <f>B12/3.785*60</f>
        <v>69444.44444444444</v>
      </c>
      <c r="E12" s="1506" t="s">
        <v>100</v>
      </c>
      <c r="F12" s="1494"/>
      <c r="G12" s="1494"/>
      <c r="H12" s="535" t="s">
        <v>109</v>
      </c>
      <c r="I12" s="573">
        <f>I10+I11</f>
        <v>378500</v>
      </c>
      <c r="J12" s="536" t="s">
        <v>102</v>
      </c>
      <c r="K12" s="574">
        <f>I12*1000/3.785</f>
        <v>100000000</v>
      </c>
      <c r="L12" s="1506" t="s">
        <v>103</v>
      </c>
      <c r="M12" s="1507"/>
      <c r="N12" s="538"/>
      <c r="O12" s="1500" t="s">
        <v>1004</v>
      </c>
      <c r="P12" s="118">
        <v>0.14</v>
      </c>
      <c r="Q12" s="616" t="s">
        <v>98</v>
      </c>
      <c r="S12" s="420"/>
      <c r="T12" s="420"/>
      <c r="U12" s="420"/>
      <c r="V12" s="420"/>
      <c r="W12" s="420"/>
      <c r="X12" s="420"/>
      <c r="Y12" s="420"/>
      <c r="Z12" s="420"/>
      <c r="AA12" s="406"/>
      <c r="AB12" s="406"/>
      <c r="AC12" s="406"/>
    </row>
    <row r="13" spans="1:29" ht="15.75">
      <c r="A13" s="539" t="s">
        <v>876</v>
      </c>
      <c r="B13" s="555">
        <f>'{e}H20 Analysis'!C43</f>
        <v>500</v>
      </c>
      <c r="C13" s="536" t="s">
        <v>1692</v>
      </c>
      <c r="D13" s="541"/>
      <c r="E13" s="1508"/>
      <c r="F13" s="1493"/>
      <c r="G13" s="1493"/>
      <c r="H13" s="539" t="s">
        <v>655</v>
      </c>
      <c r="I13" s="575">
        <f>'{bb}Rejection'!C20*'{f}RO&amp;NF Input'!B32*'{f}RO&amp;NF Input'!B50*1000*'{f}RO&amp;NF Input'!B56*86400</f>
        <v>17.01671359258652</v>
      </c>
      <c r="J13" s="536" t="s">
        <v>102</v>
      </c>
      <c r="K13" s="574">
        <f>I13*1000/3.785</f>
        <v>4495.829218649014</v>
      </c>
      <c r="L13" s="1506" t="s">
        <v>103</v>
      </c>
      <c r="M13" s="1507"/>
      <c r="N13" s="538"/>
      <c r="O13" s="1499" t="s">
        <v>116</v>
      </c>
      <c r="P13" s="116">
        <v>23.7</v>
      </c>
      <c r="Q13" s="616" t="s">
        <v>98</v>
      </c>
      <c r="S13" s="420"/>
      <c r="T13" s="420"/>
      <c r="U13" s="420"/>
      <c r="V13" s="420"/>
      <c r="W13" s="420"/>
      <c r="X13" s="420"/>
      <c r="Y13" s="420"/>
      <c r="Z13" s="420"/>
      <c r="AA13" s="406"/>
      <c r="AB13" s="406"/>
      <c r="AC13" s="406"/>
    </row>
    <row r="14" spans="1:31" ht="14.25">
      <c r="A14" s="539" t="s">
        <v>1510</v>
      </c>
      <c r="B14" s="536">
        <f>'{c}Report'!D70</f>
        <v>50</v>
      </c>
      <c r="C14" s="536" t="s">
        <v>1692</v>
      </c>
      <c r="D14" s="541"/>
      <c r="E14" s="1508"/>
      <c r="F14" s="1493"/>
      <c r="G14" s="1493"/>
      <c r="H14" s="576" t="s">
        <v>845</v>
      </c>
      <c r="I14" s="577">
        <f>I13/B32</f>
        <v>0.459911178178014</v>
      </c>
      <c r="J14" s="541" t="s">
        <v>853</v>
      </c>
      <c r="K14" s="2396">
        <f>I14*(264.17205/1)*(1/10.76391)</f>
        <v>11.287318340380144</v>
      </c>
      <c r="L14" s="1508" t="s">
        <v>844</v>
      </c>
      <c r="M14" s="1509"/>
      <c r="N14" s="542"/>
      <c r="O14" s="1499" t="s">
        <v>119</v>
      </c>
      <c r="P14" s="116">
        <f>90/5</f>
        <v>18</v>
      </c>
      <c r="Q14" s="616" t="s">
        <v>120</v>
      </c>
      <c r="S14" s="2537" t="s">
        <v>1016</v>
      </c>
      <c r="T14" s="2537"/>
      <c r="U14" s="2537"/>
      <c r="V14" s="2537"/>
      <c r="W14" s="2537"/>
      <c r="X14" s="2537"/>
      <c r="Y14" s="2537"/>
      <c r="Z14" s="2537"/>
      <c r="AA14" s="2537"/>
      <c r="AB14" s="2537"/>
      <c r="AC14" s="406"/>
      <c r="AD14" s="2389"/>
      <c r="AE14" s="2389"/>
    </row>
    <row r="15" spans="1:31" ht="12.75">
      <c r="A15" s="539" t="s">
        <v>1511</v>
      </c>
      <c r="B15" s="543">
        <f>1-B16</f>
        <v>0.9963964277022448</v>
      </c>
      <c r="C15" s="544" t="s">
        <v>114</v>
      </c>
      <c r="D15" s="541"/>
      <c r="E15" s="1508"/>
      <c r="F15" s="1493"/>
      <c r="G15" s="1493"/>
      <c r="H15" s="576" t="s">
        <v>656</v>
      </c>
      <c r="I15" s="610">
        <f>I10/I13</f>
        <v>20137.00698486564</v>
      </c>
      <c r="J15" s="541" t="s">
        <v>388</v>
      </c>
      <c r="K15" s="574"/>
      <c r="L15" s="1506"/>
      <c r="M15" s="1507"/>
      <c r="N15" s="538"/>
      <c r="O15" s="1525" t="s">
        <v>125</v>
      </c>
      <c r="P15" s="116">
        <v>3</v>
      </c>
      <c r="Q15" s="617" t="s">
        <v>126</v>
      </c>
      <c r="S15" s="646" t="s">
        <v>1275</v>
      </c>
      <c r="T15" s="2391"/>
      <c r="U15" s="2391"/>
      <c r="V15" s="2391"/>
      <c r="W15" s="2391"/>
      <c r="X15" s="2392">
        <v>38254</v>
      </c>
      <c r="Y15" s="2392">
        <v>38254</v>
      </c>
      <c r="Z15" s="2391"/>
      <c r="AA15" s="2391"/>
      <c r="AB15" s="2391"/>
      <c r="AC15" s="2391"/>
      <c r="AD15" s="2391"/>
      <c r="AE15" s="2391"/>
    </row>
    <row r="16" spans="1:31" ht="12.75">
      <c r="A16" s="539" t="s">
        <v>1512</v>
      </c>
      <c r="B16" s="543">
        <f>'{e}H20 Analysis'!C62/'{e}H20 Analysis'!C61</f>
        <v>0.0036035722977552373</v>
      </c>
      <c r="C16" s="544" t="s">
        <v>114</v>
      </c>
      <c r="D16" s="541"/>
      <c r="E16" s="1508"/>
      <c r="F16" s="1493"/>
      <c r="G16" s="1493"/>
      <c r="H16" s="553" t="s">
        <v>657</v>
      </c>
      <c r="I16" s="116">
        <v>7</v>
      </c>
      <c r="J16" s="609" t="s">
        <v>658</v>
      </c>
      <c r="K16" s="578"/>
      <c r="L16" s="1510"/>
      <c r="M16" s="1511"/>
      <c r="N16" s="579"/>
      <c r="O16" s="565" t="s">
        <v>128</v>
      </c>
      <c r="P16" s="603">
        <f>ROUNDUP(B15*D36+B16*D37,3)</f>
        <v>0.996</v>
      </c>
      <c r="Q16" s="615"/>
      <c r="S16" s="646" t="s">
        <v>1272</v>
      </c>
      <c r="T16" s="650"/>
      <c r="U16" s="650"/>
      <c r="V16" s="650"/>
      <c r="W16" s="650"/>
      <c r="X16" s="2390" t="s">
        <v>1271</v>
      </c>
      <c r="Y16" s="2390" t="s">
        <v>1271</v>
      </c>
      <c r="Z16" s="650"/>
      <c r="AA16" s="650"/>
      <c r="AB16" s="650"/>
      <c r="AC16" s="650"/>
      <c r="AD16" s="650"/>
      <c r="AE16" s="650"/>
    </row>
    <row r="17" spans="1:31" ht="12.75">
      <c r="A17" s="539" t="s">
        <v>1407</v>
      </c>
      <c r="B17" s="543">
        <f>'{e}H20 Analysis'!C60</f>
        <v>35.816180998068106</v>
      </c>
      <c r="C17" s="1497" t="s">
        <v>1754</v>
      </c>
      <c r="D17" s="541"/>
      <c r="E17" s="1508"/>
      <c r="F17" s="1493"/>
      <c r="G17" s="1493"/>
      <c r="H17" s="539" t="s">
        <v>656</v>
      </c>
      <c r="I17" s="555">
        <f>ROUNDUP((I10/I13)/(3*I16),0)*(3*I16)</f>
        <v>20139</v>
      </c>
      <c r="J17" s="544" t="s">
        <v>388</v>
      </c>
      <c r="K17" s="536"/>
      <c r="L17" s="1512"/>
      <c r="M17" s="1513"/>
      <c r="N17" s="580"/>
      <c r="O17" s="565" t="s">
        <v>130</v>
      </c>
      <c r="P17" s="569">
        <f>'{bb}Rejection'!AZ34</f>
        <v>0.9955920745439663</v>
      </c>
      <c r="Q17" s="615" t="s">
        <v>1009</v>
      </c>
      <c r="S17" s="646" t="s">
        <v>1263</v>
      </c>
      <c r="T17" s="2385" t="s">
        <v>1262</v>
      </c>
      <c r="U17" s="2385" t="s">
        <v>1262</v>
      </c>
      <c r="V17" s="2386" t="s">
        <v>1266</v>
      </c>
      <c r="W17" s="2386" t="s">
        <v>1270</v>
      </c>
      <c r="X17" s="2386" t="s">
        <v>1270</v>
      </c>
      <c r="Y17" s="2386" t="s">
        <v>1270</v>
      </c>
      <c r="Z17" s="2387" t="s">
        <v>1268</v>
      </c>
      <c r="AA17" s="2387" t="s">
        <v>1126</v>
      </c>
      <c r="AB17" s="2387" t="s">
        <v>1464</v>
      </c>
      <c r="AC17" s="2388"/>
      <c r="AD17" s="646" t="s">
        <v>628</v>
      </c>
      <c r="AE17" s="646" t="s">
        <v>630</v>
      </c>
    </row>
    <row r="18" spans="1:31" ht="12.75">
      <c r="A18" s="535" t="s">
        <v>121</v>
      </c>
      <c r="B18" s="545" t="str">
        <f>'{c}Report'!D71</f>
        <v>Y</v>
      </c>
      <c r="C18" s="541" t="s">
        <v>172</v>
      </c>
      <c r="D18" s="541"/>
      <c r="E18" s="1508"/>
      <c r="F18" s="1493"/>
      <c r="G18" s="1493"/>
      <c r="H18" s="535" t="s">
        <v>123</v>
      </c>
      <c r="I18" s="611">
        <f>I17/I16</f>
        <v>2877</v>
      </c>
      <c r="J18" s="536" t="s">
        <v>124</v>
      </c>
      <c r="K18" s="536"/>
      <c r="L18" s="1510"/>
      <c r="M18" s="1511"/>
      <c r="N18" s="579"/>
      <c r="O18" s="565" t="s">
        <v>1011</v>
      </c>
      <c r="P18" s="592">
        <f>'{bb}Rejection'!AZ45</f>
        <v>0.9955920745439663</v>
      </c>
      <c r="Q18" s="558" t="s">
        <v>1010</v>
      </c>
      <c r="S18" s="646" t="s">
        <v>1264</v>
      </c>
      <c r="T18" s="2385" t="s">
        <v>1265</v>
      </c>
      <c r="U18" s="2385" t="s">
        <v>1261</v>
      </c>
      <c r="V18" s="2386" t="s">
        <v>1267</v>
      </c>
      <c r="W18" s="2386" t="s">
        <v>1015</v>
      </c>
      <c r="X18" s="2386" t="s">
        <v>1273</v>
      </c>
      <c r="Y18" s="2386" t="s">
        <v>1280</v>
      </c>
      <c r="Z18" s="2387" t="s">
        <v>1269</v>
      </c>
      <c r="AA18" s="2387" t="s">
        <v>1126</v>
      </c>
      <c r="AB18" s="2387" t="s">
        <v>1464</v>
      </c>
      <c r="AC18" s="2388"/>
      <c r="AD18" s="650"/>
      <c r="AE18" s="650"/>
    </row>
    <row r="19" spans="1:31" ht="14.25">
      <c r="A19" s="539" t="s">
        <v>122</v>
      </c>
      <c r="B19" s="543">
        <f>'{c}Report'!D69</f>
        <v>0.85</v>
      </c>
      <c r="C19" s="544" t="s">
        <v>114</v>
      </c>
      <c r="D19" s="541"/>
      <c r="E19" s="1508"/>
      <c r="F19" s="1493"/>
      <c r="G19" s="1493"/>
      <c r="H19" s="553" t="s">
        <v>118</v>
      </c>
      <c r="I19" s="116">
        <v>60</v>
      </c>
      <c r="J19" s="565" t="s">
        <v>826</v>
      </c>
      <c r="K19" s="578"/>
      <c r="L19" s="1510"/>
      <c r="M19" s="1511"/>
      <c r="N19" s="579"/>
      <c r="O19" s="1526" t="s">
        <v>135</v>
      </c>
      <c r="P19" s="618">
        <f>B31</f>
        <v>23</v>
      </c>
      <c r="Q19" s="614" t="s">
        <v>136</v>
      </c>
      <c r="S19" s="2381" t="s">
        <v>1274</v>
      </c>
      <c r="T19" s="2381">
        <v>20.32</v>
      </c>
      <c r="U19" s="2381">
        <v>20.32</v>
      </c>
      <c r="V19" s="2382">
        <v>20.32</v>
      </c>
      <c r="W19" s="2382">
        <v>20.32</v>
      </c>
      <c r="X19" s="2382">
        <v>10.16</v>
      </c>
      <c r="Y19" s="2382">
        <v>20.32</v>
      </c>
      <c r="Z19" s="2383">
        <v>20.32</v>
      </c>
      <c r="AA19" s="2383">
        <f>2.54*6</f>
        <v>15.24</v>
      </c>
      <c r="AB19" s="2383">
        <v>20.2</v>
      </c>
      <c r="AC19" s="406"/>
      <c r="AD19" s="2384"/>
      <c r="AE19" s="2384"/>
    </row>
    <row r="20" spans="1:31" ht="12.75">
      <c r="A20" s="539" t="s">
        <v>127</v>
      </c>
      <c r="B20" s="540">
        <f>B13*(1-D36)/B19</f>
        <v>2.941176470588238</v>
      </c>
      <c r="C20" s="544" t="s">
        <v>1692</v>
      </c>
      <c r="D20" s="541"/>
      <c r="E20" s="1508"/>
      <c r="F20" s="1493"/>
      <c r="G20" s="1493"/>
      <c r="H20" s="553" t="s">
        <v>1282</v>
      </c>
      <c r="I20" s="2403"/>
      <c r="J20" s="565" t="s">
        <v>825</v>
      </c>
      <c r="K20" s="578"/>
      <c r="L20" s="1510"/>
      <c r="M20" s="1511"/>
      <c r="N20" s="579"/>
      <c r="O20" s="1499" t="s">
        <v>138</v>
      </c>
      <c r="P20" s="116">
        <v>6</v>
      </c>
      <c r="Q20" s="616" t="s">
        <v>139</v>
      </c>
      <c r="S20" s="651" t="s">
        <v>1279</v>
      </c>
      <c r="T20" s="651">
        <v>40</v>
      </c>
      <c r="U20" s="651">
        <v>23</v>
      </c>
      <c r="V20" s="652">
        <v>41.6</v>
      </c>
      <c r="W20" s="652">
        <v>32.2</v>
      </c>
      <c r="X20" s="652">
        <v>7.6</v>
      </c>
      <c r="Y20" s="652">
        <v>45.4</v>
      </c>
      <c r="Z20" s="651">
        <v>60.5</v>
      </c>
      <c r="AA20" s="651">
        <v>8</v>
      </c>
      <c r="AB20" s="651">
        <v>23.5</v>
      </c>
      <c r="AC20" s="406"/>
      <c r="AD20" s="650"/>
      <c r="AE20" s="650"/>
    </row>
    <row r="21" spans="1:31" ht="12.75">
      <c r="A21" s="539" t="s">
        <v>129</v>
      </c>
      <c r="B21" s="546">
        <f>B22*B19</f>
        <v>3966.037968441815</v>
      </c>
      <c r="C21" s="544" t="s">
        <v>99</v>
      </c>
      <c r="D21" s="537">
        <f>B21/3.785*60</f>
        <v>62869.8224852071</v>
      </c>
      <c r="E21" s="1506" t="s">
        <v>100</v>
      </c>
      <c r="F21" s="1492"/>
      <c r="G21" s="1492"/>
      <c r="H21" s="539" t="s">
        <v>1283</v>
      </c>
      <c r="I21" s="612">
        <f>IF(I20&gt;=1,I20,MAX(1,MAX(ROUNDUP(I18/I19,1),INT(I10/7570))))</f>
        <v>48</v>
      </c>
      <c r="J21" s="544" t="s">
        <v>825</v>
      </c>
      <c r="K21" s="2404"/>
      <c r="L21" s="1510"/>
      <c r="M21" s="1511"/>
      <c r="N21" s="579"/>
      <c r="O21" s="1499" t="s">
        <v>141</v>
      </c>
      <c r="P21" s="116">
        <v>30</v>
      </c>
      <c r="Q21" s="616"/>
      <c r="S21" s="651" t="s">
        <v>1276</v>
      </c>
      <c r="T21" s="651">
        <v>37</v>
      </c>
      <c r="U21" s="651">
        <v>27.7</v>
      </c>
      <c r="V21" s="652">
        <v>37.2</v>
      </c>
      <c r="W21" s="652">
        <v>30.7</v>
      </c>
      <c r="X21" s="652">
        <v>7.2</v>
      </c>
      <c r="Y21" s="652">
        <v>37.2</v>
      </c>
      <c r="Z21" s="651">
        <v>1810</v>
      </c>
      <c r="AA21" s="653">
        <f>150*AB21</f>
        <v>4389</v>
      </c>
      <c r="AB21" s="651">
        <v>29.26</v>
      </c>
      <c r="AC21" s="406"/>
      <c r="AD21" s="650"/>
      <c r="AE21" s="650"/>
    </row>
    <row r="22" spans="1:31" ht="13.5" thickBot="1">
      <c r="A22" s="539" t="s">
        <v>22</v>
      </c>
      <c r="B22" s="546">
        <f>(B12-B25)/B19</f>
        <v>4665.927021696253</v>
      </c>
      <c r="C22" s="544" t="s">
        <v>99</v>
      </c>
      <c r="D22" s="537">
        <f>B22/3.785*60</f>
        <v>73964.49704142012</v>
      </c>
      <c r="E22" s="1506" t="s">
        <v>100</v>
      </c>
      <c r="F22" s="1494"/>
      <c r="G22" s="1494"/>
      <c r="H22" s="535" t="s">
        <v>122</v>
      </c>
      <c r="I22" s="543">
        <f>B19</f>
        <v>0.85</v>
      </c>
      <c r="J22" s="544" t="s">
        <v>114</v>
      </c>
      <c r="K22" s="581"/>
      <c r="L22" s="1512"/>
      <c r="M22" s="1555"/>
      <c r="N22" s="1556"/>
      <c r="O22" s="554" t="s">
        <v>145</v>
      </c>
      <c r="P22" s="567">
        <f>ENR_Labor</f>
        <v>29.05</v>
      </c>
      <c r="Q22" s="559" t="s">
        <v>146</v>
      </c>
      <c r="S22" s="651" t="s">
        <v>1278</v>
      </c>
      <c r="T22" s="651">
        <v>1550</v>
      </c>
      <c r="U22" s="651">
        <v>5500</v>
      </c>
      <c r="V22" s="652">
        <v>1550</v>
      </c>
      <c r="W22" s="652">
        <v>1550</v>
      </c>
      <c r="X22" s="652">
        <v>552</v>
      </c>
      <c r="Y22" s="652">
        <v>380</v>
      </c>
      <c r="Z22" s="651">
        <v>6890</v>
      </c>
      <c r="AA22" s="651">
        <v>5500</v>
      </c>
      <c r="AB22" s="651">
        <v>5500</v>
      </c>
      <c r="AC22" s="406"/>
      <c r="AD22" s="650"/>
      <c r="AE22" s="650"/>
    </row>
    <row r="23" spans="1:31" ht="14.25">
      <c r="A23" s="535" t="s">
        <v>133</v>
      </c>
      <c r="B23" s="540">
        <f>B13*D36/(1-B19)</f>
        <v>3316.666666666666</v>
      </c>
      <c r="C23" s="544" t="s">
        <v>1692</v>
      </c>
      <c r="D23" s="541"/>
      <c r="E23" s="1508"/>
      <c r="F23" s="1493"/>
      <c r="G23" s="1493"/>
      <c r="H23" s="583" t="s">
        <v>149</v>
      </c>
      <c r="I23" s="608">
        <f>0.0013*K10/10.764</f>
        <v>10933.882171340365</v>
      </c>
      <c r="J23" s="534" t="s">
        <v>143</v>
      </c>
      <c r="K23" s="584">
        <f>I23*10.764</f>
        <v>117692.30769230769</v>
      </c>
      <c r="L23" s="1514" t="s">
        <v>817</v>
      </c>
      <c r="M23" s="1553"/>
      <c r="N23" s="1554"/>
      <c r="O23" s="554" t="s">
        <v>156</v>
      </c>
      <c r="P23" s="536">
        <f>Years</f>
        <v>30</v>
      </c>
      <c r="Q23" s="559" t="s">
        <v>126</v>
      </c>
      <c r="S23" s="654" t="s">
        <v>170</v>
      </c>
      <c r="T23" s="651">
        <v>2000</v>
      </c>
      <c r="U23" s="651">
        <v>35000</v>
      </c>
      <c r="V23" s="652">
        <v>1500</v>
      </c>
      <c r="W23" s="652">
        <v>2000</v>
      </c>
      <c r="X23" s="652">
        <v>850</v>
      </c>
      <c r="Y23" s="652">
        <v>2000</v>
      </c>
      <c r="Z23" s="651">
        <v>35000</v>
      </c>
      <c r="AA23" s="651">
        <v>19000</v>
      </c>
      <c r="AB23" s="651">
        <v>32000</v>
      </c>
      <c r="AC23" s="406"/>
      <c r="AD23" s="650"/>
      <c r="AE23" s="650"/>
    </row>
    <row r="24" spans="1:31" ht="15" thickBot="1">
      <c r="A24" s="539" t="s">
        <v>1214</v>
      </c>
      <c r="B24" s="546">
        <f>B22*(1-B19)</f>
        <v>699.8890532544381</v>
      </c>
      <c r="C24" s="544" t="s">
        <v>99</v>
      </c>
      <c r="D24" s="537">
        <f>B24/3.785*60</f>
        <v>11094.67455621302</v>
      </c>
      <c r="E24" s="1506" t="s">
        <v>100</v>
      </c>
      <c r="F24" s="1492"/>
      <c r="G24" s="1492"/>
      <c r="H24" s="552" t="s">
        <v>142</v>
      </c>
      <c r="I24" s="116">
        <v>100</v>
      </c>
      <c r="J24" s="554" t="s">
        <v>143</v>
      </c>
      <c r="K24" s="585">
        <f>I24*10.764</f>
        <v>1076.3999999999999</v>
      </c>
      <c r="L24" s="1512" t="s">
        <v>144</v>
      </c>
      <c r="M24" s="1513"/>
      <c r="N24" s="580"/>
      <c r="O24" s="1527" t="s">
        <v>1762</v>
      </c>
      <c r="P24" s="563">
        <f>Interest</f>
        <v>6</v>
      </c>
      <c r="Q24" s="551" t="s">
        <v>132</v>
      </c>
      <c r="S24" s="651" t="s">
        <v>173</v>
      </c>
      <c r="T24" s="651">
        <v>58.44</v>
      </c>
      <c r="U24" s="651">
        <v>58.44</v>
      </c>
      <c r="V24" s="652">
        <v>58.4</v>
      </c>
      <c r="W24" s="652">
        <v>58.4</v>
      </c>
      <c r="X24" s="652">
        <v>58.4</v>
      </c>
      <c r="Y24" s="652">
        <v>58.4</v>
      </c>
      <c r="Z24" s="651">
        <v>58.44</v>
      </c>
      <c r="AA24" s="651">
        <v>58.44</v>
      </c>
      <c r="AB24" s="651">
        <v>58.44</v>
      </c>
      <c r="AC24" s="406"/>
      <c r="AD24" s="650">
        <v>90</v>
      </c>
      <c r="AE24" s="650">
        <v>99</v>
      </c>
    </row>
    <row r="25" spans="1:31" ht="12.75">
      <c r="A25" s="535" t="s">
        <v>137</v>
      </c>
      <c r="B25" s="543">
        <f>IF(OR(B18="N",B12*(B14-B20)/(B13-B20)&lt;0),0,B12*(B14-B20)/(B13-B20))</f>
        <v>414.74906859522247</v>
      </c>
      <c r="C25" s="544" t="s">
        <v>99</v>
      </c>
      <c r="D25" s="537">
        <f>B25/3.785*60</f>
        <v>6574.6219592373445</v>
      </c>
      <c r="E25" s="1506" t="s">
        <v>100</v>
      </c>
      <c r="F25" s="1492"/>
      <c r="G25" s="1492"/>
      <c r="H25" s="552" t="s">
        <v>171</v>
      </c>
      <c r="I25" s="404" t="s">
        <v>1052</v>
      </c>
      <c r="J25" s="554" t="s">
        <v>172</v>
      </c>
      <c r="K25" s="578"/>
      <c r="L25" s="1510"/>
      <c r="M25" s="1511"/>
      <c r="N25" s="579"/>
      <c r="S25" s="651" t="s">
        <v>131</v>
      </c>
      <c r="T25" s="652">
        <v>99.5</v>
      </c>
      <c r="U25" s="651">
        <v>99.1</v>
      </c>
      <c r="V25" s="652">
        <v>99</v>
      </c>
      <c r="W25" s="652">
        <v>99.7</v>
      </c>
      <c r="X25" s="652">
        <v>85</v>
      </c>
      <c r="Y25" s="2395">
        <v>20</v>
      </c>
      <c r="Z25" s="652">
        <v>99.1</v>
      </c>
      <c r="AA25" s="651">
        <v>99</v>
      </c>
      <c r="AB25" s="651">
        <v>99.2</v>
      </c>
      <c r="AC25" s="406"/>
      <c r="AD25" s="646">
        <v>95</v>
      </c>
      <c r="AE25" s="650">
        <v>99.5</v>
      </c>
    </row>
    <row r="26" spans="1:31" ht="13.5" thickBot="1">
      <c r="A26" s="547" t="s">
        <v>140</v>
      </c>
      <c r="B26" s="548">
        <f>B25/B12*100</f>
        <v>9.467455621301776</v>
      </c>
      <c r="C26" s="549" t="s">
        <v>132</v>
      </c>
      <c r="D26" s="550"/>
      <c r="E26" s="1541"/>
      <c r="F26" s="1549"/>
      <c r="G26" s="1550"/>
      <c r="H26" s="552" t="s">
        <v>152</v>
      </c>
      <c r="I26" s="644">
        <v>0.7</v>
      </c>
      <c r="J26" s="565" t="s">
        <v>1131</v>
      </c>
      <c r="K26" s="578"/>
      <c r="L26" s="1510"/>
      <c r="M26" s="1559"/>
      <c r="N26" s="1560"/>
      <c r="P26" s="4"/>
      <c r="Q26" s="4"/>
      <c r="S26" s="651" t="s">
        <v>134</v>
      </c>
      <c r="T26" s="652">
        <v>99.8</v>
      </c>
      <c r="U26" s="651">
        <v>99.8</v>
      </c>
      <c r="V26" s="652">
        <v>99.8</v>
      </c>
      <c r="W26" s="652">
        <v>99.9</v>
      </c>
      <c r="X26" s="652">
        <v>98.5</v>
      </c>
      <c r="Y26" s="652">
        <v>97</v>
      </c>
      <c r="Z26" s="652">
        <v>99.8</v>
      </c>
      <c r="AA26" s="651">
        <v>99</v>
      </c>
      <c r="AB26" s="651">
        <v>99.8</v>
      </c>
      <c r="AC26" s="406"/>
      <c r="AD26" s="650"/>
      <c r="AE26" s="650"/>
    </row>
    <row r="27" spans="1:31" ht="12.75">
      <c r="A27" s="622" t="s">
        <v>675</v>
      </c>
      <c r="B27" s="4"/>
      <c r="C27" s="4"/>
      <c r="D27" s="621"/>
      <c r="E27" s="1542"/>
      <c r="F27" s="621"/>
      <c r="G27" s="621"/>
      <c r="H27" s="607" t="s">
        <v>521</v>
      </c>
      <c r="I27" s="403" t="s">
        <v>1206</v>
      </c>
      <c r="J27" s="606" t="s">
        <v>172</v>
      </c>
      <c r="K27" s="586"/>
      <c r="L27" s="1515"/>
      <c r="M27" s="1557"/>
      <c r="N27" s="1558"/>
      <c r="O27" s="4"/>
      <c r="P27" s="4"/>
      <c r="Q27" s="120"/>
      <c r="S27" s="651" t="s">
        <v>122</v>
      </c>
      <c r="T27" s="651">
        <v>15</v>
      </c>
      <c r="U27" s="651">
        <v>10</v>
      </c>
      <c r="V27" s="652">
        <v>15</v>
      </c>
      <c r="W27" s="652">
        <v>10</v>
      </c>
      <c r="X27" s="652">
        <v>15</v>
      </c>
      <c r="Y27" s="652">
        <v>15</v>
      </c>
      <c r="Z27" s="651">
        <v>35</v>
      </c>
      <c r="AA27" s="651">
        <v>8</v>
      </c>
      <c r="AB27" s="651">
        <v>10</v>
      </c>
      <c r="AC27" s="406"/>
      <c r="AD27" s="650"/>
      <c r="AE27" s="650"/>
    </row>
    <row r="28" spans="1:31" ht="12.75">
      <c r="A28" s="553" t="s">
        <v>1263</v>
      </c>
      <c r="B28" s="2393" t="s">
        <v>1262</v>
      </c>
      <c r="C28" s="2394"/>
      <c r="D28" s="554"/>
      <c r="E28" s="1543"/>
      <c r="F28" s="1499"/>
      <c r="G28" s="1499"/>
      <c r="H28" s="553" t="s">
        <v>851</v>
      </c>
      <c r="I28" s="604" t="s">
        <v>1133</v>
      </c>
      <c r="J28" s="600" t="s">
        <v>1141</v>
      </c>
      <c r="K28" s="587"/>
      <c r="L28" s="1516"/>
      <c r="M28" s="1517"/>
      <c r="N28" s="588"/>
      <c r="O28" s="4"/>
      <c r="P28" s="4"/>
      <c r="Q28" s="4"/>
      <c r="S28" s="655" t="s">
        <v>1277</v>
      </c>
      <c r="T28" s="655">
        <v>25</v>
      </c>
      <c r="U28" s="655">
        <v>25</v>
      </c>
      <c r="V28" s="656">
        <v>25</v>
      </c>
      <c r="W28" s="656">
        <v>25</v>
      </c>
      <c r="X28" s="656">
        <v>25</v>
      </c>
      <c r="Y28" s="656">
        <v>25</v>
      </c>
      <c r="Z28" s="655">
        <v>25</v>
      </c>
      <c r="AA28" s="655">
        <v>25</v>
      </c>
      <c r="AB28" s="655">
        <v>25</v>
      </c>
      <c r="AD28" s="114" t="s">
        <v>629</v>
      </c>
      <c r="AE28" s="114" t="s">
        <v>629</v>
      </c>
    </row>
    <row r="29" spans="1:17" ht="12.75">
      <c r="A29" s="553" t="s">
        <v>1264</v>
      </c>
      <c r="B29" s="2357" t="s">
        <v>1265</v>
      </c>
      <c r="C29" s="2358"/>
      <c r="D29" s="554"/>
      <c r="E29" s="1543"/>
      <c r="F29" s="1499"/>
      <c r="G29" s="1499"/>
      <c r="H29" s="553" t="s">
        <v>158</v>
      </c>
      <c r="I29" s="117">
        <v>4</v>
      </c>
      <c r="J29" s="554" t="s">
        <v>159</v>
      </c>
      <c r="K29" s="589">
        <f>I29/0.3048</f>
        <v>13.123359580052492</v>
      </c>
      <c r="L29" s="1512" t="s">
        <v>160</v>
      </c>
      <c r="M29" s="2405"/>
      <c r="N29" s="580"/>
      <c r="O29" s="326"/>
      <c r="P29" s="4"/>
      <c r="Q29" s="4"/>
    </row>
    <row r="30" spans="1:18" ht="12.75">
      <c r="A30" s="552" t="s">
        <v>111</v>
      </c>
      <c r="B30" s="1496">
        <v>20.32</v>
      </c>
      <c r="C30" s="568" t="s">
        <v>112</v>
      </c>
      <c r="D30" s="557">
        <f>B30*0.3937</f>
        <v>7.999984</v>
      </c>
      <c r="E30" s="1506" t="s">
        <v>113</v>
      </c>
      <c r="F30" s="1492"/>
      <c r="G30" s="1492"/>
      <c r="H30" s="553" t="s">
        <v>1177</v>
      </c>
      <c r="I30" s="118">
        <v>0.954</v>
      </c>
      <c r="J30" s="554"/>
      <c r="K30" s="590"/>
      <c r="L30" s="1512"/>
      <c r="M30" s="2405"/>
      <c r="N30" s="580"/>
      <c r="O30" s="326"/>
      <c r="P30" s="4"/>
      <c r="Q30" s="4"/>
      <c r="R30" s="4"/>
    </row>
    <row r="31" spans="1:25" ht="14.25">
      <c r="A31" s="553" t="s">
        <v>135</v>
      </c>
      <c r="B31" s="117">
        <v>23</v>
      </c>
      <c r="C31" s="554" t="s">
        <v>102</v>
      </c>
      <c r="D31" s="546">
        <f>B31*0.264172051</f>
        <v>6.075957173000001</v>
      </c>
      <c r="E31" s="1544" t="s">
        <v>709</v>
      </c>
      <c r="F31" s="1500"/>
      <c r="G31" s="1500"/>
      <c r="H31" s="553" t="s">
        <v>1178</v>
      </c>
      <c r="I31" s="118">
        <v>0.9</v>
      </c>
      <c r="J31" s="554"/>
      <c r="K31" s="590"/>
      <c r="L31" s="1512"/>
      <c r="M31" s="1513"/>
      <c r="N31" s="580"/>
      <c r="O31" s="112"/>
      <c r="P31" s="4"/>
      <c r="Q31" s="4"/>
      <c r="R31" s="4"/>
      <c r="S31" s="657"/>
      <c r="T31" s="658" t="s">
        <v>94</v>
      </c>
      <c r="U31" s="657"/>
      <c r="V31" s="657" t="s">
        <v>95</v>
      </c>
      <c r="W31" s="657"/>
      <c r="X31" s="2380"/>
      <c r="Y31" s="2380"/>
    </row>
    <row r="32" spans="1:25" ht="14.25">
      <c r="A32" s="553" t="s">
        <v>942</v>
      </c>
      <c r="B32" s="117">
        <v>37</v>
      </c>
      <c r="C32" s="565" t="s">
        <v>143</v>
      </c>
      <c r="D32" s="540">
        <f>B32*10.7639104</f>
        <v>398.2646848</v>
      </c>
      <c r="E32" s="1544" t="s">
        <v>144</v>
      </c>
      <c r="F32" s="1500"/>
      <c r="G32" s="1500"/>
      <c r="H32" s="553" t="s">
        <v>1179</v>
      </c>
      <c r="I32" s="118">
        <v>1</v>
      </c>
      <c r="J32" s="554"/>
      <c r="K32" s="578"/>
      <c r="L32" s="1510"/>
      <c r="M32" s="1513"/>
      <c r="N32" s="580"/>
      <c r="O32" s="4"/>
      <c r="P32" s="4"/>
      <c r="Q32" s="4"/>
      <c r="R32" s="4"/>
      <c r="S32" s="659" t="s">
        <v>96</v>
      </c>
      <c r="T32" s="658">
        <v>1.84</v>
      </c>
      <c r="U32" s="658" t="s">
        <v>97</v>
      </c>
      <c r="V32" s="657">
        <v>0.11</v>
      </c>
      <c r="W32" s="657" t="s">
        <v>98</v>
      </c>
      <c r="X32" s="2380"/>
      <c r="Y32" s="2380"/>
    </row>
    <row r="33" spans="1:25" ht="15.75">
      <c r="A33" s="553" t="s">
        <v>169</v>
      </c>
      <c r="B33" s="117">
        <v>1550</v>
      </c>
      <c r="C33" s="565" t="s">
        <v>147</v>
      </c>
      <c r="D33" s="540">
        <f>B33*(1/6.894757)</f>
        <v>224.80850304078882</v>
      </c>
      <c r="E33" s="1544" t="s">
        <v>148</v>
      </c>
      <c r="F33" s="1500"/>
      <c r="G33" s="1500"/>
      <c r="H33" s="553" t="s">
        <v>1180</v>
      </c>
      <c r="I33" s="117">
        <v>21</v>
      </c>
      <c r="J33" s="554"/>
      <c r="K33" s="578"/>
      <c r="L33" s="1510"/>
      <c r="M33" s="1511"/>
      <c r="N33" s="579"/>
      <c r="O33" s="4"/>
      <c r="P33" s="111"/>
      <c r="R33" s="4"/>
      <c r="S33" s="659" t="s">
        <v>106</v>
      </c>
      <c r="T33" s="658">
        <v>2.13</v>
      </c>
      <c r="U33" s="658" t="s">
        <v>97</v>
      </c>
      <c r="V33" s="657"/>
      <c r="W33" s="657"/>
      <c r="X33" s="2380"/>
      <c r="Y33" s="2380"/>
    </row>
    <row r="34" spans="1:25" ht="12.75">
      <c r="A34" s="564" t="s">
        <v>170</v>
      </c>
      <c r="B34" s="117">
        <v>1500</v>
      </c>
      <c r="C34" s="565" t="s">
        <v>1692</v>
      </c>
      <c r="D34" s="536"/>
      <c r="E34" s="1543"/>
      <c r="F34" s="1499"/>
      <c r="G34" s="1499"/>
      <c r="H34" s="539" t="s">
        <v>1181</v>
      </c>
      <c r="I34" s="555">
        <f>B58</f>
        <v>1542.4682168324734</v>
      </c>
      <c r="J34" s="536" t="s">
        <v>147</v>
      </c>
      <c r="K34" s="591">
        <f>I34/101.3*14.7</f>
        <v>223.83299888881896</v>
      </c>
      <c r="L34" s="1506" t="s">
        <v>148</v>
      </c>
      <c r="M34" s="1511"/>
      <c r="N34" s="579"/>
      <c r="O34" s="4"/>
      <c r="P34" s="111"/>
      <c r="R34" s="4"/>
      <c r="S34" s="659" t="s">
        <v>90</v>
      </c>
      <c r="T34" s="658">
        <v>1.3</v>
      </c>
      <c r="U34" s="658" t="s">
        <v>97</v>
      </c>
      <c r="V34" s="657"/>
      <c r="W34" s="657"/>
      <c r="X34" s="2380"/>
      <c r="Y34" s="2380"/>
    </row>
    <row r="35" spans="1:25" ht="14.25">
      <c r="A35" s="553" t="s">
        <v>173</v>
      </c>
      <c r="B35" s="117">
        <v>58.4</v>
      </c>
      <c r="C35" s="565" t="s">
        <v>196</v>
      </c>
      <c r="D35" s="582"/>
      <c r="E35" s="1543"/>
      <c r="F35" s="1499"/>
      <c r="G35" s="1499"/>
      <c r="H35" s="539" t="s">
        <v>1056</v>
      </c>
      <c r="I35" s="592">
        <f>'{b}Capacity'!B32/(1000*I33)</f>
        <v>0.24542224297126258</v>
      </c>
      <c r="J35" s="536" t="s">
        <v>168</v>
      </c>
      <c r="K35" s="585">
        <f>I35/0.003785*60</f>
        <v>3890.445066915655</v>
      </c>
      <c r="L35" s="1512" t="s">
        <v>100</v>
      </c>
      <c r="M35" s="1507"/>
      <c r="N35" s="538"/>
      <c r="O35" s="4"/>
      <c r="P35" s="111"/>
      <c r="R35" s="4"/>
      <c r="S35" s="659" t="s">
        <v>110</v>
      </c>
      <c r="T35" s="658">
        <v>1</v>
      </c>
      <c r="U35" s="658" t="s">
        <v>97</v>
      </c>
      <c r="V35" s="657"/>
      <c r="W35" s="657"/>
      <c r="X35" s="2380"/>
      <c r="Y35" s="2380"/>
    </row>
    <row r="36" spans="1:25" ht="15.75">
      <c r="A36" s="553" t="s">
        <v>131</v>
      </c>
      <c r="B36" s="2456">
        <v>99.5</v>
      </c>
      <c r="C36" s="1500" t="s">
        <v>132</v>
      </c>
      <c r="D36" s="592">
        <f>(B36/100)</f>
        <v>0.995</v>
      </c>
      <c r="E36" s="1634" t="s">
        <v>1792</v>
      </c>
      <c r="F36" s="1499"/>
      <c r="G36" s="1499"/>
      <c r="H36" s="539" t="s">
        <v>1184</v>
      </c>
      <c r="I36" s="592">
        <f>I35/2.5</f>
        <v>0.09816889718850504</v>
      </c>
      <c r="J36" s="544" t="s">
        <v>143</v>
      </c>
      <c r="K36" s="590">
        <f>I36*3.28084^2*12^2</f>
        <v>152.16210470474695</v>
      </c>
      <c r="L36" s="1512" t="s">
        <v>573</v>
      </c>
      <c r="M36" s="1518"/>
      <c r="N36" s="1528"/>
      <c r="O36" s="4"/>
      <c r="P36" s="4"/>
      <c r="Q36" s="4"/>
      <c r="R36" s="4"/>
      <c r="S36" s="659" t="s">
        <v>627</v>
      </c>
      <c r="T36" s="658">
        <v>1.7</v>
      </c>
      <c r="U36" s="658" t="s">
        <v>97</v>
      </c>
      <c r="V36" s="657"/>
      <c r="W36" s="657"/>
      <c r="X36" s="2380"/>
      <c r="Y36" s="2380"/>
    </row>
    <row r="37" spans="1:26" ht="13.5" thickBot="1">
      <c r="A37" s="553" t="s">
        <v>134</v>
      </c>
      <c r="B37" s="2456">
        <v>99.8</v>
      </c>
      <c r="C37" s="1500" t="s">
        <v>132</v>
      </c>
      <c r="D37" s="592">
        <f>(B37/100)</f>
        <v>0.998</v>
      </c>
      <c r="E37" s="1634" t="s">
        <v>1792</v>
      </c>
      <c r="F37" s="1499"/>
      <c r="G37" s="1499"/>
      <c r="H37" s="539" t="s">
        <v>818</v>
      </c>
      <c r="I37" s="548">
        <f>(I29*9.81+(I35/I36)^2/2+(I34-206))*(1-I40)*I35*1000/(746*I30*I31*I32^-1)</f>
        <v>528.3186557178419</v>
      </c>
      <c r="J37" s="544" t="s">
        <v>153</v>
      </c>
      <c r="K37" s="585"/>
      <c r="L37" s="1512"/>
      <c r="M37" s="1574"/>
      <c r="N37" s="1575"/>
      <c r="O37" s="1410"/>
      <c r="P37" s="4"/>
      <c r="Q37" s="4"/>
      <c r="R37" s="4"/>
      <c r="S37" s="659"/>
      <c r="T37" s="658"/>
      <c r="U37" s="658"/>
      <c r="V37" s="657"/>
      <c r="W37" s="657"/>
      <c r="X37" s="2380"/>
      <c r="Y37" s="2380"/>
      <c r="Z37" s="6"/>
    </row>
    <row r="38" spans="1:26" ht="13.5" thickBot="1">
      <c r="A38" s="553" t="s">
        <v>122</v>
      </c>
      <c r="B38" s="117">
        <v>10</v>
      </c>
      <c r="C38" s="565" t="s">
        <v>132</v>
      </c>
      <c r="D38" s="567"/>
      <c r="E38" s="1543"/>
      <c r="F38" s="1499"/>
      <c r="G38" s="1499"/>
      <c r="H38" s="607" t="s">
        <v>1176</v>
      </c>
      <c r="I38" s="403" t="s">
        <v>454</v>
      </c>
      <c r="J38" s="606" t="s">
        <v>172</v>
      </c>
      <c r="K38" s="584"/>
      <c r="L38" s="1514"/>
      <c r="M38" s="1576" t="str">
        <f>IF(I28="VST",3,IF(I28="CSS",3,IF(I28="SST",3,"error")))</f>
        <v>error</v>
      </c>
      <c r="N38" s="1577" t="str">
        <f>IF(I28="VST",500,IF(I28="CSS",350,IF(I28="SST",300,"error")))</f>
        <v>error</v>
      </c>
      <c r="O38" s="4"/>
      <c r="P38" s="4"/>
      <c r="Q38" s="4"/>
      <c r="R38" s="4"/>
      <c r="S38" s="660" t="s">
        <v>117</v>
      </c>
      <c r="T38" s="657"/>
      <c r="U38" s="657"/>
      <c r="V38" s="661">
        <f>125*2.2/2000</f>
        <v>0.1375</v>
      </c>
      <c r="W38" s="657" t="s">
        <v>98</v>
      </c>
      <c r="X38" s="2380"/>
      <c r="Y38" s="2380"/>
      <c r="Z38" s="6"/>
    </row>
    <row r="39" spans="1:18" ht="14.25">
      <c r="A39" s="553" t="s">
        <v>197</v>
      </c>
      <c r="B39" s="117">
        <v>25</v>
      </c>
      <c r="C39" s="566" t="s">
        <v>198</v>
      </c>
      <c r="D39" s="536">
        <f>(9/5)*B39+32</f>
        <v>77</v>
      </c>
      <c r="E39" s="1545" t="s">
        <v>683</v>
      </c>
      <c r="F39" s="1501"/>
      <c r="G39" s="1501"/>
      <c r="H39" s="553" t="s">
        <v>1182</v>
      </c>
      <c r="I39" s="118">
        <v>0.6</v>
      </c>
      <c r="J39" s="565"/>
      <c r="K39" s="585"/>
      <c r="L39" s="1512"/>
      <c r="M39" s="1553"/>
      <c r="N39" s="1554"/>
      <c r="O39" s="112"/>
      <c r="R39" s="4"/>
    </row>
    <row r="40" spans="1:18" ht="13.5" thickBot="1">
      <c r="A40" s="539" t="s">
        <v>199</v>
      </c>
      <c r="B40" s="567">
        <v>0.99</v>
      </c>
      <c r="C40" s="536"/>
      <c r="D40" s="536"/>
      <c r="E40" s="1543"/>
      <c r="F40" s="1499"/>
      <c r="G40" s="1499"/>
      <c r="H40" s="2407" t="s">
        <v>1182</v>
      </c>
      <c r="I40" s="1692">
        <f>IF(I38="N",0,IF(I38="Y",EREff,"error"))</f>
        <v>0</v>
      </c>
      <c r="J40" s="2406" t="s">
        <v>1124</v>
      </c>
      <c r="K40" s="1688"/>
      <c r="L40" s="1689"/>
      <c r="M40" s="1555"/>
      <c r="N40" s="1556"/>
      <c r="O40" s="112"/>
      <c r="R40" s="4"/>
    </row>
    <row r="41" spans="1:18" ht="12.75">
      <c r="A41" s="539"/>
      <c r="B41" s="567"/>
      <c r="C41" s="536"/>
      <c r="D41" s="536"/>
      <c r="E41" s="1543"/>
      <c r="F41" s="621"/>
      <c r="G41" s="621"/>
      <c r="H41" s="605" t="s">
        <v>1183</v>
      </c>
      <c r="I41" s="403" t="s">
        <v>1206</v>
      </c>
      <c r="J41" s="606" t="s">
        <v>172</v>
      </c>
      <c r="K41" s="584"/>
      <c r="L41" s="1514"/>
      <c r="M41" s="1690"/>
      <c r="N41" s="1691"/>
      <c r="O41" s="4"/>
      <c r="R41" s="4"/>
    </row>
    <row r="42" spans="1:18" ht="15.75">
      <c r="A42" s="539" t="s">
        <v>201</v>
      </c>
      <c r="B42" s="540">
        <f>B34/B35</f>
        <v>25.684931506849317</v>
      </c>
      <c r="C42" s="1498" t="s">
        <v>151</v>
      </c>
      <c r="D42" s="536"/>
      <c r="E42" s="1543"/>
      <c r="F42" s="621"/>
      <c r="G42" s="621"/>
      <c r="H42" s="553" t="s">
        <v>851</v>
      </c>
      <c r="I42" s="604" t="s">
        <v>872</v>
      </c>
      <c r="J42" s="600" t="s">
        <v>1142</v>
      </c>
      <c r="K42" s="587"/>
      <c r="L42" s="1516"/>
      <c r="M42" s="1553"/>
      <c r="N42" s="1554"/>
      <c r="O42" s="112"/>
      <c r="R42" s="4"/>
    </row>
    <row r="43" spans="1:18" ht="15.75">
      <c r="A43" s="539" t="s">
        <v>154</v>
      </c>
      <c r="B43" s="543">
        <f>B42*(1-D36)</f>
        <v>0.1284246575342467</v>
      </c>
      <c r="C43" s="1498" t="s">
        <v>151</v>
      </c>
      <c r="D43" s="536"/>
      <c r="E43" s="1543"/>
      <c r="F43" s="1499"/>
      <c r="G43" s="1499"/>
      <c r="H43" s="553" t="s">
        <v>158</v>
      </c>
      <c r="I43" s="117">
        <v>2</v>
      </c>
      <c r="J43" s="554" t="s">
        <v>159</v>
      </c>
      <c r="K43" s="589">
        <f>I43/0.3048</f>
        <v>6.561679790026246</v>
      </c>
      <c r="L43" s="1512" t="s">
        <v>160</v>
      </c>
      <c r="M43" s="1517"/>
      <c r="N43" s="588"/>
      <c r="O43" s="112"/>
      <c r="R43" s="4"/>
    </row>
    <row r="44" spans="1:15" ht="14.25">
      <c r="A44" s="539" t="s">
        <v>157</v>
      </c>
      <c r="B44" s="540">
        <f>(B42-B43*B38/100)/(1-B38/100)</f>
        <v>28.524543378995432</v>
      </c>
      <c r="C44" s="1498" t="s">
        <v>151</v>
      </c>
      <c r="D44" s="536"/>
      <c r="E44" s="1543"/>
      <c r="F44" s="1499"/>
      <c r="G44" s="1499"/>
      <c r="H44" s="553" t="s">
        <v>1177</v>
      </c>
      <c r="I44" s="118">
        <v>0.94</v>
      </c>
      <c r="J44" s="554"/>
      <c r="K44" s="590"/>
      <c r="L44" s="1512"/>
      <c r="M44" s="1513"/>
      <c r="N44" s="580"/>
      <c r="O44" s="112"/>
    </row>
    <row r="45" spans="1:15" ht="15.75">
      <c r="A45" s="539" t="s">
        <v>1001</v>
      </c>
      <c r="B45" s="540">
        <f>(B42+B44)/2</f>
        <v>27.104737442922374</v>
      </c>
      <c r="C45" s="1498" t="s">
        <v>151</v>
      </c>
      <c r="D45" s="536"/>
      <c r="E45" s="1543"/>
      <c r="F45" s="1499"/>
      <c r="G45" s="1499"/>
      <c r="H45" s="553" t="s">
        <v>1178</v>
      </c>
      <c r="I45" s="118">
        <v>0.75</v>
      </c>
      <c r="J45" s="554"/>
      <c r="K45" s="590"/>
      <c r="L45" s="1512"/>
      <c r="M45" s="1513"/>
      <c r="N45" s="580"/>
      <c r="O45" s="4"/>
    </row>
    <row r="46" spans="1:15" ht="12.75">
      <c r="A46" s="539" t="s">
        <v>202</v>
      </c>
      <c r="B46" s="540">
        <f>B40*2*8.314*(273.15+B39)*(B45-B43)*(1-P17)/((1-P16)*1000)</f>
        <v>145.90388723959802</v>
      </c>
      <c r="C46" s="544" t="s">
        <v>163</v>
      </c>
      <c r="D46" s="540">
        <f>B46/101.3*14.7</f>
        <v>21.172627269714617</v>
      </c>
      <c r="E46" s="1544" t="s">
        <v>148</v>
      </c>
      <c r="F46" s="1500"/>
      <c r="G46" s="1500"/>
      <c r="H46" s="553" t="s">
        <v>1179</v>
      </c>
      <c r="I46" s="118">
        <v>1</v>
      </c>
      <c r="J46" s="554"/>
      <c r="K46" s="578"/>
      <c r="L46" s="1510"/>
      <c r="M46" s="1513"/>
      <c r="N46" s="580"/>
      <c r="O46" s="112"/>
    </row>
    <row r="47" spans="1:15" ht="15.75">
      <c r="A47" s="539" t="s">
        <v>203</v>
      </c>
      <c r="B47" s="540">
        <f>B33-B46</f>
        <v>1404.0961127604019</v>
      </c>
      <c r="C47" s="544" t="s">
        <v>163</v>
      </c>
      <c r="D47" s="536">
        <f>B47/101.3*14.7</f>
        <v>203.75333521794576</v>
      </c>
      <c r="E47" s="1544" t="s">
        <v>148</v>
      </c>
      <c r="F47" s="1500"/>
      <c r="G47" s="1500"/>
      <c r="H47" s="553" t="s">
        <v>819</v>
      </c>
      <c r="I47" s="116">
        <v>20</v>
      </c>
      <c r="J47" s="601"/>
      <c r="K47" s="593"/>
      <c r="L47" s="1519"/>
      <c r="M47" s="1513"/>
      <c r="N47" s="580"/>
      <c r="O47" s="4"/>
    </row>
    <row r="48" spans="1:15" ht="15.75" customHeight="1" thickBot="1">
      <c r="A48" s="561" t="s">
        <v>204</v>
      </c>
      <c r="B48" s="562">
        <f>'{bb}Rejection'!B20</f>
        <v>4.641738512706255E-12</v>
      </c>
      <c r="C48" s="549" t="s">
        <v>1000</v>
      </c>
      <c r="D48" s="563"/>
      <c r="E48" s="1546"/>
      <c r="F48" s="1551"/>
      <c r="G48" s="1552"/>
      <c r="H48" s="553" t="s">
        <v>820</v>
      </c>
      <c r="I48" s="116">
        <v>310</v>
      </c>
      <c r="J48" s="602" t="s">
        <v>147</v>
      </c>
      <c r="K48" s="557">
        <f>I48/101.3*14.7</f>
        <v>44.98519249753208</v>
      </c>
      <c r="L48" s="1506" t="s">
        <v>148</v>
      </c>
      <c r="M48" s="1511"/>
      <c r="N48" s="579"/>
      <c r="O48" s="112"/>
    </row>
    <row r="49" spans="1:15" ht="14.25">
      <c r="A49" s="607" t="s">
        <v>674</v>
      </c>
      <c r="B49" s="142"/>
      <c r="C49" s="619"/>
      <c r="D49" s="620"/>
      <c r="E49" s="1547"/>
      <c r="F49" s="1502"/>
      <c r="G49" s="1502"/>
      <c r="H49" s="539" t="s">
        <v>492</v>
      </c>
      <c r="I49" s="603">
        <f>'{b}Capacity'!B32/(1000*I47)</f>
        <v>0.2576933551198257</v>
      </c>
      <c r="J49" s="536" t="s">
        <v>168</v>
      </c>
      <c r="K49" s="590">
        <f>I49/0.003785*60</f>
        <v>4084.9673202614376</v>
      </c>
      <c r="L49" s="1512" t="s">
        <v>100</v>
      </c>
      <c r="M49" s="1520"/>
      <c r="N49" s="594"/>
      <c r="O49" s="112"/>
    </row>
    <row r="50" spans="1:14" ht="15.75">
      <c r="A50" s="553" t="s">
        <v>586</v>
      </c>
      <c r="B50" s="117">
        <f>B47</f>
        <v>1404.0961127604019</v>
      </c>
      <c r="C50" s="554" t="s">
        <v>147</v>
      </c>
      <c r="D50" s="541">
        <f>B50/101.3*14.7</f>
        <v>203.75333521794576</v>
      </c>
      <c r="E50" s="1508" t="s">
        <v>148</v>
      </c>
      <c r="F50" s="1493"/>
      <c r="G50" s="1493"/>
      <c r="H50" s="539" t="s">
        <v>1184</v>
      </c>
      <c r="I50" s="592">
        <f>I49/2.5</f>
        <v>0.10307734204793029</v>
      </c>
      <c r="J50" s="2468" t="s">
        <v>143</v>
      </c>
      <c r="K50" s="589">
        <f>I50/0.3048^2</f>
        <v>1.109515275796468</v>
      </c>
      <c r="L50" s="1512" t="s">
        <v>144</v>
      </c>
      <c r="M50" s="1507"/>
      <c r="N50" s="538"/>
    </row>
    <row r="51" spans="1:14" ht="14.25">
      <c r="A51" s="535" t="s">
        <v>150</v>
      </c>
      <c r="B51" s="555">
        <f>B13/B17</f>
        <v>13.96017068450066</v>
      </c>
      <c r="C51" s="544" t="s">
        <v>151</v>
      </c>
      <c r="D51" s="541"/>
      <c r="E51" s="1508"/>
      <c r="F51" s="1493"/>
      <c r="G51" s="1493"/>
      <c r="H51" s="539" t="s">
        <v>823</v>
      </c>
      <c r="I51" s="540">
        <f>IF(I41="Y",((I43*9.81+(I49/I50)^2/2+I48)*I49*1000/(746*I44*I45*I46^-1)),IF(I41="N",0,"error"))</f>
        <v>163.03723965042192</v>
      </c>
      <c r="J51" s="536" t="s">
        <v>153</v>
      </c>
      <c r="K51" s="593"/>
      <c r="L51" s="1519"/>
      <c r="M51" s="1518"/>
      <c r="N51" s="1528"/>
    </row>
    <row r="52" spans="1:14" ht="15.75">
      <c r="A52" s="539" t="s">
        <v>154</v>
      </c>
      <c r="B52" s="569">
        <f>B51*(1-P18)</f>
        <v>0.061535391730786496</v>
      </c>
      <c r="C52" s="544" t="s">
        <v>151</v>
      </c>
      <c r="D52" s="541"/>
      <c r="E52" s="1508"/>
      <c r="F52" s="1493"/>
      <c r="G52" s="1493"/>
      <c r="H52" s="598" t="s">
        <v>824</v>
      </c>
      <c r="I52" s="404" t="s">
        <v>1206</v>
      </c>
      <c r="J52" s="599" t="s">
        <v>172</v>
      </c>
      <c r="K52" s="595"/>
      <c r="L52" s="1521"/>
      <c r="M52" s="1574"/>
      <c r="N52" s="1575"/>
    </row>
    <row r="53" spans="1:14" ht="14.25">
      <c r="A53" s="539" t="s">
        <v>157</v>
      </c>
      <c r="B53" s="570">
        <f>(B51-B52*B19)/(1-B19)</f>
        <v>92.7191040101966</v>
      </c>
      <c r="C53" s="544" t="s">
        <v>151</v>
      </c>
      <c r="D53" s="541"/>
      <c r="E53" s="1508"/>
      <c r="F53" s="1493"/>
      <c r="G53" s="1493"/>
      <c r="H53" s="553" t="s">
        <v>851</v>
      </c>
      <c r="I53" s="604" t="s">
        <v>1565</v>
      </c>
      <c r="J53" s="600" t="s">
        <v>1142</v>
      </c>
      <c r="K53" s="593"/>
      <c r="L53" s="1519"/>
      <c r="M53" s="1573">
        <f>IF(I42="VST",3,IF(I42="CSS",3,IF(I42="SST",3,"error")))</f>
        <v>3</v>
      </c>
      <c r="N53" s="1578">
        <f>IF(I42="VST",500,IF(I42="CSS",350,IF(I42="SST",300,"error")))</f>
        <v>350</v>
      </c>
    </row>
    <row r="54" spans="1:14" ht="15.75">
      <c r="A54" s="539" t="s">
        <v>161</v>
      </c>
      <c r="B54" s="570">
        <f>(B51+B53)/2</f>
        <v>53.33963734734863</v>
      </c>
      <c r="C54" s="544" t="s">
        <v>151</v>
      </c>
      <c r="D54" s="541"/>
      <c r="E54" s="1508"/>
      <c r="F54" s="1502"/>
      <c r="G54" s="1502"/>
      <c r="H54" s="552" t="s">
        <v>158</v>
      </c>
      <c r="I54" s="117">
        <v>2</v>
      </c>
      <c r="J54" s="554" t="s">
        <v>159</v>
      </c>
      <c r="K54" s="589">
        <f>I54/0.3048</f>
        <v>6.561679790026246</v>
      </c>
      <c r="L54" s="1512" t="s">
        <v>160</v>
      </c>
      <c r="M54" s="1561"/>
      <c r="N54" s="1562"/>
    </row>
    <row r="55" spans="1:14" ht="14.25">
      <c r="A55" s="539" t="s">
        <v>197</v>
      </c>
      <c r="B55" s="570">
        <f>'{e}H20 Analysis'!C46</f>
        <v>11.75</v>
      </c>
      <c r="C55" s="560" t="s">
        <v>198</v>
      </c>
      <c r="D55" s="541"/>
      <c r="E55" s="1508"/>
      <c r="F55" s="1493"/>
      <c r="G55" s="1493"/>
      <c r="H55" s="552" t="s">
        <v>164</v>
      </c>
      <c r="I55" s="117">
        <v>10</v>
      </c>
      <c r="J55" s="554" t="s">
        <v>159</v>
      </c>
      <c r="K55" s="589">
        <f>I55/0.3048</f>
        <v>32.808398950131235</v>
      </c>
      <c r="L55" s="1512" t="s">
        <v>160</v>
      </c>
      <c r="M55" s="1520"/>
      <c r="N55" s="594"/>
    </row>
    <row r="56" spans="1:14" ht="12.75">
      <c r="A56" s="539" t="s">
        <v>956</v>
      </c>
      <c r="B56" s="569">
        <f>1.023^(-25+B55)</f>
        <v>0.739857112721153</v>
      </c>
      <c r="C56" s="544"/>
      <c r="D56" s="541"/>
      <c r="E56" s="1508"/>
      <c r="F56" s="1493"/>
      <c r="G56" s="1493"/>
      <c r="H56" s="553" t="s">
        <v>1177</v>
      </c>
      <c r="I56" s="118">
        <v>0.94</v>
      </c>
      <c r="J56" s="554"/>
      <c r="K56" s="590"/>
      <c r="L56" s="1512"/>
      <c r="M56" s="1513"/>
      <c r="N56" s="580"/>
    </row>
    <row r="57" spans="1:14" ht="15.75">
      <c r="A57" s="539" t="s">
        <v>665</v>
      </c>
      <c r="B57" s="570">
        <f>D36*8.314*(273.15+'{e}H20 Analysis'!C46)*(B54-B52)*(1-P18)/((1-P16)*1000)</f>
        <v>138.37210407207155</v>
      </c>
      <c r="C57" s="544" t="s">
        <v>163</v>
      </c>
      <c r="D57" s="537">
        <f>B57/101.3*14.7</f>
        <v>20.079663670873167</v>
      </c>
      <c r="E57" s="1508" t="s">
        <v>148</v>
      </c>
      <c r="F57" s="1493"/>
      <c r="G57" s="1493"/>
      <c r="H57" s="553" t="s">
        <v>1178</v>
      </c>
      <c r="I57" s="118">
        <v>0.75</v>
      </c>
      <c r="J57" s="554"/>
      <c r="K57" s="590"/>
      <c r="L57" s="1512"/>
      <c r="M57" s="1513"/>
      <c r="N57" s="580"/>
    </row>
    <row r="58" spans="1:14" ht="16.5" thickBot="1">
      <c r="A58" s="561" t="s">
        <v>585</v>
      </c>
      <c r="B58" s="571">
        <f>B50+B57</f>
        <v>1542.4682168324734</v>
      </c>
      <c r="C58" s="563" t="s">
        <v>147</v>
      </c>
      <c r="D58" s="572">
        <f>B58/101.3*14.7</f>
        <v>223.83299888881896</v>
      </c>
      <c r="E58" s="1541" t="s">
        <v>148</v>
      </c>
      <c r="F58" s="1549"/>
      <c r="G58" s="1550"/>
      <c r="H58" s="553" t="s">
        <v>1179</v>
      </c>
      <c r="I58" s="118">
        <v>1</v>
      </c>
      <c r="J58" s="554"/>
      <c r="K58" s="578"/>
      <c r="L58" s="1510"/>
      <c r="M58" s="1513"/>
      <c r="N58" s="580"/>
    </row>
    <row r="59" spans="8:14" ht="12.75">
      <c r="H59" s="553" t="s">
        <v>832</v>
      </c>
      <c r="I59" s="116">
        <v>20</v>
      </c>
      <c r="J59" s="601"/>
      <c r="K59" s="593"/>
      <c r="L59" s="1519"/>
      <c r="M59" s="1513"/>
      <c r="N59" s="580"/>
    </row>
    <row r="60" spans="8:14" ht="12.75">
      <c r="H60" s="553" t="s">
        <v>820</v>
      </c>
      <c r="I60" s="116">
        <v>310</v>
      </c>
      <c r="J60" s="602" t="s">
        <v>147</v>
      </c>
      <c r="K60" s="557">
        <f>I60/101.3*14.7</f>
        <v>44.98519249753208</v>
      </c>
      <c r="L60" s="1506" t="s">
        <v>148</v>
      </c>
      <c r="M60" s="1511"/>
      <c r="N60" s="579"/>
    </row>
    <row r="61" spans="2:14" ht="14.25">
      <c r="B61" s="4"/>
      <c r="C61" s="4"/>
      <c r="H61" s="539" t="s">
        <v>822</v>
      </c>
      <c r="I61" s="603">
        <f>B12/(1000*I59)</f>
        <v>0.21903935185185186</v>
      </c>
      <c r="J61" s="536" t="s">
        <v>168</v>
      </c>
      <c r="K61" s="590">
        <f>I61/0.003785*60</f>
        <v>3472.222222222222</v>
      </c>
      <c r="L61" s="1512" t="s">
        <v>100</v>
      </c>
      <c r="M61" s="1520"/>
      <c r="N61" s="594"/>
    </row>
    <row r="62" spans="2:14" ht="12.75">
      <c r="B62" s="4"/>
      <c r="C62" s="4"/>
      <c r="H62" s="539" t="s">
        <v>1184</v>
      </c>
      <c r="I62" s="592">
        <f>I61/2.5</f>
        <v>0.08761574074074074</v>
      </c>
      <c r="J62" s="544" t="s">
        <v>939</v>
      </c>
      <c r="K62" s="589">
        <f>I62/0.3048</f>
        <v>0.28745321765334886</v>
      </c>
      <c r="L62" s="1512" t="s">
        <v>160</v>
      </c>
      <c r="M62" s="1507"/>
      <c r="N62" s="538"/>
    </row>
    <row r="63" spans="2:14" ht="13.5" thickBot="1">
      <c r="B63" s="405"/>
      <c r="C63" s="405"/>
      <c r="H63" s="561" t="s">
        <v>823</v>
      </c>
      <c r="I63" s="596">
        <f>IF(I52="Y",(I54*9.81+(I61/I62)^2/2+I60)*I61*1000/(746*I56*I57*I58^-1),IF(I52="N",0,"error"))</f>
        <v>138.5816537028586</v>
      </c>
      <c r="J63" s="563" t="s">
        <v>153</v>
      </c>
      <c r="K63" s="597"/>
      <c r="L63" s="1522"/>
      <c r="M63" s="1518"/>
      <c r="N63" s="1528"/>
    </row>
    <row r="64" spans="2:14" ht="12.75">
      <c r="B64" s="4"/>
      <c r="C64" s="4"/>
      <c r="M64" s="1574"/>
      <c r="N64" s="1575"/>
    </row>
    <row r="65" spans="1:14" ht="13.5" thickBot="1">
      <c r="A65" s="4"/>
      <c r="B65" s="4"/>
      <c r="C65" s="4"/>
      <c r="M65" s="1576">
        <f>IF(I53="VST",3,IF(I53="CSS",3,IF(I53="SST",3,"error")))</f>
        <v>3</v>
      </c>
      <c r="N65" s="1577">
        <f>IF(I53="VST",500,IF(I53="CSS",350,IF(I53="SST",300,"error")))</f>
        <v>350</v>
      </c>
    </row>
  </sheetData>
  <mergeCells count="3">
    <mergeCell ref="M7:N7"/>
    <mergeCell ref="F7:G7"/>
    <mergeCell ref="S14:AB14"/>
  </mergeCells>
  <printOptions horizontalCentered="1" verticalCentered="1"/>
  <pageMargins left="0.37" right="0.32" top="0.84" bottom="0.76" header="0.5" footer="0.5"/>
  <pageSetup fitToHeight="1" fitToWidth="1" horizontalDpi="600" verticalDpi="600" orientation="landscape" scale="26" r:id="rId3"/>
  <headerFooter alignWithMargins="0">
    <oddHeader>&amp;C&amp;13&amp;A</oddHeader>
    <oddFooter>&amp;CWater Treatment Cost Estimation Program</oddFooter>
  </headerFooter>
  <legacyDrawing r:id="rId2"/>
</worksheet>
</file>

<file path=xl/worksheets/sheet14.xml><?xml version="1.0" encoding="utf-8"?>
<worksheet xmlns="http://schemas.openxmlformats.org/spreadsheetml/2006/main" xmlns:r="http://schemas.openxmlformats.org/officeDocument/2006/relationships">
  <sheetPr codeName="Sheet6">
    <pageSetUpPr fitToPage="1"/>
  </sheetPr>
  <dimension ref="A1:O51"/>
  <sheetViews>
    <sheetView view="pageBreakPreview" zoomScaleSheetLayoutView="100" workbookViewId="0" topLeftCell="A4">
      <selection activeCell="F15" sqref="F15"/>
    </sheetView>
  </sheetViews>
  <sheetFormatPr defaultColWidth="9.140625" defaultRowHeight="12.75"/>
  <cols>
    <col min="1" max="1" width="40.28125" style="79" customWidth="1"/>
    <col min="2" max="2" width="10.7109375" style="79" customWidth="1"/>
    <col min="3" max="3" width="15.57421875" style="79" bestFit="1" customWidth="1"/>
    <col min="4" max="4" width="15.00390625" style="79" bestFit="1" customWidth="1"/>
    <col min="5" max="5" width="15.57421875" style="79" customWidth="1"/>
    <col min="6" max="6" width="11.7109375" style="79" bestFit="1" customWidth="1"/>
    <col min="7" max="7" width="9.140625" style="79" customWidth="1"/>
    <col min="8" max="8" width="14.8515625" style="79" customWidth="1"/>
    <col min="9" max="9" width="3.28125" style="79" customWidth="1"/>
    <col min="10" max="10" width="30.57421875" style="79" customWidth="1"/>
    <col min="11" max="11" width="21.421875" style="79" customWidth="1"/>
    <col min="12" max="12" width="14.140625" style="79" customWidth="1"/>
    <col min="13" max="14" width="9.140625" style="79" customWidth="1"/>
    <col min="15" max="15" width="9.7109375" style="79" bestFit="1" customWidth="1"/>
    <col min="16" max="18" width="9.140625" style="79" customWidth="1"/>
    <col min="19" max="19" width="12.421875" style="79" bestFit="1" customWidth="1"/>
    <col min="20" max="16384" width="9.140625" style="79" customWidth="1"/>
  </cols>
  <sheetData>
    <row r="1" spans="1:4" ht="15.75">
      <c r="A1" s="381" t="s">
        <v>846</v>
      </c>
      <c r="B1" s="2336"/>
      <c r="C1" s="382" t="s">
        <v>847</v>
      </c>
      <c r="D1" s="383" t="s">
        <v>848</v>
      </c>
    </row>
    <row r="2" spans="1:4" ht="18.75" thickBot="1">
      <c r="A2" s="396" t="str">
        <f>'{a}Project &amp; Stage Info'!C3</f>
        <v>Model Development</v>
      </c>
      <c r="B2" s="2337"/>
      <c r="C2" s="397">
        <f>'{a}Project &amp; Stage Info'!C5</f>
        <v>38145</v>
      </c>
      <c r="D2" s="398" t="str">
        <f>'{a}Project &amp; Stage Info'!C7</f>
        <v>A1</v>
      </c>
    </row>
    <row r="3" s="530" customFormat="1" ht="15"/>
    <row r="4" spans="1:11" s="530" customFormat="1" ht="18">
      <c r="A4" s="395" t="s">
        <v>827</v>
      </c>
      <c r="B4" s="395"/>
      <c r="C4" s="79"/>
      <c r="D4" s="79"/>
      <c r="E4" s="79"/>
      <c r="F4" s="79"/>
      <c r="G4" s="79"/>
      <c r="H4" s="79"/>
      <c r="I4" s="79"/>
      <c r="J4" s="79"/>
      <c r="K4" s="79"/>
    </row>
    <row r="5" spans="1:14" ht="15.75" thickBot="1">
      <c r="A5" s="530"/>
      <c r="B5" s="530"/>
      <c r="C5" s="530"/>
      <c r="D5" s="530"/>
      <c r="E5" s="530"/>
      <c r="F5" s="530"/>
      <c r="G5" s="530"/>
      <c r="H5" s="530"/>
      <c r="I5" s="530"/>
      <c r="J5" s="530"/>
      <c r="K5" s="530"/>
      <c r="M5" s="80"/>
      <c r="N5" s="80"/>
    </row>
    <row r="6" spans="1:15" ht="12.75">
      <c r="A6" s="76" t="s">
        <v>1475</v>
      </c>
      <c r="B6" s="2338"/>
      <c r="C6" s="77"/>
      <c r="D6" s="77"/>
      <c r="E6" s="77"/>
      <c r="F6" s="77"/>
      <c r="G6" s="77"/>
      <c r="H6" s="78"/>
      <c r="I6" s="82"/>
      <c r="J6" s="76" t="s">
        <v>1810</v>
      </c>
      <c r="K6" s="78"/>
      <c r="M6" s="363"/>
      <c r="O6" s="362"/>
    </row>
    <row r="7" spans="1:15" ht="12.75">
      <c r="A7" s="1579"/>
      <c r="B7" s="2339"/>
      <c r="C7" s="1580"/>
      <c r="D7" s="1580"/>
      <c r="E7" s="1580"/>
      <c r="F7" s="1603"/>
      <c r="G7" s="1580"/>
      <c r="H7" s="1581"/>
      <c r="I7" s="82"/>
      <c r="J7" s="81"/>
      <c r="K7" s="83"/>
      <c r="L7" s="327"/>
      <c r="M7" s="363"/>
      <c r="O7" s="362"/>
    </row>
    <row r="8" spans="1:15" ht="12.75">
      <c r="A8" s="1582" t="s">
        <v>205</v>
      </c>
      <c r="B8" s="1602"/>
      <c r="C8" s="1583">
        <f>'{g}RO&amp;NF Output'!F8*'{f}RO&amp;NF Input'!I17</f>
        <v>10069500</v>
      </c>
      <c r="D8" s="1583"/>
      <c r="E8" s="1600" t="s">
        <v>206</v>
      </c>
      <c r="F8" s="1163">
        <v>500</v>
      </c>
      <c r="G8" s="1601" t="s">
        <v>1002</v>
      </c>
      <c r="H8" s="1585"/>
      <c r="I8" s="82"/>
      <c r="J8" s="81" t="s">
        <v>207</v>
      </c>
      <c r="K8" s="1160">
        <f>SUM(F14:F17)*Power</f>
        <v>7442993.547229101</v>
      </c>
      <c r="M8" s="363"/>
      <c r="O8" s="362"/>
    </row>
    <row r="9" spans="1:15" ht="12.75">
      <c r="A9" s="1582" t="s">
        <v>208</v>
      </c>
      <c r="B9" s="1602"/>
      <c r="C9" s="1583">
        <f>F9*'{f}RO&amp;NF Input'!I18*'{d}Cost Index'!E19</f>
        <v>20542735.94909862</v>
      </c>
      <c r="D9" s="1587" t="s">
        <v>1066</v>
      </c>
      <c r="E9" s="1600" t="s">
        <v>206</v>
      </c>
      <c r="F9" s="1163">
        <v>5000</v>
      </c>
      <c r="G9" s="1601" t="s">
        <v>209</v>
      </c>
      <c r="H9" s="1585"/>
      <c r="I9" s="82"/>
      <c r="J9" s="81" t="s">
        <v>210</v>
      </c>
      <c r="K9" s="1160">
        <f>'{f}RO&amp;NF Input'!P21*8*365*ENR_Labor</f>
        <v>2544780</v>
      </c>
      <c r="L9" s="80"/>
      <c r="M9" s="363"/>
      <c r="O9" s="362"/>
    </row>
    <row r="10" spans="1:15" ht="14.25">
      <c r="A10" s="1582" t="s">
        <v>211</v>
      </c>
      <c r="B10" s="1602"/>
      <c r="C10" s="1583">
        <f>F10*('{f}RO&amp;NF Input'!I23+'{f}RO&amp;NF Input'!I24)*'{d}Cost Index'!E13</f>
        <v>17124106.812019385</v>
      </c>
      <c r="D10" s="1587" t="s">
        <v>1063</v>
      </c>
      <c r="E10" s="1600" t="s">
        <v>206</v>
      </c>
      <c r="F10" s="1163">
        <v>1076.4</v>
      </c>
      <c r="G10" s="1602" t="s">
        <v>212</v>
      </c>
      <c r="H10" s="1585" t="str">
        <f>"$"&amp;ROUNDUP(F10*0.0929,0)&amp;"/ft2"</f>
        <v>$100/ft2</v>
      </c>
      <c r="I10" s="82"/>
      <c r="J10" s="81" t="s">
        <v>219</v>
      </c>
      <c r="K10" s="1160">
        <f>('{f}RO&amp;NF Input'!I17*'{g}RO&amp;NF Output'!F8/'{f}RO&amp;NF Input'!P15)*'{d}Cost Index'!E17</f>
        <v>3988841.3137225746</v>
      </c>
      <c r="L10" s="80"/>
      <c r="M10" s="363"/>
      <c r="O10" s="362"/>
    </row>
    <row r="11" spans="1:12" ht="14.25">
      <c r="A11" s="1582" t="s">
        <v>213</v>
      </c>
      <c r="B11" s="1602"/>
      <c r="C11" s="1583">
        <f>F11*'{f}RO&amp;NF Input'!I10^0.65*'{d}Cost Index'!E10</f>
        <v>5634062.401635874</v>
      </c>
      <c r="D11" s="1587" t="s">
        <v>1231</v>
      </c>
      <c r="E11" s="2348" t="s">
        <v>991</v>
      </c>
      <c r="F11" s="1163">
        <v>977</v>
      </c>
      <c r="G11" s="1602" t="s">
        <v>214</v>
      </c>
      <c r="H11" s="2345"/>
      <c r="I11" s="82"/>
      <c r="J11" s="81" t="s">
        <v>220</v>
      </c>
      <c r="K11" s="1160">
        <f>('{f}RO&amp;NF Input'!$P20*'{f}RO&amp;NF Input'!I17*('{f}RO&amp;NF Input'!B30^2*PI()*102/4)*1.15*(0.0005*'{f}RO&amp;NF Input'!P13+0.001*'{f}RO&amp;NF Input'!P14*2)/1000)*'{d}Cost Index'!E17</f>
        <v>261376.4787636888</v>
      </c>
      <c r="L11" s="80"/>
    </row>
    <row r="12" spans="1:12" ht="12.75">
      <c r="A12" s="1588" t="s">
        <v>215</v>
      </c>
      <c r="B12" s="2340"/>
      <c r="C12" s="1583">
        <f>F12*'{f}RO&amp;NF Input'!I21*'{d}Cost Index'!E10+300000</f>
        <v>4843764.212076584</v>
      </c>
      <c r="D12" s="1587" t="s">
        <v>1231</v>
      </c>
      <c r="E12" s="2347" t="s">
        <v>1229</v>
      </c>
      <c r="F12" s="2416">
        <v>65000</v>
      </c>
      <c r="G12" s="1602"/>
      <c r="H12" s="1589" t="s">
        <v>1040</v>
      </c>
      <c r="I12" s="86"/>
      <c r="J12" s="81" t="s">
        <v>222</v>
      </c>
      <c r="K12" s="1161">
        <f>((23097*'{f}RO&amp;NF Input'!I35-6.245)*'{f}RO&amp;NF Input'!I33*12)*'{d}Cost Index'!E17</f>
        <v>1695709.3634706778</v>
      </c>
      <c r="L12" s="80"/>
    </row>
    <row r="13" spans="1:12" ht="12.75">
      <c r="A13" s="1588"/>
      <c r="B13" s="2340"/>
      <c r="C13" s="1583"/>
      <c r="D13" s="1587"/>
      <c r="E13" s="2347"/>
      <c r="F13"/>
      <c r="G13" s="1601"/>
      <c r="H13" s="1589"/>
      <c r="I13" s="82"/>
      <c r="J13" s="81" t="s">
        <v>223</v>
      </c>
      <c r="K13" s="1160">
        <f>0.005*C28*'{d}Cost Index'!E17</f>
        <v>435421.2993181979</v>
      </c>
      <c r="L13" s="80"/>
    </row>
    <row r="14" spans="1:12" ht="12.75">
      <c r="A14" s="1590" t="s">
        <v>217</v>
      </c>
      <c r="B14" s="1601"/>
      <c r="C14" s="1583">
        <f>'{f}RO&amp;NF Input'!I33*IF('{f}RO&amp;NF Input'!I28="PD",(300*'{f}RO&amp;NF Input'!I37),(IF('{f}RO&amp;NF Input'!I28="VST",85000*('{f}RO&amp;NF Input'!I37/100)^0.65,35000*('{f}RO&amp;NF Input'!I37/100)^0.65)))*'{d}Cost Index'!E16</f>
        <v>3955456.4184857793</v>
      </c>
      <c r="D14" s="1587" t="s">
        <v>685</v>
      </c>
      <c r="E14" s="1586"/>
      <c r="F14" s="2346">
        <f>'{f}RO&amp;NF Input'!I37*NumPumps*24*365*'{b}Capacity'!C9*0.746</f>
        <v>68878198.58327886</v>
      </c>
      <c r="G14" s="1584" t="s">
        <v>1572</v>
      </c>
      <c r="H14" s="1592"/>
      <c r="I14" s="82"/>
      <c r="J14" s="81" t="s">
        <v>225</v>
      </c>
      <c r="K14" s="1160">
        <f>0.002*C28*'{d}Cost Index'!E17</f>
        <v>174168.51972727917</v>
      </c>
      <c r="L14" s="80"/>
    </row>
    <row r="15" spans="1:14" ht="13.5" thickBot="1">
      <c r="A15" s="1590" t="s">
        <v>1176</v>
      </c>
      <c r="B15" s="1601"/>
      <c r="C15" s="1587">
        <f>IF('{f}RO&amp;NF Input'!I38="Y",(IF('{f}RO&amp;NF Input'!I34&gt;3400,3463.3*'{b}Capacity'!E32^0.3906,0)*'{d}Cost Index'!E10),IF('{f}RO&amp;NF Input'!I38="N",0,"error"))</f>
        <v>0</v>
      </c>
      <c r="D15" s="1587" t="s">
        <v>1231</v>
      </c>
      <c r="E15" s="1593"/>
      <c r="F15" s="1591"/>
      <c r="G15" s="1584"/>
      <c r="H15" s="1585"/>
      <c r="I15" s="82"/>
      <c r="J15" s="427" t="s">
        <v>227</v>
      </c>
      <c r="K15" s="1160">
        <f>800*'{f}RO&amp;NF Input'!I21*12*'{d}Cost Index'!E17</f>
        <v>547611.5231233018</v>
      </c>
      <c r="N15" s="89"/>
    </row>
    <row r="16" spans="1:14" ht="13.5" thickBot="1">
      <c r="A16" s="1590" t="s">
        <v>200</v>
      </c>
      <c r="B16" s="1601"/>
      <c r="C16" s="1583">
        <f>IF('{f}RO&amp;NF Input'!I41="Y",('{f}RO&amp;NF Input'!I47*IF('{f}RO&amp;NF Input'!I42="VST",85000*('{f}RO&amp;NF Input'!I51/100)^0.65,('{f}RO&amp;NF Input'!I51*(0.0387*'{f}RO&amp;NF Input'!K49+233.86)))*'{d}Cost Index'!E16),IF('{f}RO&amp;NF Input'!I41="N",0,"error"))</f>
        <v>1518817.633458346</v>
      </c>
      <c r="D16" s="1587" t="s">
        <v>685</v>
      </c>
      <c r="E16" s="1594"/>
      <c r="F16" s="1591">
        <f>'{f}RO&amp;NF Input'!I51*Num_TransPump*0.746*24*365*'{b}Capacity'!C$9</f>
        <v>20243394.952892505</v>
      </c>
      <c r="G16" s="1584" t="s">
        <v>1572</v>
      </c>
      <c r="H16" s="1585"/>
      <c r="I16" s="82"/>
      <c r="J16" s="100" t="s">
        <v>1809</v>
      </c>
      <c r="K16" s="1162">
        <f>SUM(K8:K15)</f>
        <v>17090902.04535482</v>
      </c>
      <c r="L16" s="94"/>
      <c r="N16" s="90"/>
    </row>
    <row r="17" spans="1:11" ht="13.5" thickBot="1">
      <c r="A17" s="1590" t="s">
        <v>221</v>
      </c>
      <c r="B17" s="1601"/>
      <c r="C17" s="1583">
        <f>IF('{f}RO&amp;NF Input'!I52="Y",('{f}RO&amp;NF Input'!I59*IF('{f}RO&amp;NF Input'!I53="VST",85000*('{f}RO&amp;NF Input'!I63/100)^0.65,('{f}RO&amp;NF Input'!I63*(0.0387*'{f}RO&amp;NF Input'!K61+233.86)))*'{d}Cost Index'!E16),IF('{f}RO&amp;NF Input'!I52="N",0,"error"))</f>
        <v>1212888.5826244934</v>
      </c>
      <c r="D17" s="1587" t="s">
        <v>685</v>
      </c>
      <c r="E17" s="1586"/>
      <c r="F17" s="1591">
        <f>'{f}RO&amp;NF Input'!I63*Num_ProdPump*0.746*24*365*'{b}Capacity'!C$9</f>
        <v>17206885.709958624</v>
      </c>
      <c r="G17" s="1584" t="s">
        <v>1572</v>
      </c>
      <c r="H17" s="1585"/>
      <c r="I17" s="82"/>
      <c r="J17" s="92"/>
      <c r="K17" s="93"/>
    </row>
    <row r="18" spans="1:12" ht="15.75">
      <c r="A18" s="1582" t="s">
        <v>224</v>
      </c>
      <c r="B18" s="1602"/>
      <c r="C18" s="1583">
        <f>IF('{f}RO&amp;NF Input'!I25="Y",F18*'{b}Capacity'!H26^0.75,0)*'{d}Cost Index'!E16</f>
        <v>0</v>
      </c>
      <c r="D18" s="1587" t="s">
        <v>685</v>
      </c>
      <c r="E18" s="1586"/>
      <c r="F18" s="2416">
        <v>50000</v>
      </c>
      <c r="G18" s="1586"/>
      <c r="H18" s="2415" t="s">
        <v>1040</v>
      </c>
      <c r="I18" s="82"/>
      <c r="J18" s="95" t="s">
        <v>230</v>
      </c>
      <c r="K18" s="78"/>
      <c r="L18"/>
    </row>
    <row r="19" spans="1:12" ht="12.75">
      <c r="A19" s="1582" t="s">
        <v>226</v>
      </c>
      <c r="B19" s="1602"/>
      <c r="C19" s="1583">
        <f>(F19*'{b}Capacity'!H26/Recovery)*'{d}Cost Index'!E16</f>
        <v>76887.69302673645</v>
      </c>
      <c r="D19" s="1587" t="s">
        <v>685</v>
      </c>
      <c r="E19" s="1586"/>
      <c r="F19" s="2416">
        <v>55000</v>
      </c>
      <c r="G19" s="1586"/>
      <c r="H19" s="2345" t="s">
        <v>1040</v>
      </c>
      <c r="I19" s="82"/>
      <c r="J19" s="81"/>
      <c r="K19" s="83"/>
      <c r="L19"/>
    </row>
    <row r="20" spans="1:12" ht="12.75">
      <c r="A20" s="1582" t="s">
        <v>228</v>
      </c>
      <c r="B20" s="1602"/>
      <c r="C20" s="1583">
        <f>(F20*('{b}Capacity'!H26/Recovery)^0.75*'{d}Cost Index'!E16)</f>
        <v>67116.7064901197</v>
      </c>
      <c r="D20" s="1587" t="s">
        <v>685</v>
      </c>
      <c r="E20" s="1586"/>
      <c r="F20" s="2416">
        <v>50000</v>
      </c>
      <c r="G20" s="1586"/>
      <c r="H20" s="2345" t="s">
        <v>1040</v>
      </c>
      <c r="I20" s="82"/>
      <c r="J20" s="96" t="s">
        <v>231</v>
      </c>
      <c r="K20" s="85">
        <f>C37*(Interest/100)*(1+(Interest/100))^Years/((1+(Interest/100))^Years-1)</f>
        <v>6757078.881565268</v>
      </c>
      <c r="L20"/>
    </row>
    <row r="21" spans="1:12" ht="12.75">
      <c r="A21" s="1582" t="s">
        <v>222</v>
      </c>
      <c r="B21" s="2341"/>
      <c r="C21" s="1599">
        <f>(F21*('{b}Capacity'!H26/Recovery)^0.85*'{d}Cost Index'!E16)</f>
        <v>20464.69587208935</v>
      </c>
      <c r="D21" s="1587" t="s">
        <v>1230</v>
      </c>
      <c r="E21" s="1583"/>
      <c r="F21" s="2416">
        <v>15000</v>
      </c>
      <c r="G21" s="1586"/>
      <c r="H21" s="2345" t="s">
        <v>1040</v>
      </c>
      <c r="I21" s="82"/>
      <c r="J21" s="96" t="s">
        <v>669</v>
      </c>
      <c r="K21" s="97">
        <f>K16</f>
        <v>17090902.04535482</v>
      </c>
      <c r="L21"/>
    </row>
    <row r="22" spans="1:12" ht="12.75">
      <c r="A22" s="1607" t="s">
        <v>232</v>
      </c>
      <c r="B22" s="82"/>
      <c r="C22" s="1583">
        <f>F22*'{d}Cost Index'!E10</f>
        <v>97574.42378497792</v>
      </c>
      <c r="D22" s="1608" t="s">
        <v>1231</v>
      </c>
      <c r="E22" s="1586"/>
      <c r="F22" s="2416">
        <v>67000</v>
      </c>
      <c r="H22" s="1584" t="s">
        <v>992</v>
      </c>
      <c r="I22" s="82"/>
      <c r="J22" s="96"/>
      <c r="K22" s="83"/>
      <c r="L22"/>
    </row>
    <row r="23" spans="1:12" ht="13.5" thickBot="1">
      <c r="A23" s="1582" t="s">
        <v>233</v>
      </c>
      <c r="B23" s="2339"/>
      <c r="C23" s="2414">
        <f>F23*'{d}Cost Index'!E11</f>
        <v>91266.10116242539</v>
      </c>
      <c r="D23" s="1587" t="s">
        <v>210</v>
      </c>
      <c r="E23" s="1604"/>
      <c r="F23" s="2416">
        <v>100000</v>
      </c>
      <c r="G23" s="1602"/>
      <c r="H23" s="2345" t="s">
        <v>1040</v>
      </c>
      <c r="I23" s="82"/>
      <c r="J23" s="96"/>
      <c r="K23" s="83"/>
      <c r="L23"/>
    </row>
    <row r="24" spans="1:12" ht="14.25">
      <c r="A24" s="1582" t="s">
        <v>265</v>
      </c>
      <c r="B24" s="1602"/>
      <c r="C24" s="1583">
        <f>(F24*'{f}RO&amp;NF Input'!I10*(1-'{f}RO&amp;NF Input'!I22))*'{d}Cost Index'!E16</f>
        <v>806911.857412872</v>
      </c>
      <c r="D24" s="1587" t="s">
        <v>685</v>
      </c>
      <c r="E24" s="1604"/>
      <c r="F24" s="1163">
        <f>50000/3785</f>
        <v>13.21003963011889</v>
      </c>
      <c r="G24" s="1602" t="s">
        <v>214</v>
      </c>
      <c r="H24" s="1585" t="s">
        <v>266</v>
      </c>
      <c r="I24" s="82"/>
      <c r="J24" s="894" t="s">
        <v>267</v>
      </c>
      <c r="K24" s="1563">
        <f>K20+K21</f>
        <v>23847980.92692009</v>
      </c>
      <c r="L24"/>
    </row>
    <row r="25" spans="1:12" ht="14.25">
      <c r="A25" s="1582" t="s">
        <v>268</v>
      </c>
      <c r="B25" s="1602"/>
      <c r="C25" s="1583">
        <f>(150000*(F25/1000)^0.85+50000)*'{d}Cost Index'!E10</f>
        <v>73271.39316083577</v>
      </c>
      <c r="D25" s="1587" t="s">
        <v>213</v>
      </c>
      <c r="E25" s="1586"/>
      <c r="F25" s="1605">
        <f>'{f}RO&amp;NF Input'!I26</f>
        <v>0.7</v>
      </c>
      <c r="G25" s="1584" t="s">
        <v>1131</v>
      </c>
      <c r="H25" s="1585" t="s">
        <v>269</v>
      </c>
      <c r="I25" s="82"/>
      <c r="J25" s="1564" t="s">
        <v>873</v>
      </c>
      <c r="K25" s="1565">
        <f>K24/('{f}RO&amp;NF Input'!$I$12*365*'{b}Capacity'!$C$7)</f>
        <v>0.18170599748691207</v>
      </c>
      <c r="L25"/>
    </row>
    <row r="26" spans="1:12" ht="12.75">
      <c r="A26" s="1582"/>
      <c r="B26" s="2341"/>
      <c r="C26" s="1599"/>
      <c r="D26" s="1587"/>
      <c r="E26" s="1604"/>
      <c r="F26" s="2349"/>
      <c r="G26" s="1601"/>
      <c r="H26" s="1585"/>
      <c r="I26" s="82"/>
      <c r="J26" s="1564" t="s">
        <v>666</v>
      </c>
      <c r="K26" s="1565">
        <f>K24/('{f}RO&amp;NF Input'!$I$12*365*'{b}Capacity'!$C$7)*3.785</f>
        <v>0.6877572004879622</v>
      </c>
      <c r="L26"/>
    </row>
    <row r="27" spans="1:11" ht="15" thickBot="1">
      <c r="A27" s="1582" t="s">
        <v>272</v>
      </c>
      <c r="B27" s="2341"/>
      <c r="C27" s="1599">
        <f>('{f}RO&amp;NF Input'!I12*'{g}RO&amp;NF Output'!F27)*'{d}Cost Index'!E14</f>
        <v>7144179.031611249</v>
      </c>
      <c r="D27" s="1587" t="s">
        <v>213</v>
      </c>
      <c r="E27" s="1604"/>
      <c r="F27" s="426">
        <f>55000/3785</f>
        <v>14.531043593130779</v>
      </c>
      <c r="G27" s="1602" t="s">
        <v>214</v>
      </c>
      <c r="H27" s="1585"/>
      <c r="I27" s="82"/>
      <c r="J27" s="1566" t="s">
        <v>670</v>
      </c>
      <c r="K27" s="1567">
        <f>K25*1233.4</f>
        <v>224.11617730035738</v>
      </c>
    </row>
    <row r="28" spans="1:11" ht="13.5" thickBot="1">
      <c r="A28" s="1597" t="s">
        <v>667</v>
      </c>
      <c r="B28" s="100"/>
      <c r="C28" s="1155">
        <f>SUM(C8:C27)</f>
        <v>73279003.9119204</v>
      </c>
      <c r="D28" s="1598"/>
      <c r="E28" s="1595"/>
      <c r="F28" s="1606"/>
      <c r="G28" s="1595"/>
      <c r="H28" s="1596"/>
      <c r="I28" s="82"/>
      <c r="J28" s="146"/>
      <c r="K28" s="82"/>
    </row>
    <row r="29" spans="3:9" ht="13.5" thickBot="1">
      <c r="C29" s="89"/>
      <c r="D29" s="89"/>
      <c r="I29" s="82"/>
    </row>
    <row r="30" spans="1:9" ht="12.75">
      <c r="A30" s="76" t="s">
        <v>273</v>
      </c>
      <c r="B30" s="2338"/>
      <c r="C30" s="101"/>
      <c r="D30" s="101"/>
      <c r="E30" s="77"/>
      <c r="F30" s="77"/>
      <c r="G30" s="77"/>
      <c r="H30" s="78"/>
      <c r="I30" s="82"/>
    </row>
    <row r="31" spans="1:8" ht="12.75">
      <c r="A31" s="87" t="s">
        <v>274</v>
      </c>
      <c r="B31" s="2342"/>
      <c r="C31" s="1159">
        <f>C$28*F31/100</f>
        <v>3663950.19559602</v>
      </c>
      <c r="D31" s="102"/>
      <c r="E31" s="82"/>
      <c r="F31" s="104">
        <v>5</v>
      </c>
      <c r="G31" s="82" t="s">
        <v>275</v>
      </c>
      <c r="H31" s="83"/>
    </row>
    <row r="32" spans="1:9" ht="12.75">
      <c r="A32" s="87" t="s">
        <v>276</v>
      </c>
      <c r="B32" s="2342"/>
      <c r="C32" s="1159">
        <f>C$28*F32/100</f>
        <v>4379094.650573234</v>
      </c>
      <c r="D32" s="102"/>
      <c r="E32" s="82"/>
      <c r="F32" s="105">
        <v>5.97592</v>
      </c>
      <c r="G32" s="82" t="s">
        <v>275</v>
      </c>
      <c r="H32" s="83"/>
      <c r="I32" s="82"/>
    </row>
    <row r="33" spans="1:9" ht="12.75">
      <c r="A33" s="87" t="s">
        <v>278</v>
      </c>
      <c r="B33" s="2342"/>
      <c r="C33" s="1159">
        <f>C$28*F33/100</f>
        <v>8756840.967474487</v>
      </c>
      <c r="D33" s="102"/>
      <c r="E33" s="82"/>
      <c r="F33" s="105">
        <v>11.95</v>
      </c>
      <c r="G33" s="82" t="s">
        <v>275</v>
      </c>
      <c r="H33" s="83"/>
      <c r="I33" s="82"/>
    </row>
    <row r="34" spans="1:9" ht="13.5" thickBot="1">
      <c r="A34" s="427" t="s">
        <v>279</v>
      </c>
      <c r="B34" s="2342"/>
      <c r="C34" s="1159">
        <f>C$28*F34/100</f>
        <v>2931160.156476816</v>
      </c>
      <c r="D34" s="423"/>
      <c r="E34" s="424"/>
      <c r="F34" s="104">
        <v>4</v>
      </c>
      <c r="G34" s="424" t="s">
        <v>280</v>
      </c>
      <c r="H34" s="425"/>
      <c r="I34" s="82"/>
    </row>
    <row r="35" spans="1:9" ht="13.5" thickBot="1">
      <c r="A35" s="100" t="s">
        <v>281</v>
      </c>
      <c r="B35" s="100"/>
      <c r="C35" s="1411">
        <f>SUM(C31:C34)</f>
        <v>19731045.970120557</v>
      </c>
      <c r="D35" s="421"/>
      <c r="E35" s="288"/>
      <c r="F35" s="334">
        <f>SUM(F31:F34)</f>
        <v>26.925919999999998</v>
      </c>
      <c r="G35" s="98"/>
      <c r="H35" s="99"/>
      <c r="I35" s="82"/>
    </row>
    <row r="36" spans="5:9" ht="13.5" thickBot="1">
      <c r="E36" s="88"/>
      <c r="F36" s="88"/>
      <c r="I36" s="82"/>
    </row>
    <row r="37" spans="1:11" s="530" customFormat="1" ht="16.5" thickBot="1">
      <c r="A37" s="1609" t="s">
        <v>282</v>
      </c>
      <c r="B37" s="1609"/>
      <c r="C37" s="1156">
        <f>C28+C35</f>
        <v>93010049.88204095</v>
      </c>
      <c r="D37" s="422"/>
      <c r="E37" s="289"/>
      <c r="F37" s="289"/>
      <c r="G37" s="103"/>
      <c r="H37" s="103"/>
      <c r="I37" s="82"/>
      <c r="J37" s="79"/>
      <c r="K37" s="79"/>
    </row>
    <row r="38" spans="1:8" s="530" customFormat="1" ht="15.75" thickBot="1">
      <c r="A38" s="82"/>
      <c r="B38" s="82"/>
      <c r="C38" s="82"/>
      <c r="D38" s="82"/>
      <c r="E38" s="82"/>
      <c r="F38" s="79"/>
      <c r="G38" s="79"/>
      <c r="H38" s="79"/>
    </row>
    <row r="39" spans="1:11" ht="18.75">
      <c r="A39" s="145" t="s">
        <v>671</v>
      </c>
      <c r="B39" s="2343"/>
      <c r="C39" s="1157">
        <f>C37/'{f}RO&amp;NF Input'!I12</f>
        <v>245.73328898821916</v>
      </c>
      <c r="D39" s="531"/>
      <c r="E39" s="530"/>
      <c r="F39" s="530"/>
      <c r="G39" s="530"/>
      <c r="H39" s="530"/>
      <c r="I39" s="533"/>
      <c r="J39" s="530"/>
      <c r="K39" s="530"/>
    </row>
    <row r="40" spans="1:8" ht="16.5" thickBot="1">
      <c r="A40" s="147" t="s">
        <v>283</v>
      </c>
      <c r="B40" s="2344"/>
      <c r="C40" s="1158">
        <f>C37/'{f}RO&amp;NF Input'!K12</f>
        <v>0.9301004988204095</v>
      </c>
      <c r="D40" s="532"/>
      <c r="E40" s="533"/>
      <c r="F40" s="530"/>
      <c r="G40" s="530"/>
      <c r="H40" s="530"/>
    </row>
    <row r="41" spans="9:10" ht="12.75">
      <c r="I41" s="1569"/>
      <c r="J41" s="1569"/>
    </row>
    <row r="42" spans="1:10" ht="15.75">
      <c r="A42" s="1568" t="s">
        <v>680</v>
      </c>
      <c r="B42" s="1568"/>
      <c r="C42" s="1569"/>
      <c r="D42" s="1569"/>
      <c r="E42" s="1570"/>
      <c r="F42" s="1569"/>
      <c r="G42" s="1569"/>
      <c r="H42" s="1569"/>
      <c r="I42" s="1569"/>
      <c r="J42" s="1569"/>
    </row>
    <row r="43" spans="1:10" ht="12.75">
      <c r="A43" s="1571" t="s">
        <v>679</v>
      </c>
      <c r="B43" s="1571"/>
      <c r="C43" s="1569"/>
      <c r="D43" s="1569"/>
      <c r="E43" s="1569"/>
      <c r="F43" s="1569"/>
      <c r="G43" s="1569"/>
      <c r="H43" s="1569"/>
      <c r="I43" s="1569"/>
      <c r="J43" s="1569"/>
    </row>
    <row r="44" spans="1:10" ht="12.75">
      <c r="A44" s="1571" t="s">
        <v>681</v>
      </c>
      <c r="B44" s="1571"/>
      <c r="C44" s="1569"/>
      <c r="D44" s="1569"/>
      <c r="E44" s="1569"/>
      <c r="F44" s="1569"/>
      <c r="G44" s="1569"/>
      <c r="H44" s="1569"/>
      <c r="I44" s="1569"/>
      <c r="J44" s="1569"/>
    </row>
    <row r="45" spans="1:10" ht="12.75">
      <c r="A45" s="1571" t="s">
        <v>682</v>
      </c>
      <c r="B45" s="1571"/>
      <c r="C45" s="1569"/>
      <c r="D45" s="1569"/>
      <c r="E45" s="1569"/>
      <c r="F45" s="1569"/>
      <c r="G45" s="1569"/>
      <c r="H45" s="1569"/>
      <c r="I45" s="1569"/>
      <c r="J45" s="1569"/>
    </row>
    <row r="46" spans="1:8" ht="12.75">
      <c r="A46" s="1571"/>
      <c r="B46" s="1571"/>
      <c r="C46" s="1569"/>
      <c r="D46" s="1569"/>
      <c r="E46" s="1569"/>
      <c r="F46" s="1569"/>
      <c r="G46" s="1569"/>
      <c r="H46" s="1569"/>
    </row>
    <row r="47" spans="1:2" ht="12.75">
      <c r="A47" s="6"/>
      <c r="B47" s="6"/>
    </row>
    <row r="48" spans="1:2" ht="12.75">
      <c r="A48" s="80"/>
      <c r="B48" s="80"/>
    </row>
    <row r="50" spans="1:2" ht="15">
      <c r="A50" s="530"/>
      <c r="B50" s="530"/>
    </row>
    <row r="51" spans="1:2" ht="15">
      <c r="A51" s="530"/>
      <c r="B51" s="530"/>
    </row>
  </sheetData>
  <printOptions horizontalCentered="1" verticalCentered="1"/>
  <pageMargins left="0.39" right="0.33" top="0.74" bottom="1" header="0.5" footer="0.5"/>
  <pageSetup fitToHeight="1" fitToWidth="1" horizontalDpi="600" verticalDpi="600" orientation="landscape" scale="71" r:id="rId3"/>
  <headerFooter alignWithMargins="0">
    <oddHeader>&amp;C&amp;A</oddHeader>
    <oddFooter>&amp;CWater Treatment Cost Estimation Program</oddFooter>
  </headerFooter>
  <legacyDrawing r:id="rId2"/>
</worksheet>
</file>

<file path=xl/worksheets/sheet15.xml><?xml version="1.0" encoding="utf-8"?>
<worksheet xmlns="http://schemas.openxmlformats.org/spreadsheetml/2006/main" xmlns:r="http://schemas.openxmlformats.org/officeDocument/2006/relationships">
  <sheetPr codeName="Sheet31"/>
  <dimension ref="A1:J116"/>
  <sheetViews>
    <sheetView workbookViewId="0" topLeftCell="A1">
      <selection activeCell="B92" sqref="B92"/>
    </sheetView>
  </sheetViews>
  <sheetFormatPr defaultColWidth="9.140625" defaultRowHeight="12.75"/>
  <cols>
    <col min="1" max="1" width="28.57421875" style="159" customWidth="1"/>
    <col min="2" max="2" width="13.00390625" style="159" customWidth="1"/>
    <col min="3" max="5" width="9.57421875" style="159" bestFit="1" customWidth="1"/>
    <col min="6" max="7" width="10.421875" style="159" bestFit="1" customWidth="1"/>
    <col min="8" max="8" width="9.421875" style="159" bestFit="1" customWidth="1"/>
    <col min="9" max="9" width="9.140625" style="159" customWidth="1"/>
    <col min="10" max="10" width="25.8515625" style="159" bestFit="1" customWidth="1"/>
    <col min="11" max="12" width="8.00390625" style="159" customWidth="1"/>
    <col min="13" max="16384" width="9.140625" style="159"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spans="1:3" ht="18">
      <c r="A3" s="662"/>
      <c r="B3" s="663"/>
      <c r="C3" s="664"/>
    </row>
    <row r="4" spans="1:5" ht="18">
      <c r="A4" s="2162" t="s">
        <v>1189</v>
      </c>
      <c r="C4" s="2099" t="s">
        <v>987</v>
      </c>
      <c r="D4" s="1827"/>
      <c r="E4" s="1827"/>
    </row>
    <row r="5" s="226" customFormat="1" ht="12.75" customHeight="1" thickBot="1"/>
    <row r="6" spans="1:10" s="226" customFormat="1" ht="12.75" customHeight="1">
      <c r="A6" s="723"/>
      <c r="B6" s="724"/>
      <c r="C6" s="724"/>
      <c r="D6" s="724"/>
      <c r="E6" s="724"/>
      <c r="F6" s="724"/>
      <c r="G6" s="724"/>
      <c r="H6" s="724"/>
      <c r="I6" s="724"/>
      <c r="J6" s="725"/>
    </row>
    <row r="7" spans="1:10" ht="13.5" thickBot="1">
      <c r="A7" s="163"/>
      <c r="B7" s="2538" t="s">
        <v>1219</v>
      </c>
      <c r="C7" s="2538"/>
      <c r="D7" s="2538"/>
      <c r="E7" s="2538"/>
      <c r="F7" s="2538"/>
      <c r="G7" s="2538"/>
      <c r="H7" s="2538"/>
      <c r="I7" s="153"/>
      <c r="J7" s="164"/>
    </row>
    <row r="8" spans="1:10" ht="14.25">
      <c r="A8" s="681" t="s">
        <v>632</v>
      </c>
      <c r="B8" s="682">
        <v>770</v>
      </c>
      <c r="C8" s="682">
        <v>1375</v>
      </c>
      <c r="D8" s="682">
        <v>2750</v>
      </c>
      <c r="E8" s="682">
        <v>5630</v>
      </c>
      <c r="F8" s="682">
        <v>8800</v>
      </c>
      <c r="G8" s="682">
        <v>17600</v>
      </c>
      <c r="H8" s="683">
        <v>35200</v>
      </c>
      <c r="I8" s="153"/>
      <c r="J8" s="164"/>
    </row>
    <row r="9" spans="1:10" ht="14.25">
      <c r="A9" s="684" t="s">
        <v>631</v>
      </c>
      <c r="B9" s="948">
        <f aca="true" t="shared" si="0" ref="B9:G9">B8*0.02831</f>
        <v>21.7987</v>
      </c>
      <c r="C9" s="948">
        <f t="shared" si="0"/>
        <v>38.926249999999996</v>
      </c>
      <c r="D9" s="948">
        <f t="shared" si="0"/>
        <v>77.85249999999999</v>
      </c>
      <c r="E9" s="948">
        <f t="shared" si="0"/>
        <v>159.3853</v>
      </c>
      <c r="F9" s="948">
        <f t="shared" si="0"/>
        <v>249.128</v>
      </c>
      <c r="G9" s="948">
        <f t="shared" si="0"/>
        <v>498.256</v>
      </c>
      <c r="H9" s="949">
        <f>H8*0.02831</f>
        <v>996.512</v>
      </c>
      <c r="I9" s="153"/>
      <c r="J9" s="164"/>
    </row>
    <row r="10" spans="1:10" ht="12.75">
      <c r="A10" s="684" t="s">
        <v>1190</v>
      </c>
      <c r="B10" s="1164">
        <v>520</v>
      </c>
      <c r="C10" s="1164">
        <v>620</v>
      </c>
      <c r="D10" s="1164">
        <v>980</v>
      </c>
      <c r="E10" s="1164">
        <v>1390</v>
      </c>
      <c r="F10" s="1164">
        <v>1790</v>
      </c>
      <c r="G10" s="1164">
        <v>3050</v>
      </c>
      <c r="H10" s="1165">
        <v>5570</v>
      </c>
      <c r="I10" s="153"/>
      <c r="J10" s="164"/>
    </row>
    <row r="11" spans="1:10" ht="12.75">
      <c r="A11" s="685" t="s">
        <v>1067</v>
      </c>
      <c r="B11" s="1166">
        <v>1380</v>
      </c>
      <c r="C11" s="1166">
        <v>1860</v>
      </c>
      <c r="D11" s="1166">
        <v>2820</v>
      </c>
      <c r="E11" s="1166">
        <v>4050</v>
      </c>
      <c r="F11" s="1166">
        <v>5190</v>
      </c>
      <c r="G11" s="1166">
        <v>8570</v>
      </c>
      <c r="H11" s="1167">
        <v>15320</v>
      </c>
      <c r="I11" s="153"/>
      <c r="J11" s="164"/>
    </row>
    <row r="12" spans="1:10" ht="12.75">
      <c r="A12" s="685" t="s">
        <v>1066</v>
      </c>
      <c r="B12" s="1166">
        <v>2250</v>
      </c>
      <c r="C12" s="1166">
        <v>3010</v>
      </c>
      <c r="D12" s="1166">
        <v>4670</v>
      </c>
      <c r="E12" s="1166">
        <v>6560</v>
      </c>
      <c r="F12" s="1166">
        <v>8320</v>
      </c>
      <c r="G12" s="1166">
        <v>13960</v>
      </c>
      <c r="H12" s="1167">
        <v>25240</v>
      </c>
      <c r="I12" s="153"/>
      <c r="J12" s="164"/>
    </row>
    <row r="13" spans="1:10" ht="12.75">
      <c r="A13" s="685" t="s">
        <v>210</v>
      </c>
      <c r="B13" s="1166">
        <v>2830</v>
      </c>
      <c r="C13" s="1166">
        <v>3800</v>
      </c>
      <c r="D13" s="1166">
        <v>5730</v>
      </c>
      <c r="E13" s="1166">
        <v>8090</v>
      </c>
      <c r="F13" s="1166">
        <v>10240</v>
      </c>
      <c r="G13" s="1166">
        <v>16740</v>
      </c>
      <c r="H13" s="1167">
        <v>29730</v>
      </c>
      <c r="I13" s="153"/>
      <c r="J13" s="164"/>
    </row>
    <row r="14" spans="1:10" ht="12.75">
      <c r="A14" s="686" t="s">
        <v>1191</v>
      </c>
      <c r="B14" s="1168">
        <v>90</v>
      </c>
      <c r="C14" s="1168">
        <v>130</v>
      </c>
      <c r="D14" s="1168">
        <v>250</v>
      </c>
      <c r="E14" s="1168">
        <v>480</v>
      </c>
      <c r="F14" s="1168">
        <v>680</v>
      </c>
      <c r="G14" s="1168">
        <v>1360</v>
      </c>
      <c r="H14" s="1169">
        <v>3360</v>
      </c>
      <c r="I14" s="153"/>
      <c r="J14" s="164"/>
    </row>
    <row r="15" spans="1:10" ht="12.75">
      <c r="A15" s="684" t="s">
        <v>1193</v>
      </c>
      <c r="B15" s="1164">
        <f>SUM(B10:B14)</f>
        <v>7070</v>
      </c>
      <c r="C15" s="1164">
        <f aca="true" t="shared" si="1" ref="C15:H15">SUM(C10:C14)</f>
        <v>9420</v>
      </c>
      <c r="D15" s="1164">
        <f t="shared" si="1"/>
        <v>14450</v>
      </c>
      <c r="E15" s="1164">
        <f t="shared" si="1"/>
        <v>20570</v>
      </c>
      <c r="F15" s="1164">
        <f t="shared" si="1"/>
        <v>26220</v>
      </c>
      <c r="G15" s="1164">
        <f t="shared" si="1"/>
        <v>43680</v>
      </c>
      <c r="H15" s="1165">
        <f t="shared" si="1"/>
        <v>79220</v>
      </c>
      <c r="I15" s="153"/>
      <c r="J15" s="164"/>
    </row>
    <row r="16" spans="1:10" ht="12.75">
      <c r="A16" s="686" t="s">
        <v>1192</v>
      </c>
      <c r="B16" s="1168">
        <v>1060</v>
      </c>
      <c r="C16" s="1170">
        <v>1410</v>
      </c>
      <c r="D16" s="1168">
        <v>2170</v>
      </c>
      <c r="E16" s="1168">
        <v>3090</v>
      </c>
      <c r="F16" s="1168">
        <v>3930</v>
      </c>
      <c r="G16" s="1168">
        <v>6550</v>
      </c>
      <c r="H16" s="1169">
        <v>11880</v>
      </c>
      <c r="I16" s="153"/>
      <c r="J16" s="164"/>
    </row>
    <row r="17" spans="1:10" ht="13.5" thickBot="1">
      <c r="A17" s="635" t="s">
        <v>1194</v>
      </c>
      <c r="B17" s="1171">
        <f>B15+B16</f>
        <v>8130</v>
      </c>
      <c r="C17" s="1171">
        <f aca="true" t="shared" si="2" ref="C17:H17">C15+C16</f>
        <v>10830</v>
      </c>
      <c r="D17" s="1171">
        <f t="shared" si="2"/>
        <v>16620</v>
      </c>
      <c r="E17" s="1171">
        <f t="shared" si="2"/>
        <v>23660</v>
      </c>
      <c r="F17" s="1171">
        <f t="shared" si="2"/>
        <v>30150</v>
      </c>
      <c r="G17" s="1171">
        <f t="shared" si="2"/>
        <v>50230</v>
      </c>
      <c r="H17" s="1172">
        <f t="shared" si="2"/>
        <v>91100</v>
      </c>
      <c r="I17" s="153"/>
      <c r="J17" s="164"/>
    </row>
    <row r="18" spans="1:10" ht="12.75">
      <c r="A18" s="163"/>
      <c r="B18" s="153"/>
      <c r="C18" s="153"/>
      <c r="D18" s="153"/>
      <c r="E18" s="153"/>
      <c r="F18" s="153"/>
      <c r="G18" s="153"/>
      <c r="H18" s="153"/>
      <c r="I18" s="153"/>
      <c r="J18" s="164"/>
    </row>
    <row r="19" spans="1:10" ht="13.5" thickBot="1">
      <c r="A19" s="163"/>
      <c r="B19" s="2538" t="s">
        <v>633</v>
      </c>
      <c r="C19" s="2538"/>
      <c r="D19" s="2538"/>
      <c r="E19" s="2538"/>
      <c r="F19" s="2538"/>
      <c r="G19" s="2538"/>
      <c r="H19" s="2538"/>
      <c r="I19" s="219" t="s">
        <v>1195</v>
      </c>
      <c r="J19" s="164"/>
    </row>
    <row r="20" spans="1:10" ht="12.75">
      <c r="A20" s="699" t="s">
        <v>1190</v>
      </c>
      <c r="B20" s="700">
        <f aca="true" t="shared" si="3" ref="B20:H22">B10/B$15</f>
        <v>0.07355021216407355</v>
      </c>
      <c r="C20" s="700">
        <f t="shared" si="3"/>
        <v>0.06581740976645435</v>
      </c>
      <c r="D20" s="700">
        <f t="shared" si="3"/>
        <v>0.06782006920415225</v>
      </c>
      <c r="E20" s="700">
        <f t="shared" si="3"/>
        <v>0.06757413709285368</v>
      </c>
      <c r="F20" s="700">
        <f t="shared" si="3"/>
        <v>0.06826849733028223</v>
      </c>
      <c r="G20" s="700">
        <f t="shared" si="3"/>
        <v>0.06982600732600733</v>
      </c>
      <c r="H20" s="701">
        <f t="shared" si="3"/>
        <v>0.07031052764453422</v>
      </c>
      <c r="I20" s="716">
        <f>AVERAGE(B20:H20)</f>
        <v>0.0690238372183368</v>
      </c>
      <c r="J20" s="726" t="s">
        <v>1039</v>
      </c>
    </row>
    <row r="21" spans="1:10" ht="12.75">
      <c r="A21" s="702" t="s">
        <v>1067</v>
      </c>
      <c r="B21" s="671">
        <f t="shared" si="3"/>
        <v>0.19519094766619519</v>
      </c>
      <c r="C21" s="671">
        <f t="shared" si="3"/>
        <v>0.19745222929936307</v>
      </c>
      <c r="D21" s="671">
        <f t="shared" si="3"/>
        <v>0.19515570934256055</v>
      </c>
      <c r="E21" s="671">
        <f t="shared" si="3"/>
        <v>0.1968886728245017</v>
      </c>
      <c r="F21" s="671">
        <f t="shared" si="3"/>
        <v>0.19794050343249428</v>
      </c>
      <c r="G21" s="671">
        <f t="shared" si="3"/>
        <v>0.1961996336996337</v>
      </c>
      <c r="H21" s="703">
        <f t="shared" si="3"/>
        <v>0.19338550870992174</v>
      </c>
      <c r="I21" s="717">
        <f>AVERAGE(B21:H21)</f>
        <v>0.19603045785352433</v>
      </c>
      <c r="J21" s="727" t="s">
        <v>1045</v>
      </c>
    </row>
    <row r="22" spans="1:10" ht="12.75">
      <c r="A22" s="702" t="s">
        <v>1066</v>
      </c>
      <c r="B22" s="671">
        <f t="shared" si="3"/>
        <v>0.31824611032531824</v>
      </c>
      <c r="C22" s="671">
        <f t="shared" si="3"/>
        <v>0.3195329087048832</v>
      </c>
      <c r="D22" s="671">
        <f t="shared" si="3"/>
        <v>0.3231833910034602</v>
      </c>
      <c r="E22" s="671">
        <f t="shared" si="3"/>
        <v>0.3189110354885756</v>
      </c>
      <c r="F22" s="671">
        <f t="shared" si="3"/>
        <v>0.3173150266971777</v>
      </c>
      <c r="G22" s="671">
        <f t="shared" si="3"/>
        <v>0.31959706959706957</v>
      </c>
      <c r="H22" s="703">
        <f t="shared" si="3"/>
        <v>0.3186064125220904</v>
      </c>
      <c r="I22" s="717">
        <f>AVERAGE(B22:H22)</f>
        <v>0.3193417077626536</v>
      </c>
      <c r="J22" s="727" t="s">
        <v>1046</v>
      </c>
    </row>
    <row r="23" spans="1:10" ht="12.75">
      <c r="A23" s="702" t="s">
        <v>210</v>
      </c>
      <c r="B23" s="671">
        <f aca="true" t="shared" si="4" ref="B23:H23">B13/B$15</f>
        <v>0.4002828854314003</v>
      </c>
      <c r="C23" s="671">
        <f t="shared" si="4"/>
        <v>0.4033970276008493</v>
      </c>
      <c r="D23" s="671">
        <f t="shared" si="4"/>
        <v>0.3965397923875433</v>
      </c>
      <c r="E23" s="671">
        <f t="shared" si="4"/>
        <v>0.3932912007778318</v>
      </c>
      <c r="F23" s="671">
        <f t="shared" si="4"/>
        <v>0.3905415713196034</v>
      </c>
      <c r="G23" s="671">
        <f t="shared" si="4"/>
        <v>0.38324175824175827</v>
      </c>
      <c r="H23" s="703">
        <f t="shared" si="4"/>
        <v>0.375284019187074</v>
      </c>
      <c r="I23" s="717">
        <f>AVERAGE(B23:H23)</f>
        <v>0.3917968935637229</v>
      </c>
      <c r="J23" s="727" t="s">
        <v>1050</v>
      </c>
    </row>
    <row r="24" spans="1:10" ht="12.75">
      <c r="A24" s="704" t="s">
        <v>1191</v>
      </c>
      <c r="B24" s="673">
        <f aca="true" t="shared" si="5" ref="B24:H24">B14/B$15</f>
        <v>0.01272984441301273</v>
      </c>
      <c r="C24" s="673">
        <f t="shared" si="5"/>
        <v>0.013800424628450107</v>
      </c>
      <c r="D24" s="673">
        <f t="shared" si="5"/>
        <v>0.01730103806228374</v>
      </c>
      <c r="E24" s="673">
        <f t="shared" si="5"/>
        <v>0.02333495381623724</v>
      </c>
      <c r="F24" s="673">
        <f t="shared" si="5"/>
        <v>0.02593440122044241</v>
      </c>
      <c r="G24" s="673">
        <f t="shared" si="5"/>
        <v>0.031135531135531136</v>
      </c>
      <c r="H24" s="705">
        <f t="shared" si="5"/>
        <v>0.0424135319363797</v>
      </c>
      <c r="I24" s="718">
        <f>AVERAGE(B24:H24)</f>
        <v>0.023807103601762438</v>
      </c>
      <c r="J24" s="728" t="s">
        <v>1053</v>
      </c>
    </row>
    <row r="25" spans="1:10" ht="12.75">
      <c r="A25" s="706" t="s">
        <v>1193</v>
      </c>
      <c r="B25" s="672">
        <f>SUM(B20:B24)</f>
        <v>0.9999999999999999</v>
      </c>
      <c r="C25" s="672">
        <f aca="true" t="shared" si="6" ref="C25:H25">SUM(C20:C24)</f>
        <v>1</v>
      </c>
      <c r="D25" s="672">
        <f t="shared" si="6"/>
        <v>1</v>
      </c>
      <c r="E25" s="672">
        <f t="shared" si="6"/>
        <v>1</v>
      </c>
      <c r="F25" s="672">
        <f t="shared" si="6"/>
        <v>1</v>
      </c>
      <c r="G25" s="672">
        <f t="shared" si="6"/>
        <v>0.9999999999999999</v>
      </c>
      <c r="H25" s="707">
        <f t="shared" si="6"/>
        <v>1</v>
      </c>
      <c r="I25" s="698"/>
      <c r="J25" s="164"/>
    </row>
    <row r="26" spans="1:10" ht="12.75">
      <c r="A26" s="704" t="s">
        <v>1192</v>
      </c>
      <c r="B26" s="673">
        <f>B16/B$15</f>
        <v>0.14992927864214992</v>
      </c>
      <c r="C26" s="673">
        <f aca="true" t="shared" si="7" ref="C26:H26">C16/C$15</f>
        <v>0.14968152866242038</v>
      </c>
      <c r="D26" s="673">
        <f t="shared" si="7"/>
        <v>0.15017301038062283</v>
      </c>
      <c r="E26" s="673">
        <f t="shared" si="7"/>
        <v>0.15021876519202723</v>
      </c>
      <c r="F26" s="673">
        <f t="shared" si="7"/>
        <v>0.14988558352402745</v>
      </c>
      <c r="G26" s="673">
        <f t="shared" si="7"/>
        <v>0.14995421245421245</v>
      </c>
      <c r="H26" s="705">
        <f t="shared" si="7"/>
        <v>0.1499621307750568</v>
      </c>
      <c r="I26" s="676">
        <f>AVERAGE(B26:H26)</f>
        <v>0.1499720728043596</v>
      </c>
      <c r="J26" s="164"/>
    </row>
    <row r="27" spans="1:10" ht="13.5" thickBot="1">
      <c r="A27" s="708" t="s">
        <v>1194</v>
      </c>
      <c r="B27" s="709">
        <f>B25+B26</f>
        <v>1.1499292786421498</v>
      </c>
      <c r="C27" s="709">
        <f aca="true" t="shared" si="8" ref="C27:H27">C25+C26</f>
        <v>1.1496815286624205</v>
      </c>
      <c r="D27" s="709">
        <f t="shared" si="8"/>
        <v>1.150173010380623</v>
      </c>
      <c r="E27" s="709">
        <f t="shared" si="8"/>
        <v>1.1502187651920273</v>
      </c>
      <c r="F27" s="709">
        <f t="shared" si="8"/>
        <v>1.1498855835240274</v>
      </c>
      <c r="G27" s="709">
        <f t="shared" si="8"/>
        <v>1.1499542124542124</v>
      </c>
      <c r="H27" s="710">
        <f t="shared" si="8"/>
        <v>1.1499621307750567</v>
      </c>
      <c r="I27" s="450"/>
      <c r="J27" s="164"/>
    </row>
    <row r="28" spans="1:10" ht="12.75">
      <c r="A28" s="163"/>
      <c r="B28" s="153"/>
      <c r="C28" s="153"/>
      <c r="D28" s="153"/>
      <c r="E28" s="153"/>
      <c r="F28" s="153"/>
      <c r="G28" s="153"/>
      <c r="H28" s="153"/>
      <c r="I28" s="153"/>
      <c r="J28" s="164"/>
    </row>
    <row r="29" spans="1:10" ht="12.75">
      <c r="A29" s="163"/>
      <c r="B29" s="153"/>
      <c r="C29" s="153"/>
      <c r="D29" s="153"/>
      <c r="E29" s="153"/>
      <c r="F29" s="153"/>
      <c r="G29" s="153"/>
      <c r="H29" s="153"/>
      <c r="I29" s="153"/>
      <c r="J29" s="164"/>
    </row>
    <row r="30" spans="1:10" ht="12.75">
      <c r="A30" s="163"/>
      <c r="B30" s="153"/>
      <c r="C30" s="153"/>
      <c r="D30" s="153"/>
      <c r="E30" s="153"/>
      <c r="F30" s="153"/>
      <c r="G30" s="153"/>
      <c r="H30" s="153"/>
      <c r="I30" s="153"/>
      <c r="J30" s="164"/>
    </row>
    <row r="31" spans="1:10" ht="12.75">
      <c r="A31" s="163"/>
      <c r="B31" s="153"/>
      <c r="C31" s="153"/>
      <c r="D31" s="153"/>
      <c r="E31" s="153"/>
      <c r="F31" s="153"/>
      <c r="G31" s="153"/>
      <c r="H31" s="153"/>
      <c r="I31" s="153"/>
      <c r="J31" s="164"/>
    </row>
    <row r="32" spans="1:10" ht="12.75">
      <c r="A32" s="163"/>
      <c r="B32" s="153"/>
      <c r="C32" s="153"/>
      <c r="D32" s="153"/>
      <c r="E32" s="153"/>
      <c r="F32" s="153"/>
      <c r="G32" s="153"/>
      <c r="H32" s="153"/>
      <c r="I32" s="153"/>
      <c r="J32" s="164"/>
    </row>
    <row r="33" spans="1:10" ht="12.75">
      <c r="A33" s="163"/>
      <c r="B33" s="153"/>
      <c r="C33" s="153"/>
      <c r="D33" s="153"/>
      <c r="E33" s="153"/>
      <c r="F33" s="153"/>
      <c r="G33" s="153"/>
      <c r="H33" s="153"/>
      <c r="I33" s="153"/>
      <c r="J33" s="164"/>
    </row>
    <row r="34" spans="1:10" ht="12.75">
      <c r="A34" s="163"/>
      <c r="B34" s="153"/>
      <c r="C34" s="153"/>
      <c r="D34" s="153"/>
      <c r="E34" s="153"/>
      <c r="F34" s="153"/>
      <c r="G34" s="153"/>
      <c r="H34" s="153"/>
      <c r="I34" s="153"/>
      <c r="J34" s="164"/>
    </row>
    <row r="35" spans="1:10" ht="12.75">
      <c r="A35" s="163"/>
      <c r="B35" s="153"/>
      <c r="C35" s="153"/>
      <c r="D35" s="153"/>
      <c r="E35" s="153"/>
      <c r="F35" s="153"/>
      <c r="G35" s="153"/>
      <c r="H35" s="153"/>
      <c r="I35" s="153"/>
      <c r="J35" s="164"/>
    </row>
    <row r="36" spans="1:10" ht="12.75">
      <c r="A36" s="163"/>
      <c r="B36" s="153"/>
      <c r="C36" s="153"/>
      <c r="D36" s="153"/>
      <c r="E36" s="153"/>
      <c r="F36" s="153"/>
      <c r="G36" s="153"/>
      <c r="H36" s="153"/>
      <c r="I36" s="153"/>
      <c r="J36" s="164"/>
    </row>
    <row r="37" spans="1:10" ht="12.75">
      <c r="A37" s="163"/>
      <c r="B37" s="153"/>
      <c r="C37" s="153"/>
      <c r="D37" s="153"/>
      <c r="E37" s="153"/>
      <c r="F37" s="153"/>
      <c r="G37" s="153"/>
      <c r="H37" s="153"/>
      <c r="I37" s="153"/>
      <c r="J37" s="164"/>
    </row>
    <row r="38" spans="1:10" ht="12.75">
      <c r="A38" s="163"/>
      <c r="B38" s="153"/>
      <c r="C38" s="153"/>
      <c r="D38" s="153"/>
      <c r="E38" s="153"/>
      <c r="F38" s="153"/>
      <c r="G38" s="153"/>
      <c r="H38" s="153"/>
      <c r="I38" s="153"/>
      <c r="J38" s="164"/>
    </row>
    <row r="39" spans="1:10" ht="12.75">
      <c r="A39" s="163"/>
      <c r="B39" s="153"/>
      <c r="C39" s="153"/>
      <c r="D39" s="153"/>
      <c r="E39" s="153"/>
      <c r="F39" s="153"/>
      <c r="G39" s="153"/>
      <c r="H39" s="153"/>
      <c r="I39" s="153"/>
      <c r="J39" s="164"/>
    </row>
    <row r="40" spans="1:10" ht="12.75">
      <c r="A40" s="163"/>
      <c r="B40" s="153"/>
      <c r="C40" s="153"/>
      <c r="D40" s="153"/>
      <c r="E40" s="153"/>
      <c r="F40" s="153"/>
      <c r="G40" s="153"/>
      <c r="H40" s="153"/>
      <c r="I40" s="153"/>
      <c r="J40" s="164"/>
    </row>
    <row r="41" spans="1:10" ht="12.75">
      <c r="A41" s="163"/>
      <c r="B41" s="153"/>
      <c r="C41" s="153"/>
      <c r="D41" s="153"/>
      <c r="E41" s="153"/>
      <c r="F41" s="153"/>
      <c r="G41" s="153"/>
      <c r="H41" s="153"/>
      <c r="I41" s="153"/>
      <c r="J41" s="164"/>
    </row>
    <row r="42" spans="1:10" ht="12.75">
      <c r="A42" s="163"/>
      <c r="B42" s="153"/>
      <c r="C42" s="153"/>
      <c r="D42" s="153"/>
      <c r="E42" s="153"/>
      <c r="F42" s="153"/>
      <c r="G42" s="153"/>
      <c r="H42" s="153"/>
      <c r="I42" s="153"/>
      <c r="J42" s="164"/>
    </row>
    <row r="43" spans="1:10" ht="13.5" thickBot="1">
      <c r="A43" s="165"/>
      <c r="B43" s="166"/>
      <c r="C43" s="166"/>
      <c r="D43" s="166"/>
      <c r="E43" s="166"/>
      <c r="F43" s="166"/>
      <c r="G43" s="166"/>
      <c r="H43" s="166"/>
      <c r="I43" s="166"/>
      <c r="J43" s="167"/>
    </row>
    <row r="44" spans="1:10" ht="12.75">
      <c r="A44" s="161"/>
      <c r="B44" s="161"/>
      <c r="C44" s="161"/>
      <c r="D44" s="161"/>
      <c r="E44" s="161"/>
      <c r="F44" s="161"/>
      <c r="G44" s="161"/>
      <c r="H44" s="161"/>
      <c r="I44" s="161"/>
      <c r="J44" s="161"/>
    </row>
    <row r="45" spans="1:10" ht="13.5" thickBot="1">
      <c r="A45" s="166"/>
      <c r="B45" s="166"/>
      <c r="C45" s="166"/>
      <c r="D45" s="166"/>
      <c r="E45" s="166"/>
      <c r="F45" s="166"/>
      <c r="G45" s="166"/>
      <c r="H45" s="166"/>
      <c r="I45" s="166"/>
      <c r="J45" s="166"/>
    </row>
    <row r="46" spans="1:10" ht="15.75">
      <c r="A46" s="719" t="s">
        <v>1196</v>
      </c>
      <c r="B46" s="161"/>
      <c r="C46" s="161"/>
      <c r="D46" s="161"/>
      <c r="E46" s="161"/>
      <c r="F46" s="161"/>
      <c r="G46" s="161"/>
      <c r="H46" s="161"/>
      <c r="I46" s="161"/>
      <c r="J46" s="162"/>
    </row>
    <row r="47" spans="1:10" ht="13.5" thickBot="1">
      <c r="A47" s="163"/>
      <c r="B47" s="153"/>
      <c r="C47" s="153"/>
      <c r="D47" s="153"/>
      <c r="E47" s="153"/>
      <c r="F47" s="153"/>
      <c r="G47" s="153"/>
      <c r="H47" s="153"/>
      <c r="I47" s="153"/>
      <c r="J47" s="164"/>
    </row>
    <row r="48" spans="1:10" ht="12.75">
      <c r="A48" s="688" t="s">
        <v>634</v>
      </c>
      <c r="B48" s="682">
        <v>380</v>
      </c>
      <c r="C48" s="682">
        <v>750</v>
      </c>
      <c r="D48" s="682">
        <v>1500</v>
      </c>
      <c r="E48" s="682">
        <v>3750</v>
      </c>
      <c r="F48" s="682">
        <v>7500</v>
      </c>
      <c r="G48" s="683">
        <v>15000</v>
      </c>
      <c r="H48" s="153"/>
      <c r="I48" s="153"/>
      <c r="J48" s="164"/>
    </row>
    <row r="49" spans="1:10" ht="12.75">
      <c r="A49" s="632" t="s">
        <v>635</v>
      </c>
      <c r="B49" s="687">
        <f aca="true" t="shared" si="9" ref="B49:G49">B48/2.2</f>
        <v>172.72727272727272</v>
      </c>
      <c r="C49" s="687">
        <f t="shared" si="9"/>
        <v>340.9090909090909</v>
      </c>
      <c r="D49" s="687">
        <f t="shared" si="9"/>
        <v>681.8181818181818</v>
      </c>
      <c r="E49" s="687">
        <f t="shared" si="9"/>
        <v>1704.5454545454545</v>
      </c>
      <c r="F49" s="687">
        <f t="shared" si="9"/>
        <v>3409.090909090909</v>
      </c>
      <c r="G49" s="689">
        <f t="shared" si="9"/>
        <v>6818.181818181818</v>
      </c>
      <c r="H49" s="153"/>
      <c r="I49" s="153"/>
      <c r="J49" s="164"/>
    </row>
    <row r="50" spans="1:10" ht="12.75">
      <c r="A50" s="684" t="s">
        <v>1197</v>
      </c>
      <c r="B50" s="1173">
        <v>27000</v>
      </c>
      <c r="C50" s="1173">
        <v>31000</v>
      </c>
      <c r="D50" s="1173">
        <v>35250</v>
      </c>
      <c r="E50" s="1173">
        <v>49250</v>
      </c>
      <c r="F50" s="1173">
        <v>73000</v>
      </c>
      <c r="G50" s="1174">
        <v>141000</v>
      </c>
      <c r="H50" s="153"/>
      <c r="I50" s="153"/>
      <c r="J50" s="164"/>
    </row>
    <row r="51" spans="1:10" ht="12.75">
      <c r="A51" s="685" t="s">
        <v>210</v>
      </c>
      <c r="B51" s="1175">
        <v>7650</v>
      </c>
      <c r="C51" s="1175">
        <v>8780</v>
      </c>
      <c r="D51" s="1175">
        <v>12170</v>
      </c>
      <c r="E51" s="1175">
        <v>17330</v>
      </c>
      <c r="F51" s="1175">
        <v>28990</v>
      </c>
      <c r="G51" s="1176">
        <v>58010</v>
      </c>
      <c r="H51" s="153"/>
      <c r="I51" s="153"/>
      <c r="J51" s="164"/>
    </row>
    <row r="52" spans="1:10" ht="12.75">
      <c r="A52" s="685" t="s">
        <v>1191</v>
      </c>
      <c r="B52" s="1175">
        <v>1530</v>
      </c>
      <c r="C52" s="1175">
        <v>2340</v>
      </c>
      <c r="D52" s="1175">
        <v>4620</v>
      </c>
      <c r="E52" s="1175">
        <v>8710</v>
      </c>
      <c r="F52" s="1175">
        <v>16940</v>
      </c>
      <c r="G52" s="1176">
        <v>37540</v>
      </c>
      <c r="H52" s="153"/>
      <c r="I52" s="153"/>
      <c r="J52" s="164"/>
    </row>
    <row r="53" spans="1:10" ht="12.75">
      <c r="A53" s="686" t="s">
        <v>1063</v>
      </c>
      <c r="B53" s="1177">
        <v>7360</v>
      </c>
      <c r="C53" s="1177">
        <v>7360</v>
      </c>
      <c r="D53" s="1177">
        <v>7360</v>
      </c>
      <c r="E53" s="1177">
        <v>7360</v>
      </c>
      <c r="F53" s="1177">
        <v>8450</v>
      </c>
      <c r="G53" s="1178">
        <v>8900</v>
      </c>
      <c r="H53" s="153"/>
      <c r="I53" s="153"/>
      <c r="J53" s="164"/>
    </row>
    <row r="54" spans="1:10" ht="12.75">
      <c r="A54" s="684" t="s">
        <v>1193</v>
      </c>
      <c r="B54" s="1173">
        <f aca="true" t="shared" si="10" ref="B54:G54">SUM(B50:B53)</f>
        <v>43540</v>
      </c>
      <c r="C54" s="1173">
        <f t="shared" si="10"/>
        <v>49480</v>
      </c>
      <c r="D54" s="1173">
        <f t="shared" si="10"/>
        <v>59400</v>
      </c>
      <c r="E54" s="1173">
        <f t="shared" si="10"/>
        <v>82650</v>
      </c>
      <c r="F54" s="1173">
        <f t="shared" si="10"/>
        <v>127380</v>
      </c>
      <c r="G54" s="1174">
        <f t="shared" si="10"/>
        <v>245450</v>
      </c>
      <c r="H54" s="153"/>
      <c r="I54" s="153"/>
      <c r="J54" s="164"/>
    </row>
    <row r="55" spans="1:10" ht="12.75">
      <c r="A55" s="686" t="s">
        <v>1198</v>
      </c>
      <c r="B55" s="1177">
        <v>6530</v>
      </c>
      <c r="C55" s="1177">
        <v>7420</v>
      </c>
      <c r="D55" s="1177">
        <v>8910</v>
      </c>
      <c r="E55" s="1177">
        <v>12400</v>
      </c>
      <c r="F55" s="1177">
        <v>19110</v>
      </c>
      <c r="G55" s="1178">
        <v>36820</v>
      </c>
      <c r="H55" s="153"/>
      <c r="I55" s="153"/>
      <c r="J55" s="164"/>
    </row>
    <row r="56" spans="1:10" ht="13.5" thickBot="1">
      <c r="A56" s="635" t="s">
        <v>1194</v>
      </c>
      <c r="B56" s="1171">
        <f aca="true" t="shared" si="11" ref="B56:G56">B54+B55</f>
        <v>50070</v>
      </c>
      <c r="C56" s="1171">
        <f t="shared" si="11"/>
        <v>56900</v>
      </c>
      <c r="D56" s="1171">
        <f t="shared" si="11"/>
        <v>68310</v>
      </c>
      <c r="E56" s="1171">
        <f t="shared" si="11"/>
        <v>95050</v>
      </c>
      <c r="F56" s="1171">
        <f t="shared" si="11"/>
        <v>146490</v>
      </c>
      <c r="G56" s="1172">
        <f t="shared" si="11"/>
        <v>282270</v>
      </c>
      <c r="H56" s="153"/>
      <c r="I56" s="153"/>
      <c r="J56" s="164"/>
    </row>
    <row r="57" spans="1:10" ht="12.75">
      <c r="A57" s="163"/>
      <c r="B57" s="153"/>
      <c r="C57" s="153"/>
      <c r="D57" s="153"/>
      <c r="E57" s="153"/>
      <c r="F57" s="153"/>
      <c r="G57" s="153"/>
      <c r="H57" s="153"/>
      <c r="I57" s="153"/>
      <c r="J57" s="164"/>
    </row>
    <row r="58" spans="1:10" ht="13.5" thickBot="1">
      <c r="A58" s="163"/>
      <c r="B58" s="2538" t="s">
        <v>633</v>
      </c>
      <c r="C58" s="2538"/>
      <c r="D58" s="2538"/>
      <c r="E58" s="2538"/>
      <c r="F58" s="2538"/>
      <c r="G58" s="2538"/>
      <c r="H58" s="2539"/>
      <c r="I58" s="438" t="s">
        <v>1195</v>
      </c>
      <c r="J58" s="164"/>
    </row>
    <row r="59" spans="1:10" ht="12.75">
      <c r="A59" s="690" t="s">
        <v>1197</v>
      </c>
      <c r="B59" s="691">
        <f aca="true" t="shared" si="12" ref="B59:G60">B50/B$54</f>
        <v>0.6201194304088194</v>
      </c>
      <c r="C59" s="691">
        <f t="shared" si="12"/>
        <v>0.6265157639450283</v>
      </c>
      <c r="D59" s="691">
        <f t="shared" si="12"/>
        <v>0.5934343434343434</v>
      </c>
      <c r="E59" s="691">
        <f t="shared" si="12"/>
        <v>0.5958862673926195</v>
      </c>
      <c r="F59" s="691">
        <f t="shared" si="12"/>
        <v>0.5730883969225938</v>
      </c>
      <c r="G59" s="692">
        <f t="shared" si="12"/>
        <v>0.5744550825015278</v>
      </c>
      <c r="H59" s="674"/>
      <c r="I59" s="678">
        <f>AVERAGE(B59:G59)</f>
        <v>0.5972498807674887</v>
      </c>
      <c r="J59" s="720" t="s">
        <v>1059</v>
      </c>
    </row>
    <row r="60" spans="1:10" ht="12.75">
      <c r="A60" s="685" t="s">
        <v>210</v>
      </c>
      <c r="B60" s="679">
        <f t="shared" si="12"/>
        <v>0.17570050528249886</v>
      </c>
      <c r="C60" s="679">
        <f t="shared" si="12"/>
        <v>0.17744543249797898</v>
      </c>
      <c r="D60" s="679">
        <f t="shared" si="12"/>
        <v>0.2048821548821549</v>
      </c>
      <c r="E60" s="679">
        <f t="shared" si="12"/>
        <v>0.20967937084089533</v>
      </c>
      <c r="F60" s="679">
        <f t="shared" si="12"/>
        <v>0.2275867483121369</v>
      </c>
      <c r="G60" s="693">
        <f t="shared" si="12"/>
        <v>0.23634141372988388</v>
      </c>
      <c r="H60" s="675"/>
      <c r="I60" s="679">
        <f aca="true" t="shared" si="13" ref="I60:I65">AVERAGE(B60:G60)</f>
        <v>0.2052726042575915</v>
      </c>
      <c r="J60" s="721" t="s">
        <v>1050</v>
      </c>
    </row>
    <row r="61" spans="1:10" ht="12.75">
      <c r="A61" s="685" t="s">
        <v>1191</v>
      </c>
      <c r="B61" s="679">
        <f aca="true" t="shared" si="14" ref="B61:G61">B52/B$54</f>
        <v>0.03514010105649977</v>
      </c>
      <c r="C61" s="679">
        <f t="shared" si="14"/>
        <v>0.04729183508488278</v>
      </c>
      <c r="D61" s="679">
        <f t="shared" si="14"/>
        <v>0.07777777777777778</v>
      </c>
      <c r="E61" s="679">
        <f t="shared" si="14"/>
        <v>0.10538415003024804</v>
      </c>
      <c r="F61" s="679">
        <f t="shared" si="14"/>
        <v>0.13298791018998274</v>
      </c>
      <c r="G61" s="693">
        <f t="shared" si="14"/>
        <v>0.15294357302913017</v>
      </c>
      <c r="H61" s="675"/>
      <c r="I61" s="679">
        <f t="shared" si="13"/>
        <v>0.09192089119475355</v>
      </c>
      <c r="J61" s="721" t="s">
        <v>1053</v>
      </c>
    </row>
    <row r="62" spans="1:10" ht="12.75">
      <c r="A62" s="686" t="s">
        <v>1063</v>
      </c>
      <c r="B62" s="680">
        <f aca="true" t="shared" si="15" ref="B62:G62">B53/B$54</f>
        <v>0.1690399632521819</v>
      </c>
      <c r="C62" s="680">
        <f t="shared" si="15"/>
        <v>0.14874696847210994</v>
      </c>
      <c r="D62" s="680">
        <f t="shared" si="15"/>
        <v>0.12390572390572391</v>
      </c>
      <c r="E62" s="680">
        <f t="shared" si="15"/>
        <v>0.08905021173623714</v>
      </c>
      <c r="F62" s="680">
        <f t="shared" si="15"/>
        <v>0.06633694457528655</v>
      </c>
      <c r="G62" s="694">
        <f t="shared" si="15"/>
        <v>0.036259930739458136</v>
      </c>
      <c r="H62" s="676"/>
      <c r="I62" s="680">
        <f t="shared" si="13"/>
        <v>0.10555662378016627</v>
      </c>
      <c r="J62" s="722" t="s">
        <v>1049</v>
      </c>
    </row>
    <row r="63" spans="1:10" ht="12.75">
      <c r="A63" s="684" t="s">
        <v>1193</v>
      </c>
      <c r="B63" s="678"/>
      <c r="C63" s="678"/>
      <c r="D63" s="678"/>
      <c r="E63" s="678"/>
      <c r="F63" s="678"/>
      <c r="G63" s="695"/>
      <c r="H63" s="674"/>
      <c r="I63" s="678"/>
      <c r="J63" s="164"/>
    </row>
    <row r="64" spans="1:10" ht="12.75">
      <c r="A64" s="686" t="s">
        <v>1198</v>
      </c>
      <c r="B64" s="680">
        <f aca="true" t="shared" si="16" ref="B64:G64">B55/B$54</f>
        <v>0.14997703261368855</v>
      </c>
      <c r="C64" s="680">
        <f t="shared" si="16"/>
        <v>0.14995957962813258</v>
      </c>
      <c r="D64" s="680">
        <f t="shared" si="16"/>
        <v>0.15</v>
      </c>
      <c r="E64" s="680">
        <f t="shared" si="16"/>
        <v>0.1500302480338778</v>
      </c>
      <c r="F64" s="680">
        <f t="shared" si="16"/>
        <v>0.15002355157795572</v>
      </c>
      <c r="G64" s="694">
        <f t="shared" si="16"/>
        <v>0.15001018537380323</v>
      </c>
      <c r="H64" s="676"/>
      <c r="I64" s="680">
        <f t="shared" si="13"/>
        <v>0.15000009953790963</v>
      </c>
      <c r="J64" s="164"/>
    </row>
    <row r="65" spans="1:10" ht="13.5" thickBot="1">
      <c r="A65" s="635" t="s">
        <v>1194</v>
      </c>
      <c r="B65" s="696">
        <f aca="true" t="shared" si="17" ref="B65:G65">SUM(B59:B64)</f>
        <v>1.1499770326136884</v>
      </c>
      <c r="C65" s="696">
        <f t="shared" si="17"/>
        <v>1.1499595796281326</v>
      </c>
      <c r="D65" s="696">
        <f t="shared" si="17"/>
        <v>1.15</v>
      </c>
      <c r="E65" s="696">
        <f t="shared" si="17"/>
        <v>1.1500302480338778</v>
      </c>
      <c r="F65" s="696">
        <f t="shared" si="17"/>
        <v>1.1500235515779558</v>
      </c>
      <c r="G65" s="697">
        <f t="shared" si="17"/>
        <v>1.1500101853738032</v>
      </c>
      <c r="H65" s="677"/>
      <c r="I65" s="633">
        <f t="shared" si="13"/>
        <v>1.1500000995379096</v>
      </c>
      <c r="J65" s="164"/>
    </row>
    <row r="66" spans="1:10" ht="12.75">
      <c r="A66" s="163"/>
      <c r="B66" s="189"/>
      <c r="C66" s="189"/>
      <c r="D66" s="189"/>
      <c r="E66" s="189"/>
      <c r="F66" s="189"/>
      <c r="G66" s="189"/>
      <c r="H66" s="189"/>
      <c r="I66" s="153"/>
      <c r="J66" s="164"/>
    </row>
    <row r="67" spans="1:10" ht="12.75">
      <c r="A67" s="163"/>
      <c r="B67" s="153"/>
      <c r="C67" s="153"/>
      <c r="D67" s="153"/>
      <c r="E67" s="153"/>
      <c r="F67" s="153"/>
      <c r="G67" s="153"/>
      <c r="H67" s="153"/>
      <c r="I67" s="153"/>
      <c r="J67" s="164"/>
    </row>
    <row r="68" spans="1:10" ht="12.75">
      <c r="A68" s="163"/>
      <c r="B68" s="153"/>
      <c r="C68" s="153"/>
      <c r="D68" s="153"/>
      <c r="E68" s="153"/>
      <c r="F68" s="153"/>
      <c r="G68" s="153"/>
      <c r="H68" s="153"/>
      <c r="I68" s="153"/>
      <c r="J68" s="164"/>
    </row>
    <row r="69" spans="1:10" ht="12.75">
      <c r="A69" s="163"/>
      <c r="B69" s="153"/>
      <c r="C69" s="153"/>
      <c r="D69" s="153"/>
      <c r="E69" s="153"/>
      <c r="F69" s="153"/>
      <c r="G69" s="153"/>
      <c r="H69" s="153"/>
      <c r="I69" s="153"/>
      <c r="J69" s="164"/>
    </row>
    <row r="70" spans="1:10" ht="12.75">
      <c r="A70" s="163"/>
      <c r="B70" s="153"/>
      <c r="C70" s="153"/>
      <c r="D70" s="153"/>
      <c r="E70" s="153"/>
      <c r="F70" s="153"/>
      <c r="G70" s="153"/>
      <c r="H70" s="153"/>
      <c r="I70" s="153"/>
      <c r="J70" s="164"/>
    </row>
    <row r="71" spans="1:10" ht="12.75">
      <c r="A71" s="163"/>
      <c r="B71" s="153"/>
      <c r="C71" s="153"/>
      <c r="D71" s="153"/>
      <c r="E71" s="153"/>
      <c r="F71" s="153"/>
      <c r="G71" s="153"/>
      <c r="H71" s="153"/>
      <c r="I71" s="153"/>
      <c r="J71" s="164"/>
    </row>
    <row r="72" spans="1:10" ht="12.75">
      <c r="A72" s="163"/>
      <c r="B72" s="153"/>
      <c r="C72" s="153"/>
      <c r="D72" s="153"/>
      <c r="E72" s="153"/>
      <c r="F72" s="153"/>
      <c r="G72" s="153"/>
      <c r="H72" s="153"/>
      <c r="I72" s="153"/>
      <c r="J72" s="164"/>
    </row>
    <row r="73" spans="1:10" ht="12.75">
      <c r="A73" s="163"/>
      <c r="B73" s="153"/>
      <c r="C73" s="153"/>
      <c r="D73" s="153"/>
      <c r="E73" s="153"/>
      <c r="F73" s="153"/>
      <c r="G73" s="153"/>
      <c r="H73" s="153"/>
      <c r="I73" s="153"/>
      <c r="J73" s="164"/>
    </row>
    <row r="74" spans="1:10" ht="12.75">
      <c r="A74" s="163"/>
      <c r="B74" s="153"/>
      <c r="C74" s="153"/>
      <c r="D74" s="153"/>
      <c r="E74" s="153"/>
      <c r="F74" s="153"/>
      <c r="G74" s="153"/>
      <c r="H74" s="153"/>
      <c r="I74" s="153"/>
      <c r="J74" s="164"/>
    </row>
    <row r="75" spans="1:10" ht="12.75">
      <c r="A75" s="163"/>
      <c r="B75" s="153"/>
      <c r="C75" s="153"/>
      <c r="D75" s="153"/>
      <c r="E75" s="153"/>
      <c r="F75" s="153"/>
      <c r="G75" s="153"/>
      <c r="H75" s="153"/>
      <c r="I75" s="153"/>
      <c r="J75" s="164"/>
    </row>
    <row r="76" spans="1:10" ht="12.75">
      <c r="A76" s="163"/>
      <c r="B76" s="153"/>
      <c r="C76" s="153"/>
      <c r="D76" s="153"/>
      <c r="E76" s="153"/>
      <c r="F76" s="153"/>
      <c r="G76" s="153"/>
      <c r="H76" s="153"/>
      <c r="I76" s="153"/>
      <c r="J76" s="164"/>
    </row>
    <row r="77" spans="1:10" ht="12.75">
      <c r="A77" s="163"/>
      <c r="B77" s="153"/>
      <c r="C77" s="153"/>
      <c r="D77" s="153"/>
      <c r="E77" s="153"/>
      <c r="F77" s="153"/>
      <c r="G77" s="153"/>
      <c r="H77" s="153"/>
      <c r="I77" s="153"/>
      <c r="J77" s="164"/>
    </row>
    <row r="78" spans="1:10" ht="12.75">
      <c r="A78" s="163"/>
      <c r="B78" s="153"/>
      <c r="C78" s="153"/>
      <c r="D78" s="153"/>
      <c r="E78" s="153"/>
      <c r="F78" s="153"/>
      <c r="G78" s="153"/>
      <c r="H78" s="153"/>
      <c r="I78" s="153"/>
      <c r="J78" s="164"/>
    </row>
    <row r="79" spans="1:10" ht="12.75">
      <c r="A79" s="163"/>
      <c r="B79" s="153"/>
      <c r="C79" s="153"/>
      <c r="D79" s="153"/>
      <c r="E79" s="153"/>
      <c r="F79" s="153"/>
      <c r="G79" s="153"/>
      <c r="H79" s="153"/>
      <c r="I79" s="153"/>
      <c r="J79" s="164"/>
    </row>
    <row r="80" spans="1:10" ht="13.5" thickBot="1">
      <c r="A80" s="165"/>
      <c r="B80" s="166"/>
      <c r="C80" s="166"/>
      <c r="D80" s="166"/>
      <c r="E80" s="166"/>
      <c r="F80" s="166"/>
      <c r="G80" s="166"/>
      <c r="H80" s="166"/>
      <c r="I80" s="166"/>
      <c r="J80" s="167"/>
    </row>
    <row r="81" spans="1:10" ht="12.75">
      <c r="A81" s="161"/>
      <c r="B81" s="161"/>
      <c r="C81" s="161"/>
      <c r="D81" s="161"/>
      <c r="E81" s="161"/>
      <c r="F81" s="161"/>
      <c r="G81" s="161"/>
      <c r="H81" s="161"/>
      <c r="I81" s="161"/>
      <c r="J81" s="161"/>
    </row>
    <row r="82" spans="1:10" ht="13.5" thickBot="1">
      <c r="A82" s="166"/>
      <c r="B82" s="166"/>
      <c r="C82" s="166"/>
      <c r="D82" s="166"/>
      <c r="E82" s="166"/>
      <c r="F82" s="166"/>
      <c r="G82" s="166"/>
      <c r="H82" s="166"/>
      <c r="I82" s="166"/>
      <c r="J82" s="166"/>
    </row>
    <row r="83" spans="1:10" ht="15.75">
      <c r="A83" s="719" t="s">
        <v>185</v>
      </c>
      <c r="B83" s="161"/>
      <c r="C83" s="161"/>
      <c r="D83" s="161"/>
      <c r="E83" s="161"/>
      <c r="F83" s="161"/>
      <c r="G83" s="161"/>
      <c r="H83" s="161"/>
      <c r="I83" s="161"/>
      <c r="J83" s="162"/>
    </row>
    <row r="84" spans="1:10" ht="13.5" thickBot="1">
      <c r="A84" s="163"/>
      <c r="B84" s="153"/>
      <c r="C84" s="153"/>
      <c r="D84" s="153"/>
      <c r="E84" s="153"/>
      <c r="F84" s="153"/>
      <c r="G84" s="153"/>
      <c r="H84" s="153"/>
      <c r="I84" s="153"/>
      <c r="J84" s="164"/>
    </row>
    <row r="85" spans="1:10" ht="12.75">
      <c r="A85" s="688" t="s">
        <v>634</v>
      </c>
      <c r="B85" s="682">
        <v>380</v>
      </c>
      <c r="C85" s="682">
        <v>750</v>
      </c>
      <c r="D85" s="682">
        <v>1500</v>
      </c>
      <c r="E85" s="682">
        <v>3750</v>
      </c>
      <c r="F85" s="682">
        <v>7500</v>
      </c>
      <c r="G85" s="683">
        <v>15000</v>
      </c>
      <c r="H85" s="153"/>
      <c r="I85" s="153"/>
      <c r="J85" s="164"/>
    </row>
    <row r="86" spans="1:10" ht="12.75">
      <c r="A86" s="632" t="s">
        <v>635</v>
      </c>
      <c r="B86" s="687">
        <f aca="true" t="shared" si="18" ref="B86:G86">B85/2.2</f>
        <v>172.72727272727272</v>
      </c>
      <c r="C86" s="687">
        <f t="shared" si="18"/>
        <v>340.9090909090909</v>
      </c>
      <c r="D86" s="687">
        <f t="shared" si="18"/>
        <v>681.8181818181818</v>
      </c>
      <c r="E86" s="687">
        <f t="shared" si="18"/>
        <v>1704.5454545454545</v>
      </c>
      <c r="F86" s="687">
        <f t="shared" si="18"/>
        <v>3409.090909090909</v>
      </c>
      <c r="G86" s="689">
        <f t="shared" si="18"/>
        <v>6818.181818181818</v>
      </c>
      <c r="H86" s="153"/>
      <c r="I86" s="153"/>
      <c r="J86" s="164"/>
    </row>
    <row r="87" spans="1:10" ht="12.75">
      <c r="A87" s="711" t="s">
        <v>1204</v>
      </c>
      <c r="B87" s="1179">
        <v>519.9</v>
      </c>
      <c r="C87" s="1179">
        <v>728.4</v>
      </c>
      <c r="D87" s="1179">
        <v>1146.9</v>
      </c>
      <c r="E87" s="1179">
        <v>2290.2</v>
      </c>
      <c r="F87" s="1179">
        <v>4428.3</v>
      </c>
      <c r="G87" s="1180">
        <v>8549.1</v>
      </c>
      <c r="H87" s="153"/>
      <c r="I87" s="153"/>
      <c r="J87" s="164"/>
    </row>
    <row r="88" spans="1:10" ht="12.75">
      <c r="A88" s="685" t="s">
        <v>1199</v>
      </c>
      <c r="B88" s="1175">
        <v>2860</v>
      </c>
      <c r="C88" s="1175">
        <v>3300</v>
      </c>
      <c r="D88" s="1175">
        <v>4400</v>
      </c>
      <c r="E88" s="1175">
        <v>5500</v>
      </c>
      <c r="F88" s="1175">
        <v>7700</v>
      </c>
      <c r="G88" s="1176">
        <v>10000</v>
      </c>
      <c r="H88" s="153"/>
      <c r="I88" s="153"/>
      <c r="J88" s="164"/>
    </row>
    <row r="89" spans="1:10" ht="12.75">
      <c r="A89" s="686" t="s">
        <v>1203</v>
      </c>
      <c r="B89" s="1177">
        <v>910</v>
      </c>
      <c r="C89" s="1177">
        <v>910</v>
      </c>
      <c r="D89" s="1177">
        <v>910</v>
      </c>
      <c r="E89" s="1177">
        <v>1820</v>
      </c>
      <c r="F89" s="1177">
        <v>1820</v>
      </c>
      <c r="G89" s="1178">
        <v>2730</v>
      </c>
      <c r="H89" s="153"/>
      <c r="I89" s="153"/>
      <c r="J89" s="164"/>
    </row>
    <row r="90" spans="1:10" ht="13.5" thickBot="1">
      <c r="A90" s="635" t="s">
        <v>1200</v>
      </c>
      <c r="B90" s="1171">
        <f aca="true" t="shared" si="19" ref="B90:G90">SUM(B87:B89)</f>
        <v>4289.9</v>
      </c>
      <c r="C90" s="1171">
        <f t="shared" si="19"/>
        <v>4938.4</v>
      </c>
      <c r="D90" s="1171">
        <f t="shared" si="19"/>
        <v>6456.9</v>
      </c>
      <c r="E90" s="1171">
        <f t="shared" si="19"/>
        <v>9610.2</v>
      </c>
      <c r="F90" s="1171">
        <f t="shared" si="19"/>
        <v>13948.3</v>
      </c>
      <c r="G90" s="1172">
        <f t="shared" si="19"/>
        <v>21279.1</v>
      </c>
      <c r="H90" s="153"/>
      <c r="I90" s="153"/>
      <c r="J90" s="164"/>
    </row>
    <row r="91" spans="1:10" ht="12.75">
      <c r="A91" s="163"/>
      <c r="B91" s="153"/>
      <c r="C91" s="153"/>
      <c r="D91" s="153"/>
      <c r="E91" s="153"/>
      <c r="F91" s="153"/>
      <c r="G91" s="153"/>
      <c r="H91" s="153"/>
      <c r="I91" s="153"/>
      <c r="J91" s="164"/>
    </row>
    <row r="92" spans="1:10" ht="12.75">
      <c r="A92" s="163" t="s">
        <v>1201</v>
      </c>
      <c r="B92" s="153">
        <v>0.03</v>
      </c>
      <c r="C92" s="153"/>
      <c r="D92" s="153"/>
      <c r="E92" s="153"/>
      <c r="F92" s="153"/>
      <c r="G92" s="153"/>
      <c r="H92" s="153"/>
      <c r="I92" s="153"/>
      <c r="J92" s="164"/>
    </row>
    <row r="93" spans="1:10" ht="12.75">
      <c r="A93" s="163" t="s">
        <v>1202</v>
      </c>
      <c r="B93" s="153">
        <v>10</v>
      </c>
      <c r="C93" s="153"/>
      <c r="D93" s="153"/>
      <c r="E93" s="153"/>
      <c r="F93" s="153"/>
      <c r="G93" s="153"/>
      <c r="H93" s="153"/>
      <c r="I93" s="153"/>
      <c r="J93" s="164"/>
    </row>
    <row r="94" spans="1:10" ht="13.5" thickBot="1">
      <c r="A94" s="163"/>
      <c r="B94" s="153"/>
      <c r="C94" s="153"/>
      <c r="D94" s="153"/>
      <c r="E94" s="153"/>
      <c r="F94" s="153"/>
      <c r="G94" s="153"/>
      <c r="H94" s="153"/>
      <c r="I94" s="438" t="s">
        <v>1195</v>
      </c>
      <c r="J94" s="164"/>
    </row>
    <row r="95" spans="1:10" ht="12.75">
      <c r="A95" s="690" t="s">
        <v>1204</v>
      </c>
      <c r="B95" s="691">
        <f aca="true" t="shared" si="20" ref="B95:G97">B87/B$90</f>
        <v>0.12119163616867526</v>
      </c>
      <c r="C95" s="691">
        <f t="shared" si="20"/>
        <v>0.14749716507370808</v>
      </c>
      <c r="D95" s="691">
        <f t="shared" si="20"/>
        <v>0.17762393718347816</v>
      </c>
      <c r="E95" s="691">
        <f t="shared" si="20"/>
        <v>0.23830929637260406</v>
      </c>
      <c r="F95" s="691">
        <f t="shared" si="20"/>
        <v>0.317479549479148</v>
      </c>
      <c r="G95" s="692">
        <f t="shared" si="20"/>
        <v>0.40176041279941355</v>
      </c>
      <c r="H95" s="698"/>
      <c r="I95" s="678">
        <f>AVERAGE(B95:G95)</f>
        <v>0.23397699951283787</v>
      </c>
      <c r="J95" s="720" t="s">
        <v>1054</v>
      </c>
    </row>
    <row r="96" spans="1:10" ht="12.75">
      <c r="A96" s="685" t="s">
        <v>1199</v>
      </c>
      <c r="B96" s="679">
        <f t="shared" si="20"/>
        <v>0.6666822070444534</v>
      </c>
      <c r="C96" s="679">
        <f t="shared" si="20"/>
        <v>0.6682326259517253</v>
      </c>
      <c r="D96" s="679">
        <f t="shared" si="20"/>
        <v>0.6814415586426924</v>
      </c>
      <c r="E96" s="679">
        <f t="shared" si="20"/>
        <v>0.5723085887910762</v>
      </c>
      <c r="F96" s="679">
        <f t="shared" si="20"/>
        <v>0.5520385996859832</v>
      </c>
      <c r="G96" s="693">
        <f t="shared" si="20"/>
        <v>0.46994468751028007</v>
      </c>
      <c r="H96" s="713"/>
      <c r="I96" s="679">
        <f>AVERAGE(B96:G96)</f>
        <v>0.6017747112710351</v>
      </c>
      <c r="J96" s="721" t="s">
        <v>1053</v>
      </c>
    </row>
    <row r="97" spans="1:10" ht="12.75">
      <c r="A97" s="686" t="s">
        <v>1203</v>
      </c>
      <c r="B97" s="680">
        <f t="shared" si="20"/>
        <v>0.2121261567868715</v>
      </c>
      <c r="C97" s="680">
        <f t="shared" si="20"/>
        <v>0.18427020897456667</v>
      </c>
      <c r="D97" s="680">
        <f t="shared" si="20"/>
        <v>0.14093450417382955</v>
      </c>
      <c r="E97" s="680">
        <f t="shared" si="20"/>
        <v>0.18938211483631973</v>
      </c>
      <c r="F97" s="680">
        <f t="shared" si="20"/>
        <v>0.13048185083486877</v>
      </c>
      <c r="G97" s="694">
        <f t="shared" si="20"/>
        <v>0.12829489969030647</v>
      </c>
      <c r="H97" s="714"/>
      <c r="I97" s="680">
        <f>AVERAGE(B97:G97)</f>
        <v>0.1642482892161271</v>
      </c>
      <c r="J97" s="722" t="s">
        <v>1050</v>
      </c>
    </row>
    <row r="98" spans="1:10" ht="13.5" thickBot="1">
      <c r="A98" s="635" t="s">
        <v>1200</v>
      </c>
      <c r="B98" s="712">
        <f aca="true" t="shared" si="21" ref="B98:G98">SUM(B95:B97)</f>
        <v>1</v>
      </c>
      <c r="C98" s="712">
        <f t="shared" si="21"/>
        <v>1</v>
      </c>
      <c r="D98" s="712">
        <f t="shared" si="21"/>
        <v>1</v>
      </c>
      <c r="E98" s="712">
        <f t="shared" si="21"/>
        <v>1</v>
      </c>
      <c r="F98" s="712">
        <f t="shared" si="21"/>
        <v>1</v>
      </c>
      <c r="G98" s="715">
        <f t="shared" si="21"/>
        <v>1</v>
      </c>
      <c r="H98" s="450"/>
      <c r="I98" s="633">
        <f>SUM(I95:I97)</f>
        <v>1</v>
      </c>
      <c r="J98" s="164"/>
    </row>
    <row r="99" spans="1:10" ht="12.75">
      <c r="A99" s="163"/>
      <c r="B99" s="153"/>
      <c r="C99" s="153"/>
      <c r="D99" s="153"/>
      <c r="E99" s="153"/>
      <c r="F99" s="153"/>
      <c r="G99" s="153"/>
      <c r="H99" s="153"/>
      <c r="I99" s="153"/>
      <c r="J99" s="164"/>
    </row>
    <row r="100" spans="1:10" ht="12.75">
      <c r="A100" s="163"/>
      <c r="B100" s="153"/>
      <c r="C100" s="153"/>
      <c r="D100" s="153"/>
      <c r="E100" s="153"/>
      <c r="F100" s="153"/>
      <c r="G100" s="153"/>
      <c r="H100" s="153"/>
      <c r="I100" s="153"/>
      <c r="J100" s="164"/>
    </row>
    <row r="101" spans="1:10" ht="12.75">
      <c r="A101" s="163"/>
      <c r="B101" s="153"/>
      <c r="C101" s="153"/>
      <c r="D101" s="153"/>
      <c r="E101" s="153"/>
      <c r="F101" s="153"/>
      <c r="G101" s="153"/>
      <c r="H101" s="153"/>
      <c r="I101" s="153"/>
      <c r="J101" s="164"/>
    </row>
    <row r="102" spans="1:10" ht="12.75">
      <c r="A102" s="163"/>
      <c r="B102" s="153"/>
      <c r="C102" s="153"/>
      <c r="D102" s="153"/>
      <c r="E102" s="153"/>
      <c r="F102" s="153"/>
      <c r="G102" s="153"/>
      <c r="H102" s="153"/>
      <c r="I102" s="153"/>
      <c r="J102" s="164"/>
    </row>
    <row r="103" spans="1:10" ht="12.75">
      <c r="A103" s="163"/>
      <c r="B103" s="153"/>
      <c r="C103" s="153"/>
      <c r="D103" s="153"/>
      <c r="E103" s="153"/>
      <c r="F103" s="153"/>
      <c r="G103" s="153"/>
      <c r="H103" s="153"/>
      <c r="I103" s="153"/>
      <c r="J103" s="164"/>
    </row>
    <row r="104" spans="1:10" ht="12.75">
      <c r="A104" s="163"/>
      <c r="B104" s="153"/>
      <c r="C104" s="153"/>
      <c r="D104" s="153"/>
      <c r="E104" s="153"/>
      <c r="F104" s="153"/>
      <c r="G104" s="153"/>
      <c r="H104" s="153"/>
      <c r="I104" s="153"/>
      <c r="J104" s="164"/>
    </row>
    <row r="105" spans="1:10" ht="12.75">
      <c r="A105" s="163"/>
      <c r="B105" s="153"/>
      <c r="C105" s="153"/>
      <c r="D105" s="153"/>
      <c r="E105" s="153"/>
      <c r="F105" s="153"/>
      <c r="G105" s="153"/>
      <c r="H105" s="153"/>
      <c r="I105" s="153"/>
      <c r="J105" s="164"/>
    </row>
    <row r="106" spans="1:10" ht="12.75">
      <c r="A106" s="163"/>
      <c r="B106" s="153"/>
      <c r="C106" s="153"/>
      <c r="D106" s="153"/>
      <c r="E106" s="153"/>
      <c r="F106" s="153"/>
      <c r="G106" s="153"/>
      <c r="H106" s="153"/>
      <c r="I106" s="153"/>
      <c r="J106" s="164"/>
    </row>
    <row r="107" spans="1:10" ht="12.75">
      <c r="A107" s="163"/>
      <c r="B107" s="153"/>
      <c r="C107" s="153"/>
      <c r="D107" s="153"/>
      <c r="E107" s="153"/>
      <c r="F107" s="153"/>
      <c r="G107" s="153"/>
      <c r="H107" s="153"/>
      <c r="I107" s="153"/>
      <c r="J107" s="164"/>
    </row>
    <row r="108" spans="1:10" ht="12.75">
      <c r="A108" s="163"/>
      <c r="B108" s="153"/>
      <c r="C108" s="153"/>
      <c r="D108" s="153"/>
      <c r="E108" s="153"/>
      <c r="F108" s="153"/>
      <c r="G108" s="153"/>
      <c r="H108" s="153"/>
      <c r="I108" s="153"/>
      <c r="J108" s="164"/>
    </row>
    <row r="109" spans="1:10" ht="12.75">
      <c r="A109" s="163"/>
      <c r="B109" s="153"/>
      <c r="C109" s="153"/>
      <c r="D109" s="153"/>
      <c r="E109" s="153"/>
      <c r="F109" s="153"/>
      <c r="G109" s="153"/>
      <c r="H109" s="153"/>
      <c r="I109" s="153"/>
      <c r="J109" s="164"/>
    </row>
    <row r="110" spans="1:10" ht="12.75">
      <c r="A110" s="163"/>
      <c r="B110" s="153"/>
      <c r="C110" s="153"/>
      <c r="D110" s="153"/>
      <c r="E110" s="153"/>
      <c r="F110" s="153"/>
      <c r="G110" s="153"/>
      <c r="H110" s="153"/>
      <c r="I110" s="153"/>
      <c r="J110" s="164"/>
    </row>
    <row r="111" spans="1:10" ht="12.75">
      <c r="A111" s="163"/>
      <c r="B111" s="153"/>
      <c r="C111" s="153"/>
      <c r="D111" s="153"/>
      <c r="E111" s="153"/>
      <c r="F111" s="153"/>
      <c r="G111" s="153"/>
      <c r="H111" s="153"/>
      <c r="I111" s="153"/>
      <c r="J111" s="164"/>
    </row>
    <row r="112" spans="1:10" ht="12.75">
      <c r="A112" s="163"/>
      <c r="B112" s="153"/>
      <c r="C112" s="153"/>
      <c r="D112" s="153"/>
      <c r="E112" s="153"/>
      <c r="F112" s="153"/>
      <c r="G112" s="153"/>
      <c r="H112" s="153"/>
      <c r="I112" s="153"/>
      <c r="J112" s="164"/>
    </row>
    <row r="113" spans="1:10" ht="13.5" thickBot="1">
      <c r="A113" s="165"/>
      <c r="B113" s="166"/>
      <c r="C113" s="166"/>
      <c r="D113" s="166"/>
      <c r="E113" s="166"/>
      <c r="F113" s="166"/>
      <c r="G113" s="166"/>
      <c r="H113" s="166"/>
      <c r="I113" s="166"/>
      <c r="J113" s="167"/>
    </row>
    <row r="116" ht="12.75">
      <c r="A116" s="1746" t="s">
        <v>1577</v>
      </c>
    </row>
  </sheetData>
  <mergeCells count="3">
    <mergeCell ref="B7:H7"/>
    <mergeCell ref="B19:H19"/>
    <mergeCell ref="B58:H58"/>
  </mergeCells>
  <printOptions/>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AC59"/>
  <sheetViews>
    <sheetView workbookViewId="0" topLeftCell="A1">
      <selection activeCell="C18" sqref="C18"/>
    </sheetView>
  </sheetViews>
  <sheetFormatPr defaultColWidth="9.140625" defaultRowHeight="12.75"/>
  <cols>
    <col min="1" max="1" width="37.28125" style="35" customWidth="1"/>
    <col min="2" max="2" width="12.140625" style="35" bestFit="1" customWidth="1"/>
    <col min="3" max="4" width="15.421875" style="35" customWidth="1"/>
    <col min="5" max="5" width="10.8515625" style="35" customWidth="1"/>
    <col min="6" max="6" width="11.28125" style="35" customWidth="1"/>
    <col min="7" max="8" width="10.421875" style="35" bestFit="1" customWidth="1"/>
    <col min="9" max="9" width="12.00390625" style="35" customWidth="1"/>
    <col min="10" max="10" width="21.140625" style="35" customWidth="1"/>
    <col min="11" max="11" width="14.140625" style="35" customWidth="1"/>
    <col min="12" max="12" width="14.7109375" style="35" customWidth="1"/>
    <col min="13" max="13" width="12.57421875" style="35" bestFit="1" customWidth="1"/>
    <col min="14" max="14" width="9.140625" style="35" customWidth="1"/>
    <col min="15" max="15" width="14.28125" style="35" customWidth="1"/>
    <col min="16" max="16" width="12.140625" style="35" customWidth="1"/>
    <col min="17" max="17" width="8.140625" style="35" customWidth="1"/>
    <col min="18" max="16384" width="9.140625" style="35" customWidth="1"/>
  </cols>
  <sheetData>
    <row r="1" spans="1:4" ht="15.75">
      <c r="A1" s="381" t="s">
        <v>846</v>
      </c>
      <c r="B1" s="382" t="s">
        <v>847</v>
      </c>
      <c r="C1" s="383" t="s">
        <v>848</v>
      </c>
      <c r="D1" s="526"/>
    </row>
    <row r="2" spans="1:4" ht="18.75" thickBot="1">
      <c r="A2" s="396" t="str">
        <f>'{a}Project &amp; Stage Info'!C3</f>
        <v>Model Development</v>
      </c>
      <c r="B2" s="397">
        <f>'{a}Project &amp; Stage Info'!C5</f>
        <v>38145</v>
      </c>
      <c r="C2" s="398" t="str">
        <f>'{a}Project &amp; Stage Info'!C7</f>
        <v>A1</v>
      </c>
      <c r="D2" s="664"/>
    </row>
    <row r="3" ht="15"/>
    <row r="4" spans="1:29" ht="18">
      <c r="A4" s="665" t="s">
        <v>440</v>
      </c>
      <c r="B4" s="33"/>
      <c r="C4" s="292"/>
      <c r="D4" s="292"/>
      <c r="E4" s="292"/>
      <c r="F4" s="292"/>
      <c r="G4" s="33"/>
      <c r="H4" s="33"/>
      <c r="I4" s="33"/>
      <c r="J4" s="33"/>
      <c r="P4" s="36"/>
      <c r="Q4" s="36"/>
      <c r="R4" s="36"/>
      <c r="S4" s="36"/>
      <c r="T4" s="36"/>
      <c r="U4" s="36"/>
      <c r="V4" s="36"/>
      <c r="W4" s="36"/>
      <c r="X4" s="36"/>
      <c r="Y4" s="36"/>
      <c r="Z4" s="36"/>
      <c r="AA4" s="36"/>
      <c r="AB4" s="36"/>
      <c r="AC4" s="36"/>
    </row>
    <row r="5" spans="1:29" s="47" customFormat="1" ht="12.75">
      <c r="A5" s="514" t="s">
        <v>61</v>
      </c>
      <c r="B5" s="966"/>
      <c r="C5" s="967"/>
      <c r="D5" s="967"/>
      <c r="E5" s="967"/>
      <c r="F5" s="967"/>
      <c r="G5" s="966"/>
      <c r="H5" s="966"/>
      <c r="I5" s="966"/>
      <c r="J5" s="966"/>
      <c r="P5" s="18"/>
      <c r="Q5" s="18"/>
      <c r="R5" s="18"/>
      <c r="S5" s="18"/>
      <c r="T5" s="18"/>
      <c r="U5" s="18"/>
      <c r="V5" s="18"/>
      <c r="W5" s="18"/>
      <c r="X5" s="18"/>
      <c r="Y5" s="18"/>
      <c r="Z5" s="18"/>
      <c r="AA5" s="18"/>
      <c r="AB5" s="18"/>
      <c r="AC5" s="18"/>
    </row>
    <row r="6" spans="1:29" s="48" customFormat="1" ht="13.5" thickBot="1">
      <c r="A6" s="968"/>
      <c r="B6" s="969"/>
      <c r="C6" s="970"/>
      <c r="D6" s="970"/>
      <c r="E6" s="970"/>
      <c r="F6" s="970"/>
      <c r="G6" s="969"/>
      <c r="H6" s="969"/>
      <c r="I6" s="969"/>
      <c r="J6" s="969"/>
      <c r="P6" s="49"/>
      <c r="Q6" s="49"/>
      <c r="R6" s="49"/>
      <c r="S6" s="49"/>
      <c r="T6" s="49"/>
      <c r="U6" s="49"/>
      <c r="V6" s="49"/>
      <c r="W6" s="49"/>
      <c r="X6" s="49"/>
      <c r="Y6" s="49"/>
      <c r="Z6" s="49"/>
      <c r="AA6" s="49"/>
      <c r="AB6" s="49"/>
      <c r="AC6" s="49"/>
    </row>
    <row r="7" spans="1:27" s="48" customFormat="1" ht="15.75">
      <c r="A7" s="2126" t="s">
        <v>21</v>
      </c>
      <c r="B7" s="2127" t="s">
        <v>62</v>
      </c>
      <c r="C7" s="2127" t="s">
        <v>1030</v>
      </c>
      <c r="D7" s="2128"/>
      <c r="E7" s="969"/>
      <c r="F7" s="969"/>
      <c r="G7" s="969"/>
      <c r="H7" s="969"/>
      <c r="N7" s="49"/>
      <c r="O7" s="49"/>
      <c r="P7" s="49"/>
      <c r="Q7" s="49"/>
      <c r="R7" s="49"/>
      <c r="S7" s="49"/>
      <c r="T7" s="49"/>
      <c r="U7" s="49"/>
      <c r="V7" s="49"/>
      <c r="W7" s="49"/>
      <c r="X7" s="49"/>
      <c r="Y7" s="49"/>
      <c r="Z7" s="49"/>
      <c r="AA7" s="49"/>
    </row>
    <row r="8" spans="1:27" s="65" customFormat="1" ht="12.75">
      <c r="A8" s="2110" t="s">
        <v>58</v>
      </c>
      <c r="B8" s="2013">
        <f>IF('{f}RO&amp;NF Input'!$B$18="Y",(('{b}Capacity'!$B$27-'{f}RO&amp;NF Input'!$B$25)/'{f}RO&amp;NF Input'!$B$19),'{b}Capacity'!$B$32)</f>
        <v>-433.68884804345635</v>
      </c>
      <c r="C8" s="2012">
        <f>B8</f>
        <v>-433.68884804345635</v>
      </c>
      <c r="D8" s="2111" t="s">
        <v>1</v>
      </c>
      <c r="E8" s="48"/>
      <c r="J8" s="972"/>
      <c r="K8" s="972"/>
      <c r="L8" s="972"/>
      <c r="N8" s="972"/>
      <c r="O8" s="972"/>
      <c r="P8" s="972"/>
      <c r="Q8" s="972"/>
      <c r="R8" s="973"/>
      <c r="S8" s="973"/>
      <c r="T8" s="973"/>
      <c r="U8" s="973"/>
      <c r="V8" s="973"/>
      <c r="W8" s="973"/>
      <c r="X8" s="973"/>
      <c r="Y8" s="973"/>
      <c r="Z8" s="973"/>
      <c r="AA8" s="973"/>
    </row>
    <row r="9" spans="1:27" s="65" customFormat="1" ht="14.25">
      <c r="A9" s="2110"/>
      <c r="B9" s="2013">
        <f>$B$8*(86400/1)*(1/1000^2)</f>
        <v>-37.47071647095463</v>
      </c>
      <c r="C9" s="2013">
        <f>B9</f>
        <v>-37.47071647095463</v>
      </c>
      <c r="D9" s="2112" t="s">
        <v>1497</v>
      </c>
      <c r="E9" s="48"/>
      <c r="J9" s="972"/>
      <c r="K9" s="972"/>
      <c r="L9" s="972"/>
      <c r="N9" s="972"/>
      <c r="O9" s="972"/>
      <c r="P9" s="972"/>
      <c r="Q9" s="972"/>
      <c r="R9" s="973"/>
      <c r="S9" s="973"/>
      <c r="T9" s="973"/>
      <c r="U9" s="973"/>
      <c r="V9" s="973"/>
      <c r="W9" s="973"/>
      <c r="X9" s="973"/>
      <c r="Y9" s="973"/>
      <c r="Z9" s="973"/>
      <c r="AA9" s="973"/>
    </row>
    <row r="10" spans="1:27" s="65" customFormat="1" ht="12.75">
      <c r="A10" s="2110" t="s">
        <v>1508</v>
      </c>
      <c r="B10" s="1464">
        <f>IF('{c}Report'!$D$142=0,'{c}Report'!$D$141,'{c}Report'!$D$142)</f>
        <v>7</v>
      </c>
      <c r="C10" s="1464">
        <f>IF('{c}Report'!$D$145=0,'{c}Report'!$D$144,'{c}Report'!$D$145)</f>
        <v>73.40347443112309</v>
      </c>
      <c r="D10" s="2113" t="s">
        <v>1692</v>
      </c>
      <c r="E10" s="48"/>
      <c r="F10" s="204"/>
      <c r="G10" s="204"/>
      <c r="J10" s="972"/>
      <c r="K10" s="972"/>
      <c r="L10" s="972"/>
      <c r="N10" s="972"/>
      <c r="O10" s="972"/>
      <c r="P10" s="972"/>
      <c r="Q10" s="972"/>
      <c r="R10" s="973"/>
      <c r="S10" s="973"/>
      <c r="T10" s="973"/>
      <c r="U10" s="973"/>
      <c r="V10" s="973"/>
      <c r="W10" s="973"/>
      <c r="X10" s="973"/>
      <c r="Y10" s="973"/>
      <c r="Z10" s="973"/>
      <c r="AA10" s="973"/>
    </row>
    <row r="11" spans="1:27" s="65" customFormat="1" ht="12.75">
      <c r="A11" s="2110" t="s">
        <v>1501</v>
      </c>
      <c r="B11" s="2015">
        <v>1.841</v>
      </c>
      <c r="C11" s="2015">
        <v>1.6</v>
      </c>
      <c r="D11" s="2113" t="s">
        <v>1500</v>
      </c>
      <c r="E11" s="48"/>
      <c r="F11" s="204"/>
      <c r="G11" s="204"/>
      <c r="J11" s="972"/>
      <c r="K11" s="972"/>
      <c r="L11" s="972"/>
      <c r="N11" s="972"/>
      <c r="O11" s="972"/>
      <c r="P11" s="972"/>
      <c r="Q11" s="972"/>
      <c r="R11" s="973"/>
      <c r="S11" s="973"/>
      <c r="T11" s="973"/>
      <c r="U11" s="973"/>
      <c r="V11" s="973"/>
      <c r="W11" s="973"/>
      <c r="X11" s="973"/>
      <c r="Y11" s="973"/>
      <c r="Z11" s="973"/>
      <c r="AA11" s="973"/>
    </row>
    <row r="12" spans="1:27" s="65" customFormat="1" ht="12.75">
      <c r="A12" s="2110" t="s">
        <v>1791</v>
      </c>
      <c r="B12" s="2011">
        <v>0.96</v>
      </c>
      <c r="C12" s="2011">
        <v>0.37</v>
      </c>
      <c r="D12" s="2113" t="s">
        <v>1792</v>
      </c>
      <c r="E12" s="48"/>
      <c r="F12" s="2540" t="s">
        <v>1786</v>
      </c>
      <c r="G12" s="2540"/>
      <c r="J12" s="972"/>
      <c r="K12" s="972"/>
      <c r="L12" s="972"/>
      <c r="N12" s="972"/>
      <c r="O12" s="972"/>
      <c r="P12" s="972"/>
      <c r="Q12" s="972"/>
      <c r="R12" s="973"/>
      <c r="S12" s="973"/>
      <c r="T12" s="973"/>
      <c r="U12" s="973"/>
      <c r="V12" s="973"/>
      <c r="W12" s="973"/>
      <c r="X12" s="973"/>
      <c r="Y12" s="973"/>
      <c r="Z12" s="973"/>
      <c r="AA12" s="973"/>
    </row>
    <row r="13" spans="1:27" s="65" customFormat="1" ht="13.5" thickBot="1">
      <c r="A13" s="2114" t="s">
        <v>1509</v>
      </c>
      <c r="B13" s="2014">
        <f>B10/((B11*(1000/1))*B12)</f>
        <v>0.003960709759188847</v>
      </c>
      <c r="C13" s="2014">
        <f>C10/((C11*(1000/1))*C12)</f>
        <v>0.12399235545797818</v>
      </c>
      <c r="D13" s="2115" t="s">
        <v>1502</v>
      </c>
      <c r="E13" s="52"/>
      <c r="F13" s="834" t="s">
        <v>1785</v>
      </c>
      <c r="G13" s="834" t="s">
        <v>177</v>
      </c>
      <c r="H13" s="975"/>
      <c r="I13" s="976"/>
      <c r="J13" s="976"/>
      <c r="K13" s="976"/>
      <c r="L13" s="971"/>
      <c r="M13" s="977"/>
      <c r="N13" s="978"/>
      <c r="O13" s="978"/>
      <c r="P13" s="971"/>
      <c r="Q13" s="971"/>
      <c r="R13" s="973"/>
      <c r="S13" s="973"/>
      <c r="T13" s="973"/>
      <c r="U13" s="973"/>
      <c r="V13" s="973"/>
      <c r="W13" s="973"/>
      <c r="X13" s="973"/>
      <c r="Y13" s="973"/>
      <c r="Z13" s="973"/>
      <c r="AA13" s="973"/>
    </row>
    <row r="14" spans="1:27" s="309" customFormat="1" ht="15.75" thickBot="1" thickTop="1">
      <c r="A14" s="2121" t="s">
        <v>1503</v>
      </c>
      <c r="B14" s="2122">
        <f>B13*$B$9</f>
        <v>-0.14841063241030827</v>
      </c>
      <c r="C14" s="2122">
        <f>C13*$C$9</f>
        <v>-4.646082395931724</v>
      </c>
      <c r="D14" s="2123" t="s">
        <v>102</v>
      </c>
      <c r="E14" s="1463"/>
      <c r="F14" s="1132">
        <v>0.04</v>
      </c>
      <c r="G14" s="1286">
        <v>20</v>
      </c>
      <c r="H14" s="1743" t="s">
        <v>1578</v>
      </c>
      <c r="I14" s="1757"/>
      <c r="J14" s="1757"/>
      <c r="K14" s="979"/>
      <c r="L14" s="23"/>
      <c r="M14" s="980"/>
      <c r="N14" s="376"/>
      <c r="O14" s="376"/>
      <c r="P14" s="23"/>
      <c r="Q14" s="23"/>
      <c r="R14" s="27"/>
      <c r="S14" s="27"/>
      <c r="T14" s="27"/>
      <c r="U14" s="27"/>
      <c r="V14" s="27"/>
      <c r="W14" s="27"/>
      <c r="X14" s="27"/>
      <c r="Y14" s="27"/>
      <c r="Z14" s="27"/>
      <c r="AA14" s="27"/>
    </row>
    <row r="15" spans="1:29" s="309" customFormat="1" ht="13.5" thickBot="1">
      <c r="A15" s="23"/>
      <c r="B15" s="23"/>
      <c r="C15" s="303"/>
      <c r="D15" s="303"/>
      <c r="E15" s="303"/>
      <c r="F15" s="303"/>
      <c r="G15" s="981"/>
      <c r="H15" s="981"/>
      <c r="I15" s="23"/>
      <c r="J15" s="26"/>
      <c r="K15" s="979"/>
      <c r="L15" s="979"/>
      <c r="M15" s="979"/>
      <c r="N15" s="24"/>
      <c r="O15" s="980"/>
      <c r="P15" s="376"/>
      <c r="Q15" s="376"/>
      <c r="R15" s="24"/>
      <c r="S15" s="24"/>
      <c r="T15" s="27"/>
      <c r="U15" s="27"/>
      <c r="V15" s="27"/>
      <c r="W15" s="27"/>
      <c r="X15" s="27"/>
      <c r="Y15" s="27"/>
      <c r="Z15" s="27"/>
      <c r="AA15" s="27"/>
      <c r="AB15" s="27"/>
      <c r="AC15" s="27"/>
    </row>
    <row r="16" spans="1:28" s="309" customFormat="1" ht="13.5" thickBot="1">
      <c r="A16" s="777" t="s">
        <v>191</v>
      </c>
      <c r="B16" s="781" t="s">
        <v>132</v>
      </c>
      <c r="C16" s="1181" t="e">
        <f>IF(B14=0,0,$B$49*B14^$B$50+$B$51)</f>
        <v>#NUM!</v>
      </c>
      <c r="D16" s="1182" t="e">
        <f>IF(C14=0,0,$B$49*C14^$B$50+$B$51)</f>
        <v>#NUM!</v>
      </c>
      <c r="E16" s="303"/>
      <c r="F16" s="981"/>
      <c r="G16" s="981"/>
      <c r="H16" s="23"/>
      <c r="I16" s="26"/>
      <c r="J16" s="979"/>
      <c r="K16" s="979"/>
      <c r="L16" s="979"/>
      <c r="M16" s="24"/>
      <c r="N16" s="980"/>
      <c r="O16" s="376"/>
      <c r="P16" s="376"/>
      <c r="Q16" s="24"/>
      <c r="R16" s="24"/>
      <c r="S16" s="27"/>
      <c r="T16" s="27"/>
      <c r="U16" s="27"/>
      <c r="V16" s="27"/>
      <c r="W16" s="27"/>
      <c r="X16" s="27"/>
      <c r="Y16" s="27"/>
      <c r="Z16" s="27"/>
      <c r="AA16" s="27"/>
      <c r="AB16" s="27"/>
    </row>
    <row r="17" spans="1:28" s="309" customFormat="1" ht="13.5" thickTop="1">
      <c r="A17" s="1134" t="s">
        <v>1072</v>
      </c>
      <c r="B17" s="1135">
        <f>0.6+0.1</f>
        <v>0.7</v>
      </c>
      <c r="C17" s="1183" t="e">
        <f>C$16*$B17*'{d}Cost Index'!D10</f>
        <v>#NUM!</v>
      </c>
      <c r="D17" s="1184" t="e">
        <f>D$16*$B17*'{d}Cost Index'!D10</f>
        <v>#NUM!</v>
      </c>
      <c r="E17" s="303"/>
      <c r="F17" s="981"/>
      <c r="G17" s="981"/>
      <c r="H17" s="23"/>
      <c r="I17" s="26"/>
      <c r="J17" s="979"/>
      <c r="K17" s="979"/>
      <c r="L17" s="979"/>
      <c r="M17" s="24"/>
      <c r="N17" s="980"/>
      <c r="O17" s="376"/>
      <c r="P17" s="376"/>
      <c r="Q17" s="24"/>
      <c r="R17" s="24"/>
      <c r="S17" s="27"/>
      <c r="T17" s="27"/>
      <c r="U17" s="27"/>
      <c r="V17" s="27"/>
      <c r="W17" s="27"/>
      <c r="X17" s="27"/>
      <c r="Y17" s="27"/>
      <c r="Z17" s="27"/>
      <c r="AA17" s="27"/>
      <c r="AB17" s="27"/>
    </row>
    <row r="18" spans="1:28" s="309" customFormat="1" ht="12.75">
      <c r="A18" s="1045" t="s">
        <v>1063</v>
      </c>
      <c r="B18" s="1136">
        <v>0.07</v>
      </c>
      <c r="C18" s="1185" t="e">
        <f>C$16*$B18*'{d}Cost Index'!D13</f>
        <v>#NUM!</v>
      </c>
      <c r="D18" s="1186" t="e">
        <f>D$16*$B18*'{d}Cost Index'!D13</f>
        <v>#NUM!</v>
      </c>
      <c r="E18" s="303"/>
      <c r="F18" s="981"/>
      <c r="G18" s="981"/>
      <c r="H18" s="23"/>
      <c r="I18" s="26"/>
      <c r="J18" s="979"/>
      <c r="K18" s="979"/>
      <c r="L18" s="979"/>
      <c r="M18" s="24"/>
      <c r="N18" s="980"/>
      <c r="O18" s="376"/>
      <c r="P18" s="376"/>
      <c r="Q18" s="24"/>
      <c r="R18" s="24"/>
      <c r="S18" s="27"/>
      <c r="T18" s="27"/>
      <c r="U18" s="27"/>
      <c r="V18" s="27"/>
      <c r="W18" s="27"/>
      <c r="X18" s="27"/>
      <c r="Y18" s="27"/>
      <c r="Z18" s="27"/>
      <c r="AA18" s="27"/>
      <c r="AB18" s="27"/>
    </row>
    <row r="19" spans="1:28" s="309" customFormat="1" ht="12.75">
      <c r="A19" s="1137" t="s">
        <v>1064</v>
      </c>
      <c r="B19" s="1136">
        <v>0.16</v>
      </c>
      <c r="C19" s="1185" t="e">
        <f>C$16*$B19*'{d}Cost Index'!D14</f>
        <v>#NUM!</v>
      </c>
      <c r="D19" s="1186" t="e">
        <f>D$16*$B19*'{d}Cost Index'!D14</f>
        <v>#NUM!</v>
      </c>
      <c r="E19" s="303"/>
      <c r="F19" s="981"/>
      <c r="G19" s="981"/>
      <c r="H19" s="23"/>
      <c r="I19" s="26"/>
      <c r="J19" s="979"/>
      <c r="K19" s="979"/>
      <c r="L19" s="979"/>
      <c r="M19" s="24"/>
      <c r="N19" s="980"/>
      <c r="O19" s="376"/>
      <c r="P19" s="376"/>
      <c r="Q19" s="24"/>
      <c r="R19" s="24"/>
      <c r="S19" s="27"/>
      <c r="T19" s="27"/>
      <c r="U19" s="27"/>
      <c r="V19" s="27"/>
      <c r="W19" s="27"/>
      <c r="X19" s="27"/>
      <c r="Y19" s="27"/>
      <c r="Z19" s="27"/>
      <c r="AA19" s="27"/>
      <c r="AB19" s="27"/>
    </row>
    <row r="20" spans="1:28" s="309" customFormat="1" ht="12.75">
      <c r="A20" s="1045" t="s">
        <v>1073</v>
      </c>
      <c r="B20" s="1136">
        <v>0.07</v>
      </c>
      <c r="C20" s="1185" t="e">
        <f>C$16*$B20*'{d}Cost Index'!D16</f>
        <v>#NUM!</v>
      </c>
      <c r="D20" s="1186" t="e">
        <f>D$16*$B20*'{d}Cost Index'!D16</f>
        <v>#NUM!</v>
      </c>
      <c r="E20" s="303"/>
      <c r="F20" s="981"/>
      <c r="G20" s="981"/>
      <c r="H20" s="23"/>
      <c r="I20" s="26"/>
      <c r="J20" s="979"/>
      <c r="K20" s="979"/>
      <c r="L20" s="979"/>
      <c r="M20" s="24"/>
      <c r="N20" s="980"/>
      <c r="O20" s="376"/>
      <c r="P20" s="376"/>
      <c r="Q20" s="24"/>
      <c r="R20" s="24"/>
      <c r="S20" s="27"/>
      <c r="T20" s="27"/>
      <c r="U20" s="27"/>
      <c r="V20" s="27"/>
      <c r="W20" s="27"/>
      <c r="X20" s="27"/>
      <c r="Y20" s="27"/>
      <c r="Z20" s="27"/>
      <c r="AA20" s="27"/>
      <c r="AB20" s="27"/>
    </row>
    <row r="21" spans="1:28" s="309" customFormat="1" ht="12.75">
      <c r="A21" s="1045" t="s">
        <v>1066</v>
      </c>
      <c r="B21" s="1136">
        <v>0</v>
      </c>
      <c r="C21" s="1185" t="e">
        <f>C$16*$B21*'{d}Cost Index'!D19</f>
        <v>#NUM!</v>
      </c>
      <c r="D21" s="1186" t="e">
        <f>D$16*$B21*'{d}Cost Index'!D19</f>
        <v>#NUM!</v>
      </c>
      <c r="E21" s="303"/>
      <c r="F21" s="981"/>
      <c r="G21" s="981"/>
      <c r="H21" s="23"/>
      <c r="I21" s="26"/>
      <c r="J21" s="979"/>
      <c r="K21" s="979"/>
      <c r="L21" s="979"/>
      <c r="M21" s="24"/>
      <c r="N21" s="980"/>
      <c r="O21" s="376"/>
      <c r="P21" s="376"/>
      <c r="Q21" s="24"/>
      <c r="R21" s="24"/>
      <c r="S21" s="27"/>
      <c r="T21" s="27"/>
      <c r="U21" s="27"/>
      <c r="V21" s="27"/>
      <c r="W21" s="27"/>
      <c r="X21" s="27"/>
      <c r="Y21" s="27"/>
      <c r="Z21" s="27"/>
      <c r="AA21" s="27"/>
      <c r="AB21" s="27"/>
    </row>
    <row r="22" spans="1:28" s="309" customFormat="1" ht="13.5" thickBot="1">
      <c r="A22" s="1138" t="s">
        <v>1067</v>
      </c>
      <c r="B22" s="1139">
        <v>0</v>
      </c>
      <c r="C22" s="1187" t="e">
        <f>C$16*$B22*'{d}Cost Index'!D18</f>
        <v>#NUM!</v>
      </c>
      <c r="D22" s="1188" t="e">
        <f>D$16*$B22*'{d}Cost Index'!D18</f>
        <v>#NUM!</v>
      </c>
      <c r="E22" s="303"/>
      <c r="F22" s="981"/>
      <c r="G22" s="981"/>
      <c r="H22" s="23"/>
      <c r="I22" s="26"/>
      <c r="J22" s="979"/>
      <c r="K22" s="979"/>
      <c r="L22" s="979"/>
      <c r="M22" s="24"/>
      <c r="N22" s="980"/>
      <c r="O22" s="376"/>
      <c r="P22" s="376"/>
      <c r="Q22" s="24"/>
      <c r="R22" s="24"/>
      <c r="S22" s="27"/>
      <c r="T22" s="27"/>
      <c r="U22" s="27"/>
      <c r="V22" s="27"/>
      <c r="W22" s="27"/>
      <c r="X22" s="27"/>
      <c r="Y22" s="27"/>
      <c r="Z22" s="27"/>
      <c r="AA22" s="27"/>
      <c r="AB22" s="27"/>
    </row>
    <row r="23" spans="1:28" s="309" customFormat="1" ht="13.5" thickBot="1">
      <c r="A23" s="758" t="str">
        <f>TEXT(IndexDate,"mmmm, yyyy")&amp;" Capital Cost $:"</f>
        <v>November, 2006 Capital Cost $:</v>
      </c>
      <c r="B23" s="780">
        <f>SUM(B17:B22)</f>
        <v>1</v>
      </c>
      <c r="C23" s="1189" t="e">
        <f>SUM(C17:C22)</f>
        <v>#NUM!</v>
      </c>
      <c r="D23" s="1190" t="e">
        <f>SUM(D17:D22)</f>
        <v>#NUM!</v>
      </c>
      <c r="E23" s="303"/>
      <c r="F23" s="981"/>
      <c r="G23" s="981"/>
      <c r="H23" s="23"/>
      <c r="I23" s="26"/>
      <c r="J23" s="979"/>
      <c r="K23" s="979"/>
      <c r="L23" s="979"/>
      <c r="M23" s="24"/>
      <c r="N23" s="980"/>
      <c r="O23" s="376"/>
      <c r="P23" s="376"/>
      <c r="Q23" s="24"/>
      <c r="R23" s="24"/>
      <c r="S23" s="27"/>
      <c r="T23" s="27"/>
      <c r="U23" s="27"/>
      <c r="V23" s="27"/>
      <c r="W23" s="27"/>
      <c r="X23" s="27"/>
      <c r="Y23" s="27"/>
      <c r="Z23" s="27"/>
      <c r="AA23" s="27"/>
      <c r="AB23" s="27"/>
    </row>
    <row r="24" spans="1:29" s="309" customFormat="1" ht="12.75">
      <c r="A24" s="23"/>
      <c r="B24" s="23"/>
      <c r="C24" s="303"/>
      <c r="D24" s="303"/>
      <c r="E24" s="303"/>
      <c r="F24" s="303"/>
      <c r="G24" s="981"/>
      <c r="H24" s="981"/>
      <c r="I24" s="23"/>
      <c r="J24" s="26"/>
      <c r="K24" s="979"/>
      <c r="L24" s="979"/>
      <c r="M24" s="979"/>
      <c r="N24" s="24"/>
      <c r="O24" s="980"/>
      <c r="P24" s="376"/>
      <c r="Q24" s="376"/>
      <c r="R24" s="24"/>
      <c r="S24" s="24"/>
      <c r="T24" s="27"/>
      <c r="U24" s="27"/>
      <c r="V24" s="27"/>
      <c r="W24" s="27"/>
      <c r="X24" s="27"/>
      <c r="Y24" s="27"/>
      <c r="Z24" s="27"/>
      <c r="AA24" s="27"/>
      <c r="AB24" s="27"/>
      <c r="AC24" s="27"/>
    </row>
    <row r="25" spans="1:29" s="309" customFormat="1" ht="13.5" thickBot="1">
      <c r="A25" s="23"/>
      <c r="B25" s="23"/>
      <c r="C25" s="303"/>
      <c r="D25" s="303"/>
      <c r="E25" s="303"/>
      <c r="F25" s="303"/>
      <c r="G25" s="981"/>
      <c r="H25" s="981"/>
      <c r="I25" s="23"/>
      <c r="J25" s="26"/>
      <c r="K25" s="979"/>
      <c r="L25" s="979"/>
      <c r="M25" s="979"/>
      <c r="N25" s="24"/>
      <c r="O25" s="980"/>
      <c r="P25" s="376"/>
      <c r="Q25" s="376"/>
      <c r="R25" s="24"/>
      <c r="S25" s="24"/>
      <c r="T25" s="27"/>
      <c r="U25" s="27"/>
      <c r="V25" s="27"/>
      <c r="W25" s="27"/>
      <c r="X25" s="27"/>
      <c r="Y25" s="27"/>
      <c r="Z25" s="27"/>
      <c r="AA25" s="27"/>
      <c r="AB25" s="27"/>
      <c r="AC25" s="27"/>
    </row>
    <row r="26" spans="1:27" s="309" customFormat="1" ht="15.75">
      <c r="A26" s="2126" t="s">
        <v>20</v>
      </c>
      <c r="B26" s="2127" t="s">
        <v>62</v>
      </c>
      <c r="C26" s="2127" t="s">
        <v>1030</v>
      </c>
      <c r="D26" s="2128"/>
      <c r="E26" s="969"/>
      <c r="F26" s="969"/>
      <c r="G26" s="969"/>
      <c r="H26" s="26"/>
      <c r="I26" s="979"/>
      <c r="J26" s="979"/>
      <c r="K26" s="979"/>
      <c r="L26" s="24"/>
      <c r="M26" s="980"/>
      <c r="N26" s="376"/>
      <c r="O26" s="376"/>
      <c r="P26" s="24"/>
      <c r="Q26" s="24"/>
      <c r="R26" s="27"/>
      <c r="S26" s="27"/>
      <c r="T26" s="27"/>
      <c r="U26" s="27"/>
      <c r="V26" s="27"/>
      <c r="W26" s="27"/>
      <c r="X26" s="27"/>
      <c r="Y26" s="27"/>
      <c r="Z26" s="27"/>
      <c r="AA26" s="27"/>
    </row>
    <row r="27" spans="1:27" s="309" customFormat="1" ht="12.75">
      <c r="A27" s="2110" t="s">
        <v>59</v>
      </c>
      <c r="B27" s="2013">
        <f>IF('{f}RO&amp;NF Input'!$B$18="Y",(('{b}Capacity'!$B$18-'{f}RO&amp;NF Input'!$B$25)/'{f}RO&amp;NF Input'!$B$19),'{b}Capacity'!$B$32)</f>
        <v>4665.927021696253</v>
      </c>
      <c r="C27" s="2012">
        <f>B27</f>
        <v>4665.927021696253</v>
      </c>
      <c r="D27" s="2111" t="s">
        <v>1</v>
      </c>
      <c r="E27" s="48"/>
      <c r="F27" s="65"/>
      <c r="G27" s="65"/>
      <c r="H27" s="26"/>
      <c r="I27" s="979"/>
      <c r="J27" s="979"/>
      <c r="K27" s="979"/>
      <c r="L27" s="24"/>
      <c r="M27" s="980"/>
      <c r="N27" s="376"/>
      <c r="O27" s="376"/>
      <c r="P27" s="24"/>
      <c r="Q27" s="24"/>
      <c r="R27" s="27"/>
      <c r="S27" s="27"/>
      <c r="T27" s="27"/>
      <c r="U27" s="27"/>
      <c r="V27" s="27"/>
      <c r="W27" s="27"/>
      <c r="X27" s="27"/>
      <c r="Y27" s="27"/>
      <c r="Z27" s="27"/>
      <c r="AA27" s="27"/>
    </row>
    <row r="28" spans="1:27" s="309" customFormat="1" ht="14.25">
      <c r="A28" s="2110"/>
      <c r="B28" s="2013">
        <f>B27*(86400/1)*(1/1000^2)</f>
        <v>403.13609467455626</v>
      </c>
      <c r="C28" s="2013">
        <f>B28</f>
        <v>403.13609467455626</v>
      </c>
      <c r="D28" s="2112" t="s">
        <v>1497</v>
      </c>
      <c r="E28" s="48"/>
      <c r="F28" s="204"/>
      <c r="G28" s="204"/>
      <c r="H28" s="26"/>
      <c r="I28" s="979"/>
      <c r="J28" s="979"/>
      <c r="K28" s="979"/>
      <c r="L28" s="24"/>
      <c r="M28" s="980"/>
      <c r="N28" s="376"/>
      <c r="O28" s="376"/>
      <c r="P28" s="24"/>
      <c r="Q28" s="24"/>
      <c r="R28" s="27"/>
      <c r="S28" s="27"/>
      <c r="T28" s="27"/>
      <c r="U28" s="27"/>
      <c r="V28" s="27"/>
      <c r="W28" s="27"/>
      <c r="X28" s="27"/>
      <c r="Y28" s="27"/>
      <c r="Z28" s="27"/>
      <c r="AA28" s="27"/>
    </row>
    <row r="29" spans="1:27" s="309" customFormat="1" ht="12.75">
      <c r="A29" s="2110" t="s">
        <v>1508</v>
      </c>
      <c r="B29" s="1464">
        <f>IF('{c}Report'!$D$142=0,'{c}Report'!$D$141,'{c}Report'!$D$142)</f>
        <v>7</v>
      </c>
      <c r="C29" s="1464">
        <f>IF('{c}Report'!$D$145=0,'{c}Report'!$D$144,'{c}Report'!$D$145)</f>
        <v>73.40347443112309</v>
      </c>
      <c r="D29" s="2113" t="s">
        <v>1692</v>
      </c>
      <c r="E29" s="48"/>
      <c r="F29" s="204"/>
      <c r="G29" s="204"/>
      <c r="H29" s="26"/>
      <c r="I29" s="979"/>
      <c r="J29" s="979"/>
      <c r="K29" s="979"/>
      <c r="L29" s="24"/>
      <c r="M29" s="980"/>
      <c r="N29" s="376"/>
      <c r="O29" s="376"/>
      <c r="P29" s="24"/>
      <c r="Q29" s="24"/>
      <c r="R29" s="27"/>
      <c r="S29" s="27"/>
      <c r="T29" s="27"/>
      <c r="U29" s="27"/>
      <c r="V29" s="27"/>
      <c r="W29" s="27"/>
      <c r="X29" s="27"/>
      <c r="Y29" s="27"/>
      <c r="Z29" s="27"/>
      <c r="AA29" s="27"/>
    </row>
    <row r="30" spans="1:27" s="309" customFormat="1" ht="12.75">
      <c r="A30" s="2110" t="s">
        <v>1501</v>
      </c>
      <c r="B30" s="2108">
        <f>B11</f>
        <v>1.841</v>
      </c>
      <c r="C30" s="2108">
        <f>C11</f>
        <v>1.6</v>
      </c>
      <c r="D30" s="2113" t="s">
        <v>1500</v>
      </c>
      <c r="E30" s="48"/>
      <c r="F30" s="204"/>
      <c r="G30" s="204"/>
      <c r="H30" s="26"/>
      <c r="I30" s="979"/>
      <c r="J30" s="979"/>
      <c r="K30" s="979"/>
      <c r="L30" s="24"/>
      <c r="M30" s="980"/>
      <c r="N30" s="376"/>
      <c r="O30" s="376"/>
      <c r="P30" s="24"/>
      <c r="Q30" s="24"/>
      <c r="R30" s="27"/>
      <c r="S30" s="27"/>
      <c r="T30" s="27"/>
      <c r="U30" s="27"/>
      <c r="V30" s="27"/>
      <c r="W30" s="27"/>
      <c r="X30" s="27"/>
      <c r="Y30" s="27"/>
      <c r="Z30" s="27"/>
      <c r="AA30" s="27"/>
    </row>
    <row r="31" spans="1:27" s="309" customFormat="1" ht="12.75">
      <c r="A31" s="2110" t="s">
        <v>1791</v>
      </c>
      <c r="B31" s="1464">
        <f>B12</f>
        <v>0.96</v>
      </c>
      <c r="C31" s="1464">
        <f>C12</f>
        <v>0.37</v>
      </c>
      <c r="D31" s="2113" t="s">
        <v>1792</v>
      </c>
      <c r="E31" s="52"/>
      <c r="F31" s="204"/>
      <c r="G31" s="204"/>
      <c r="H31" s="26"/>
      <c r="I31" s="979"/>
      <c r="J31" s="979"/>
      <c r="K31" s="979"/>
      <c r="L31" s="24"/>
      <c r="M31" s="980"/>
      <c r="N31" s="376"/>
      <c r="O31" s="376"/>
      <c r="P31" s="24"/>
      <c r="Q31" s="24"/>
      <c r="R31" s="27"/>
      <c r="S31" s="27"/>
      <c r="T31" s="27"/>
      <c r="U31" s="27"/>
      <c r="V31" s="27"/>
      <c r="W31" s="27"/>
      <c r="X31" s="27"/>
      <c r="Y31" s="27"/>
      <c r="Z31" s="27"/>
      <c r="AA31" s="27"/>
    </row>
    <row r="32" spans="1:27" s="309" customFormat="1" ht="12.75">
      <c r="A32" s="2114" t="s">
        <v>1509</v>
      </c>
      <c r="B32" s="2014">
        <f>B29/((B30*(1000/1))*B31)</f>
        <v>0.003960709759188847</v>
      </c>
      <c r="C32" s="2014">
        <f>C29/((C30*(1000/1))*C31)</f>
        <v>0.12399235545797818</v>
      </c>
      <c r="D32" s="2115" t="s">
        <v>1502</v>
      </c>
      <c r="E32" s="52"/>
      <c r="F32" s="190"/>
      <c r="G32" s="1032"/>
      <c r="H32" s="26"/>
      <c r="I32" s="979"/>
      <c r="J32" s="979"/>
      <c r="K32" s="979"/>
      <c r="L32" s="24"/>
      <c r="M32" s="980"/>
      <c r="N32" s="376"/>
      <c r="O32" s="376"/>
      <c r="P32" s="24"/>
      <c r="Q32" s="24"/>
      <c r="R32" s="27"/>
      <c r="S32" s="27"/>
      <c r="T32" s="27"/>
      <c r="U32" s="27"/>
      <c r="V32" s="27"/>
      <c r="W32" s="27"/>
      <c r="X32" s="27"/>
      <c r="Y32" s="27"/>
      <c r="Z32" s="27"/>
      <c r="AA32" s="27"/>
    </row>
    <row r="33" spans="1:27" s="309" customFormat="1" ht="14.25">
      <c r="A33" s="2114" t="s">
        <v>1503</v>
      </c>
      <c r="B33" s="2014">
        <f>B32*B28</f>
        <v>1.596705064458794</v>
      </c>
      <c r="C33" s="2014">
        <f>C32*C28</f>
        <v>49.98579394882872</v>
      </c>
      <c r="D33" s="2116" t="s">
        <v>102</v>
      </c>
      <c r="E33" s="1860"/>
      <c r="F33" s="23"/>
      <c r="G33" s="23"/>
      <c r="H33" s="26"/>
      <c r="I33" s="979"/>
      <c r="J33" s="979"/>
      <c r="K33" s="979"/>
      <c r="L33" s="24"/>
      <c r="M33" s="980"/>
      <c r="N33" s="376"/>
      <c r="O33" s="376"/>
      <c r="P33" s="24"/>
      <c r="Q33" s="24"/>
      <c r="R33" s="27"/>
      <c r="S33" s="27"/>
      <c r="T33" s="27"/>
      <c r="U33" s="27"/>
      <c r="V33" s="27"/>
      <c r="W33" s="27"/>
      <c r="X33" s="27"/>
      <c r="Y33" s="27"/>
      <c r="Z33" s="27"/>
      <c r="AA33" s="27"/>
    </row>
    <row r="34" spans="1:27" s="309" customFormat="1" ht="13.5" thickBot="1">
      <c r="A34" s="2117" t="s">
        <v>287</v>
      </c>
      <c r="B34" s="2118">
        <v>124</v>
      </c>
      <c r="C34" s="2119">
        <v>72</v>
      </c>
      <c r="D34" s="2120"/>
      <c r="E34" s="981"/>
      <c r="F34" s="981"/>
      <c r="G34" s="23"/>
      <c r="H34" s="26"/>
      <c r="I34" s="979"/>
      <c r="J34" s="979"/>
      <c r="K34" s="979"/>
      <c r="L34" s="24"/>
      <c r="M34" s="980"/>
      <c r="N34" s="376"/>
      <c r="O34" s="376"/>
      <c r="P34" s="24"/>
      <c r="Q34" s="24"/>
      <c r="R34" s="27"/>
      <c r="S34" s="27"/>
      <c r="T34" s="27"/>
      <c r="U34" s="27"/>
      <c r="V34" s="27"/>
      <c r="W34" s="27"/>
      <c r="X34" s="27"/>
      <c r="Y34" s="27"/>
      <c r="Z34" s="27"/>
      <c r="AA34" s="27"/>
    </row>
    <row r="35" spans="1:29" s="309" customFormat="1" ht="13.5" thickBot="1">
      <c r="A35" s="153"/>
      <c r="B35" s="966"/>
      <c r="C35" s="983"/>
      <c r="D35" s="983"/>
      <c r="E35" s="983"/>
      <c r="F35" s="983"/>
      <c r="G35" s="982"/>
      <c r="H35" s="982"/>
      <c r="I35" s="982"/>
      <c r="J35" s="982"/>
      <c r="K35" s="982"/>
      <c r="M35" s="46"/>
      <c r="N35" s="46"/>
      <c r="O35" s="46"/>
      <c r="P35" s="46"/>
      <c r="Q35" s="46"/>
      <c r="R35" s="46"/>
      <c r="S35" s="46"/>
      <c r="T35" s="27"/>
      <c r="U35" s="27"/>
      <c r="V35" s="27"/>
      <c r="W35" s="27"/>
      <c r="X35" s="27"/>
      <c r="Y35" s="27"/>
      <c r="Z35" s="27"/>
      <c r="AA35" s="27"/>
      <c r="AB35" s="27"/>
      <c r="AC35" s="27"/>
    </row>
    <row r="36" spans="1:28" s="309" customFormat="1" ht="12.75">
      <c r="A36" s="2251" t="s">
        <v>88</v>
      </c>
      <c r="B36" s="2254"/>
      <c r="C36" s="2252">
        <f>IF(B33=0,0,$B$55*2.178^(B33*$B$56)+$B$57)</f>
        <v>1630.46209754976</v>
      </c>
      <c r="D36" s="2253">
        <f>IF(C34=0,0,$B$55*2.178^(C34*$B$56)+$B$57)</f>
        <v>14740.609395376072</v>
      </c>
      <c r="E36" s="2249" t="s">
        <v>1743</v>
      </c>
      <c r="F36" s="982"/>
      <c r="G36" s="982"/>
      <c r="H36" s="982"/>
      <c r="I36" s="982"/>
      <c r="J36" s="982"/>
      <c r="L36" s="23"/>
      <c r="M36" s="23"/>
      <c r="N36" s="23"/>
      <c r="O36" s="23"/>
      <c r="P36" s="23"/>
      <c r="Q36" s="23"/>
      <c r="R36" s="23"/>
      <c r="S36" s="27"/>
      <c r="T36" s="27"/>
      <c r="U36" s="27"/>
      <c r="V36" s="27"/>
      <c r="W36" s="27"/>
      <c r="X36" s="27"/>
      <c r="Y36" s="27"/>
      <c r="Z36" s="27"/>
      <c r="AA36" s="27"/>
      <c r="AB36" s="27"/>
    </row>
    <row r="37" spans="1:28" s="309" customFormat="1" ht="13.5" thickBot="1">
      <c r="A37" s="139"/>
      <c r="B37" s="2173" t="s">
        <v>132</v>
      </c>
      <c r="C37" s="1470"/>
      <c r="D37" s="2245"/>
      <c r="E37" s="2250"/>
      <c r="F37" s="982"/>
      <c r="G37" s="982"/>
      <c r="H37" s="982"/>
      <c r="I37" s="982"/>
      <c r="J37" s="982"/>
      <c r="L37" s="23"/>
      <c r="M37" s="23"/>
      <c r="N37" s="23"/>
      <c r="O37" s="23"/>
      <c r="P37" s="23"/>
      <c r="Q37" s="23"/>
      <c r="R37" s="23"/>
      <c r="S37" s="27"/>
      <c r="T37" s="27"/>
      <c r="U37" s="27"/>
      <c r="V37" s="27"/>
      <c r="W37" s="27"/>
      <c r="X37" s="27"/>
      <c r="Y37" s="27"/>
      <c r="Z37" s="27"/>
      <c r="AA37" s="27"/>
      <c r="AB37" s="27"/>
    </row>
    <row r="38" spans="1:28" s="309" customFormat="1" ht="13.5" thickTop="1">
      <c r="A38" s="1134" t="s">
        <v>1495</v>
      </c>
      <c r="B38" s="1135">
        <v>0.04</v>
      </c>
      <c r="C38" s="1183">
        <f>C$36*$B38*'{d}Cost Index'!D17</f>
        <v>135.7420495937197</v>
      </c>
      <c r="D38" s="1184">
        <f>D$36*$B38*'{d}Cost Index'!D17</f>
        <v>1227.2106997125234</v>
      </c>
      <c r="E38" s="2543" t="s">
        <v>1744</v>
      </c>
      <c r="F38" s="982"/>
      <c r="G38" s="982"/>
      <c r="H38" s="982"/>
      <c r="I38" s="982"/>
      <c r="J38" s="982"/>
      <c r="L38" s="24"/>
      <c r="M38" s="24"/>
      <c r="N38" s="24"/>
      <c r="O38" s="24"/>
      <c r="P38" s="24"/>
      <c r="Q38" s="24"/>
      <c r="R38" s="24"/>
      <c r="S38" s="27"/>
      <c r="T38" s="27"/>
      <c r="U38" s="27"/>
      <c r="V38" s="27"/>
      <c r="W38" s="27"/>
      <c r="X38" s="27"/>
      <c r="Y38" s="27"/>
      <c r="Z38" s="27"/>
      <c r="AA38" s="27"/>
      <c r="AB38" s="27"/>
    </row>
    <row r="39" spans="1:28" s="309" customFormat="1" ht="12.75">
      <c r="A39" s="1045" t="s">
        <v>1494</v>
      </c>
      <c r="B39" s="1136">
        <v>0.05</v>
      </c>
      <c r="C39" s="1185">
        <f>C$36*$B39*'{d}Cost Index'!D21</f>
        <v>190.22057804747203</v>
      </c>
      <c r="D39" s="1186">
        <f>D$36*$B39*'{d}Cost Index'!D21</f>
        <v>1719.7377627938752</v>
      </c>
      <c r="E39" s="2543"/>
      <c r="F39" s="966"/>
      <c r="G39" s="983"/>
      <c r="H39" s="984"/>
      <c r="I39" s="47"/>
      <c r="J39" s="982"/>
      <c r="L39" s="24"/>
      <c r="M39" s="24"/>
      <c r="N39" s="24"/>
      <c r="O39" s="24"/>
      <c r="P39" s="24"/>
      <c r="Q39" s="24"/>
      <c r="R39" s="24"/>
      <c r="S39" s="27"/>
      <c r="T39" s="27"/>
      <c r="U39" s="27"/>
      <c r="V39" s="27"/>
      <c r="W39" s="27"/>
      <c r="X39" s="27"/>
      <c r="Y39" s="27"/>
      <c r="Z39" s="27"/>
      <c r="AA39" s="27"/>
      <c r="AB39" s="27"/>
    </row>
    <row r="40" spans="1:28" s="47" customFormat="1" ht="12.75">
      <c r="A40" s="1045" t="s">
        <v>210</v>
      </c>
      <c r="B40" s="1136">
        <v>0.91</v>
      </c>
      <c r="C40" s="1185">
        <f>C$36*$B40*'{d}Cost Index'!D11</f>
        <v>4172.515080326881</v>
      </c>
      <c r="D40" s="1186">
        <f>D$36*$B40*'{d}Cost Index'!D11</f>
        <v>37722.68922279421</v>
      </c>
      <c r="E40" s="2543"/>
      <c r="F40" s="966"/>
      <c r="G40" s="983"/>
      <c r="H40" s="985"/>
      <c r="L40" s="984"/>
      <c r="M40" s="984"/>
      <c r="N40" s="984"/>
      <c r="O40" s="984"/>
      <c r="P40" s="984"/>
      <c r="Q40" s="984"/>
      <c r="R40" s="984"/>
      <c r="S40" s="18"/>
      <c r="T40" s="18"/>
      <c r="U40" s="18"/>
      <c r="V40" s="18"/>
      <c r="W40" s="18"/>
      <c r="X40" s="18"/>
      <c r="Y40" s="18"/>
      <c r="Z40" s="18"/>
      <c r="AA40" s="18"/>
      <c r="AB40" s="18"/>
    </row>
    <row r="41" spans="1:28" s="47" customFormat="1" ht="13.5" thickBot="1">
      <c r="A41" s="2541" t="s">
        <v>290</v>
      </c>
      <c r="B41" s="2542"/>
      <c r="C41" s="1187">
        <f>B33*1841*2.205*B34*365.242/2000</f>
        <v>146777.50019166793</v>
      </c>
      <c r="D41" s="1188">
        <f>C33*1841*2.205*C34*365.242/2000</f>
        <v>2668039.100380245</v>
      </c>
      <c r="E41" s="2543"/>
      <c r="F41" s="966"/>
      <c r="G41" s="966"/>
      <c r="H41" s="966"/>
      <c r="L41" s="984"/>
      <c r="M41" s="984"/>
      <c r="N41" s="984"/>
      <c r="O41" s="984"/>
      <c r="P41" s="984"/>
      <c r="Q41" s="984"/>
      <c r="R41" s="984"/>
      <c r="S41" s="18"/>
      <c r="T41" s="18"/>
      <c r="U41" s="18"/>
      <c r="V41" s="18"/>
      <c r="W41" s="18"/>
      <c r="X41" s="18"/>
      <c r="Y41" s="18"/>
      <c r="Z41" s="18"/>
      <c r="AA41" s="18"/>
      <c r="AB41" s="18"/>
    </row>
    <row r="42" spans="1:28" s="65" customFormat="1" ht="13.5" thickBot="1">
      <c r="A42" s="127" t="str">
        <f>TEXT(IndexDate,"mmmm, yyyy")&amp;"  O&amp;M $:"</f>
        <v>November, 2006  O&amp;M $:</v>
      </c>
      <c r="B42" s="780">
        <f>SUM(B38:B40)</f>
        <v>1</v>
      </c>
      <c r="C42" s="1189">
        <f>SUM(C38:C41)</f>
        <v>151275.977899636</v>
      </c>
      <c r="D42" s="1190">
        <f>SUM(D38:D41)</f>
        <v>2708708.738065546</v>
      </c>
      <c r="E42" s="2544"/>
      <c r="F42" s="971"/>
      <c r="G42" s="971"/>
      <c r="H42" s="986"/>
      <c r="L42" s="66"/>
      <c r="M42" s="66"/>
      <c r="N42" s="66"/>
      <c r="O42" s="66"/>
      <c r="P42" s="66"/>
      <c r="Q42" s="66"/>
      <c r="R42" s="66"/>
      <c r="S42" s="973"/>
      <c r="T42" s="973"/>
      <c r="U42" s="973"/>
      <c r="V42" s="973"/>
      <c r="W42" s="973"/>
      <c r="X42" s="973"/>
      <c r="Y42" s="973"/>
      <c r="Z42" s="973"/>
      <c r="AA42" s="973"/>
      <c r="AB42" s="973"/>
    </row>
    <row r="43" spans="1:29" s="65" customFormat="1" ht="12.75">
      <c r="A43" s="971"/>
      <c r="I43" s="986"/>
      <c r="P43" s="973"/>
      <c r="Q43" s="973"/>
      <c r="R43" s="973"/>
      <c r="S43" s="973"/>
      <c r="T43" s="973"/>
      <c r="U43" s="973"/>
      <c r="V43" s="973"/>
      <c r="W43" s="973"/>
      <c r="X43" s="973"/>
      <c r="Y43" s="973"/>
      <c r="Z43" s="973"/>
      <c r="AA43" s="973"/>
      <c r="AB43" s="973"/>
      <c r="AC43" s="973"/>
    </row>
    <row r="44" spans="1:29" s="65" customFormat="1" ht="12.75">
      <c r="A44" s="971"/>
      <c r="J44" s="971"/>
      <c r="P44" s="973"/>
      <c r="Q44" s="973"/>
      <c r="R44" s="973"/>
      <c r="S44" s="973"/>
      <c r="T44" s="973"/>
      <c r="U44" s="973"/>
      <c r="V44" s="973"/>
      <c r="W44" s="973"/>
      <c r="X44" s="973"/>
      <c r="Y44" s="973"/>
      <c r="Z44" s="973"/>
      <c r="AA44" s="973"/>
      <c r="AB44" s="973"/>
      <c r="AC44" s="973"/>
    </row>
    <row r="45" spans="1:29" s="65" customFormat="1" ht="13.5" thickBot="1">
      <c r="A45" s="974"/>
      <c r="B45" s="971"/>
      <c r="C45" s="971"/>
      <c r="D45" s="971"/>
      <c r="E45" s="971"/>
      <c r="F45" s="971"/>
      <c r="J45" s="971"/>
      <c r="P45" s="973"/>
      <c r="Q45" s="973"/>
      <c r="R45" s="973"/>
      <c r="S45" s="973"/>
      <c r="T45" s="973"/>
      <c r="U45" s="973"/>
      <c r="V45" s="973"/>
      <c r="W45" s="973"/>
      <c r="X45" s="973"/>
      <c r="Y45" s="973"/>
      <c r="Z45" s="973"/>
      <c r="AA45" s="973"/>
      <c r="AB45" s="973"/>
      <c r="AC45" s="973"/>
    </row>
    <row r="46" spans="1:29" s="47" customFormat="1" ht="12.75">
      <c r="A46" s="950" t="s">
        <v>291</v>
      </c>
      <c r="B46" s="951"/>
      <c r="C46" s="2189"/>
      <c r="D46" s="2189"/>
      <c r="E46" s="983"/>
      <c r="F46" s="983"/>
      <c r="G46" s="2189"/>
      <c r="H46" s="2189"/>
      <c r="J46" s="984"/>
      <c r="P46" s="18"/>
      <c r="Q46" s="18"/>
      <c r="R46" s="18"/>
      <c r="S46" s="18"/>
      <c r="T46" s="18"/>
      <c r="U46" s="18"/>
      <c r="V46" s="18"/>
      <c r="W46" s="18"/>
      <c r="X46" s="18"/>
      <c r="Y46" s="18"/>
      <c r="Z46" s="18"/>
      <c r="AA46" s="18"/>
      <c r="AB46" s="18"/>
      <c r="AC46" s="18"/>
    </row>
    <row r="47" spans="1:29" s="48" customFormat="1" ht="12.75">
      <c r="A47" s="952" t="s">
        <v>332</v>
      </c>
      <c r="B47" s="231"/>
      <c r="E47" s="969"/>
      <c r="F47" s="969"/>
      <c r="J47" s="987"/>
      <c r="P47" s="49"/>
      <c r="Q47" s="49"/>
      <c r="R47" s="49"/>
      <c r="S47" s="49"/>
      <c r="T47" s="49"/>
      <c r="U47" s="49"/>
      <c r="V47" s="49"/>
      <c r="W47" s="49"/>
      <c r="X47" s="49"/>
      <c r="Y47" s="49"/>
      <c r="Z47" s="49"/>
      <c r="AA47" s="49"/>
      <c r="AB47" s="49"/>
      <c r="AC47" s="49"/>
    </row>
    <row r="48" spans="1:29" s="52" customFormat="1" ht="14.25">
      <c r="A48" s="953" t="s">
        <v>1811</v>
      </c>
      <c r="B48" s="954"/>
      <c r="E48" s="988"/>
      <c r="F48" s="988"/>
      <c r="J48" s="989"/>
      <c r="P48" s="54"/>
      <c r="Q48" s="54"/>
      <c r="R48" s="54"/>
      <c r="S48" s="54"/>
      <c r="T48" s="54"/>
      <c r="U48" s="54"/>
      <c r="V48" s="54"/>
      <c r="W48" s="54"/>
      <c r="X48" s="54"/>
      <c r="Y48" s="54"/>
      <c r="Z48" s="54"/>
      <c r="AA48" s="54"/>
      <c r="AB48" s="54"/>
      <c r="AC48" s="54"/>
    </row>
    <row r="49" spans="1:29" s="52" customFormat="1" ht="12.75">
      <c r="A49" s="955" t="s">
        <v>335</v>
      </c>
      <c r="B49" s="956">
        <v>6010.6</v>
      </c>
      <c r="E49" s="988"/>
      <c r="F49" s="988"/>
      <c r="J49" s="989"/>
      <c r="P49" s="54"/>
      <c r="Q49" s="54"/>
      <c r="R49" s="54"/>
      <c r="S49" s="54"/>
      <c r="T49" s="54"/>
      <c r="U49" s="54"/>
      <c r="V49" s="54"/>
      <c r="W49" s="54"/>
      <c r="X49" s="54"/>
      <c r="Y49" s="54"/>
      <c r="Z49" s="54"/>
      <c r="AA49" s="54"/>
      <c r="AB49" s="54"/>
      <c r="AC49" s="54"/>
    </row>
    <row r="50" spans="1:29" s="52" customFormat="1" ht="12.75">
      <c r="A50" s="955" t="s">
        <v>336</v>
      </c>
      <c r="B50" s="956">
        <v>0.7934</v>
      </c>
      <c r="E50" s="988"/>
      <c r="F50" s="988"/>
      <c r="P50" s="54"/>
      <c r="Q50" s="54"/>
      <c r="R50" s="54"/>
      <c r="S50" s="54"/>
      <c r="T50" s="54"/>
      <c r="U50" s="54"/>
      <c r="V50" s="54"/>
      <c r="W50" s="54"/>
      <c r="X50" s="54"/>
      <c r="Y50" s="54"/>
      <c r="Z50" s="54"/>
      <c r="AA50" s="54"/>
      <c r="AB50" s="54"/>
      <c r="AC50" s="54"/>
    </row>
    <row r="51" spans="1:29" s="52" customFormat="1" ht="12.75">
      <c r="A51" s="955" t="s">
        <v>337</v>
      </c>
      <c r="B51" s="956">
        <v>8180</v>
      </c>
      <c r="P51" s="54"/>
      <c r="Q51" s="54"/>
      <c r="R51" s="54"/>
      <c r="S51" s="54"/>
      <c r="T51" s="54"/>
      <c r="U51" s="54"/>
      <c r="V51" s="54"/>
      <c r="W51" s="54"/>
      <c r="X51" s="54"/>
      <c r="Y51" s="54"/>
      <c r="Z51" s="54"/>
      <c r="AA51" s="54"/>
      <c r="AB51" s="54"/>
      <c r="AC51" s="54"/>
    </row>
    <row r="52" spans="1:29" s="52" customFormat="1" ht="12.75">
      <c r="A52" s="957"/>
      <c r="B52" s="958"/>
      <c r="P52" s="54"/>
      <c r="Q52" s="54"/>
      <c r="R52" s="54"/>
      <c r="S52" s="54"/>
      <c r="T52" s="54"/>
      <c r="U52" s="54"/>
      <c r="V52" s="54"/>
      <c r="W52" s="54"/>
      <c r="X52" s="54"/>
      <c r="Y52" s="54"/>
      <c r="Z52" s="54"/>
      <c r="AA52" s="54"/>
      <c r="AB52" s="54"/>
      <c r="AC52" s="54"/>
    </row>
    <row r="53" spans="1:29" s="60" customFormat="1" ht="12.75">
      <c r="A53" s="959" t="s">
        <v>333</v>
      </c>
      <c r="B53" s="960"/>
      <c r="P53" s="63"/>
      <c r="Q53" s="63"/>
      <c r="R53" s="63"/>
      <c r="S53" s="63"/>
      <c r="T53" s="63"/>
      <c r="U53" s="63"/>
      <c r="V53" s="63"/>
      <c r="W53" s="63"/>
      <c r="X53" s="63"/>
      <c r="Y53" s="63"/>
      <c r="Z53" s="63"/>
      <c r="AA53" s="63"/>
      <c r="AB53" s="63"/>
      <c r="AC53" s="63"/>
    </row>
    <row r="54" spans="1:29" s="60" customFormat="1" ht="14.25">
      <c r="A54" s="961" t="s">
        <v>1812</v>
      </c>
      <c r="B54" s="962"/>
      <c r="L54" s="990"/>
      <c r="P54" s="63"/>
      <c r="Q54" s="63"/>
      <c r="R54" s="63"/>
      <c r="S54" s="63"/>
      <c r="T54" s="63"/>
      <c r="U54" s="63"/>
      <c r="V54" s="63"/>
      <c r="W54" s="63"/>
      <c r="X54" s="63"/>
      <c r="Y54" s="63"/>
      <c r="Z54" s="63"/>
      <c r="AA54" s="63"/>
      <c r="AB54" s="63"/>
      <c r="AC54" s="63"/>
    </row>
    <row r="55" spans="1:29" s="60" customFormat="1" ht="12.75">
      <c r="A55" s="961" t="s">
        <v>335</v>
      </c>
      <c r="B55" s="963">
        <v>-42397.4</v>
      </c>
      <c r="P55" s="63"/>
      <c r="Q55" s="63"/>
      <c r="R55" s="63"/>
      <c r="S55" s="63"/>
      <c r="T55" s="63"/>
      <c r="U55" s="63"/>
      <c r="V55" s="63"/>
      <c r="W55" s="63"/>
      <c r="X55" s="63"/>
      <c r="Y55" s="63"/>
      <c r="Z55" s="63"/>
      <c r="AA55" s="63"/>
      <c r="AB55" s="63"/>
      <c r="AC55" s="63"/>
    </row>
    <row r="56" spans="1:29" s="60" customFormat="1" ht="12.75">
      <c r="A56" s="961" t="s">
        <v>336</v>
      </c>
      <c r="B56" s="963">
        <f>-0.682*10^(-2)</f>
        <v>-0.0068200000000000005</v>
      </c>
      <c r="P56" s="63"/>
      <c r="Q56" s="63"/>
      <c r="R56" s="63"/>
      <c r="S56" s="63"/>
      <c r="T56" s="63"/>
      <c r="U56" s="63"/>
      <c r="V56" s="63"/>
      <c r="W56" s="63"/>
      <c r="X56" s="63"/>
      <c r="Y56" s="63"/>
      <c r="Z56" s="63"/>
      <c r="AA56" s="63"/>
      <c r="AB56" s="63"/>
      <c r="AC56" s="63"/>
    </row>
    <row r="57" spans="1:2" s="60" customFormat="1" ht="13.5" thickBot="1">
      <c r="A57" s="964" t="s">
        <v>337</v>
      </c>
      <c r="B57" s="965">
        <v>43670</v>
      </c>
    </row>
    <row r="58" s="60" customFormat="1" ht="12.75"/>
    <row r="59" s="60" customFormat="1" ht="12.75">
      <c r="A59" s="1756" t="s">
        <v>292</v>
      </c>
    </row>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sheetData>
  <sheetProtection password="CA09"/>
  <mergeCells count="3">
    <mergeCell ref="F12:G12"/>
    <mergeCell ref="A41:B41"/>
    <mergeCell ref="E38:E42"/>
  </mergeCells>
  <printOptions gridLines="1"/>
  <pageMargins left="1.09" right="0.75" top="1.37" bottom="1" header="0.5" footer="0.5"/>
  <pageSetup fitToHeight="1" fitToWidth="1" horizontalDpi="300" verticalDpi="300" orientation="landscape" scale="75" r:id="rId3"/>
  <headerFooter alignWithMargins="0">
    <oddHeader>&amp;C&amp;A</oddHeader>
    <oddFooter>&amp;CWater Treatment Cost Estimation Program</oddFooter>
  </headerFooter>
  <legacyDrawing r:id="rId2"/>
</worksheet>
</file>

<file path=xl/worksheets/sheet17.xml><?xml version="1.0" encoding="utf-8"?>
<worksheet xmlns="http://schemas.openxmlformats.org/spreadsheetml/2006/main" xmlns:r="http://schemas.openxmlformats.org/officeDocument/2006/relationships">
  <sheetPr codeName="Sheet15"/>
  <dimension ref="A1:L63"/>
  <sheetViews>
    <sheetView workbookViewId="0" topLeftCell="A1">
      <selection activeCell="G21" sqref="G21"/>
    </sheetView>
  </sheetViews>
  <sheetFormatPr defaultColWidth="9.140625" defaultRowHeight="12.75"/>
  <cols>
    <col min="1" max="1" width="45.140625" style="123" customWidth="1"/>
    <col min="2" max="2" width="14.57421875" style="123" customWidth="1"/>
    <col min="3" max="3" width="15.28125" style="123" customWidth="1"/>
    <col min="4" max="4" width="12.00390625" style="123" bestFit="1" customWidth="1"/>
    <col min="5" max="5" width="10.7109375" style="123" customWidth="1"/>
    <col min="6" max="9" width="10.421875" style="123" bestFit="1" customWidth="1"/>
    <col min="10" max="10" width="22.28125" style="123" customWidth="1"/>
    <col min="11" max="11" width="25.28125" style="123" customWidth="1"/>
    <col min="12" max="12" width="22.28125" style="123" customWidth="1"/>
    <col min="13" max="13" width="25.28125" style="123" customWidth="1"/>
    <col min="14" max="16384" width="8.7109375" style="12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384" t="s">
        <v>425</v>
      </c>
    </row>
    <row r="5" ht="13.5" thickBot="1"/>
    <row r="6" spans="1:4" ht="15" thickBot="1">
      <c r="A6" s="2129" t="s">
        <v>21</v>
      </c>
      <c r="B6" s="2130" t="s">
        <v>993</v>
      </c>
      <c r="C6" s="2130" t="s">
        <v>186</v>
      </c>
      <c r="D6" s="2131" t="s">
        <v>1682</v>
      </c>
    </row>
    <row r="7" spans="1:4" ht="13.5" thickTop="1">
      <c r="A7" s="2110" t="s">
        <v>58</v>
      </c>
      <c r="B7" s="1081">
        <f>'{b}Capacity'!B33</f>
        <v>54.25123265680542</v>
      </c>
      <c r="C7" s="2124">
        <f>B7</f>
        <v>54.25123265680542</v>
      </c>
      <c r="D7" s="2132" t="s">
        <v>1</v>
      </c>
    </row>
    <row r="8" spans="1:4" ht="12.75">
      <c r="A8" s="2133"/>
      <c r="B8" s="1081">
        <f>B7*(86400/1)</f>
        <v>4687306.5015479885</v>
      </c>
      <c r="C8" s="1081">
        <f>C7*(86400/1)</f>
        <v>4687306.5015479885</v>
      </c>
      <c r="D8" s="2132" t="s">
        <v>871</v>
      </c>
    </row>
    <row r="9" spans="1:4" ht="12.75">
      <c r="A9" s="2134" t="s">
        <v>64</v>
      </c>
      <c r="B9" s="208">
        <f>(2*55.847)+(32.064+4*15.999)*3+7*(2*1.0079+15.999)</f>
        <v>525.9776</v>
      </c>
      <c r="C9" s="205">
        <f>(55.85+3*35.45)+6*18</f>
        <v>270.20000000000005</v>
      </c>
      <c r="D9" s="2135" t="s">
        <v>1754</v>
      </c>
    </row>
    <row r="10" spans="1:4" ht="12.75">
      <c r="A10" s="1045" t="s">
        <v>402</v>
      </c>
      <c r="B10" s="1466">
        <f>'{e}H20 Analysis'!$C$31</f>
        <v>180</v>
      </c>
      <c r="C10" s="2125">
        <f>B10</f>
        <v>180</v>
      </c>
      <c r="D10" s="2136" t="s">
        <v>1692</v>
      </c>
    </row>
    <row r="11" spans="1:4" ht="12.75">
      <c r="A11" s="1045"/>
      <c r="B11" s="1465">
        <f>B10/(1.0079+12.011+3*15.999)</f>
        <v>2.9500507244832903</v>
      </c>
      <c r="C11" s="1465">
        <f>C10/(1.0079+12.011+3*15.999)</f>
        <v>2.9500507244832903</v>
      </c>
      <c r="D11" s="2137" t="s">
        <v>401</v>
      </c>
    </row>
    <row r="12" spans="1:5" ht="12.75">
      <c r="A12" s="1291" t="s">
        <v>293</v>
      </c>
      <c r="B12" s="760">
        <f>'{c}Report'!$D$164</f>
        <v>0</v>
      </c>
      <c r="C12" s="1467">
        <f>'{c}Report'!D169</f>
        <v>0</v>
      </c>
      <c r="D12" s="2138" t="s">
        <v>1692</v>
      </c>
      <c r="E12" s="48"/>
    </row>
    <row r="13" spans="1:12" ht="13.5" thickBot="1">
      <c r="A13" s="1291" t="s">
        <v>295</v>
      </c>
      <c r="B13" s="760">
        <f>B9*B11/6</f>
        <v>258.6100999903304</v>
      </c>
      <c r="C13" s="760">
        <f>B11/6*2*C9</f>
        <v>265.701235251795</v>
      </c>
      <c r="D13" s="2138" t="s">
        <v>1692</v>
      </c>
      <c r="E13" s="52"/>
      <c r="F13" s="834" t="s">
        <v>1785</v>
      </c>
      <c r="G13" s="834" t="s">
        <v>177</v>
      </c>
      <c r="H13" s="133"/>
      <c r="I13" s="177"/>
      <c r="J13" s="177"/>
      <c r="K13" s="177"/>
      <c r="L13" s="177"/>
    </row>
    <row r="14" spans="1:12" ht="14.25" thickBot="1" thickTop="1">
      <c r="A14" s="2139" t="s">
        <v>1819</v>
      </c>
      <c r="B14" s="2140">
        <f>IF(B12=0,B13,B12)*$B$8*(1/1000)*(1/1000)</f>
        <v>1212.1848030506512</v>
      </c>
      <c r="C14" s="2140">
        <f>IF(C12=0,C13,C12)*$C$8*(1/1000)*(1/1000)</f>
        <v>1245.4231274650706</v>
      </c>
      <c r="D14" s="2141" t="s">
        <v>1771</v>
      </c>
      <c r="E14" s="1463"/>
      <c r="F14" s="1132">
        <f>6*24</f>
        <v>144</v>
      </c>
      <c r="G14" s="1286">
        <f>3000*24</f>
        <v>72000</v>
      </c>
      <c r="H14" s="1743" t="s">
        <v>1579</v>
      </c>
      <c r="I14" s="1758"/>
      <c r="J14" s="177"/>
      <c r="K14" s="177"/>
      <c r="L14" s="177"/>
    </row>
    <row r="15" spans="1:12" ht="13.5" thickBot="1">
      <c r="A15" s="1138" t="s">
        <v>296</v>
      </c>
      <c r="B15" s="2142">
        <v>150</v>
      </c>
      <c r="C15" s="2142">
        <v>1420</v>
      </c>
      <c r="D15" s="2143"/>
      <c r="E15" s="135"/>
      <c r="F15" s="136"/>
      <c r="G15" s="177"/>
      <c r="H15" s="177"/>
      <c r="I15" s="177"/>
      <c r="J15" s="177"/>
      <c r="K15" s="177"/>
      <c r="L15" s="177"/>
    </row>
    <row r="16" spans="1:12" ht="13.5" thickBot="1">
      <c r="A16" s="124"/>
      <c r="B16" s="2419"/>
      <c r="C16" s="2420"/>
      <c r="D16" s="2418"/>
      <c r="E16" s="135"/>
      <c r="F16" s="136"/>
      <c r="G16" s="177"/>
      <c r="H16" s="177"/>
      <c r="I16" s="177"/>
      <c r="J16" s="177"/>
      <c r="K16" s="177"/>
      <c r="L16" s="177"/>
    </row>
    <row r="17" spans="3:12" ht="15" thickBot="1">
      <c r="C17" s="2130" t="s">
        <v>993</v>
      </c>
      <c r="D17" s="2130" t="s">
        <v>186</v>
      </c>
      <c r="E17" s="135"/>
      <c r="F17" s="136"/>
      <c r="G17" s="177"/>
      <c r="H17" s="177"/>
      <c r="I17" s="177"/>
      <c r="J17" s="177"/>
      <c r="K17" s="177"/>
      <c r="L17" s="177"/>
    </row>
    <row r="18" spans="1:12" ht="13.5" thickTop="1">
      <c r="A18" s="2251" t="s">
        <v>1769</v>
      </c>
      <c r="B18" s="1400"/>
      <c r="C18" s="2252">
        <f>$B$41*B14^$B$42*EXP($B$43*B14)</f>
        <v>164584.74343754436</v>
      </c>
      <c r="D18" s="2253">
        <f>$B$41*C14^$B$42*EXP($B$43*C14)</f>
        <v>168193.9065181545</v>
      </c>
      <c r="E18" s="2249" t="s">
        <v>1743</v>
      </c>
      <c r="F18" s="136"/>
      <c r="G18" s="177"/>
      <c r="H18" s="177"/>
      <c r="I18" s="177"/>
      <c r="J18" s="177"/>
      <c r="K18" s="177"/>
      <c r="L18" s="177"/>
    </row>
    <row r="19" spans="1:12" ht="13.5" thickBot="1">
      <c r="A19" s="139"/>
      <c r="B19" s="2244" t="s">
        <v>132</v>
      </c>
      <c r="C19" s="1470"/>
      <c r="D19" s="2245"/>
      <c r="E19" s="2250"/>
      <c r="F19" s="136"/>
      <c r="G19" s="177"/>
      <c r="H19" s="177"/>
      <c r="I19" s="177"/>
      <c r="J19" s="177"/>
      <c r="K19" s="177"/>
      <c r="L19" s="177"/>
    </row>
    <row r="20" spans="1:12" ht="13.5" customHeight="1" thickTop="1">
      <c r="A20" s="1134" t="s">
        <v>1072</v>
      </c>
      <c r="B20" s="1135">
        <v>0.72</v>
      </c>
      <c r="C20" s="1183">
        <f>C$18*$B20*'{d}Cost Index'!$D10</f>
        <v>328849.81605939515</v>
      </c>
      <c r="D20" s="1184">
        <f>D$18*$B20*'{d}Cost Index'!$D10</f>
        <v>336061.1321899051</v>
      </c>
      <c r="E20" s="2545" t="s">
        <v>1744</v>
      </c>
      <c r="F20" s="136"/>
      <c r="G20" s="177"/>
      <c r="H20" s="177"/>
      <c r="I20" s="177"/>
      <c r="J20" s="177"/>
      <c r="K20" s="177"/>
      <c r="L20" s="177"/>
    </row>
    <row r="21" spans="1:12" ht="12.75">
      <c r="A21" s="1045" t="s">
        <v>1063</v>
      </c>
      <c r="B21" s="1136">
        <v>0.21</v>
      </c>
      <c r="C21" s="1185">
        <f>C$18*$B21*'{d}Cost Index'!$D13</f>
        <v>89611.08699422711</v>
      </c>
      <c r="D21" s="1186">
        <f>D$18*$B21*'{d}Cost Index'!$D13</f>
        <v>91576.15994107432</v>
      </c>
      <c r="E21" s="2543"/>
      <c r="F21" s="136"/>
      <c r="G21" s="177"/>
      <c r="H21" s="177"/>
      <c r="I21" s="177"/>
      <c r="J21" s="177"/>
      <c r="K21" s="177"/>
      <c r="L21" s="177"/>
    </row>
    <row r="22" spans="1:12" ht="12.75">
      <c r="A22" s="1137" t="s">
        <v>1064</v>
      </c>
      <c r="B22" s="1136">
        <v>0.02</v>
      </c>
      <c r="C22" s="1185">
        <f>C$18*$B22*'{d}Cost Index'!$D14</f>
        <v>9948.289763536604</v>
      </c>
      <c r="D22" s="1186">
        <f>D$18*$B22*'{d}Cost Index'!$D14</f>
        <v>10166.444857258237</v>
      </c>
      <c r="E22" s="2543"/>
      <c r="F22" s="136"/>
      <c r="G22" s="177"/>
      <c r="H22" s="177"/>
      <c r="I22" s="177"/>
      <c r="J22" s="177"/>
      <c r="K22" s="177"/>
      <c r="L22" s="177"/>
    </row>
    <row r="23" spans="1:12" ht="12.75">
      <c r="A23" s="1045" t="s">
        <v>1073</v>
      </c>
      <c r="B23" s="1136">
        <v>0.05</v>
      </c>
      <c r="C23" s="1185">
        <f>C$18*$B23*'{d}Cost Index'!$D16</f>
        <v>17127.867032023227</v>
      </c>
      <c r="D23" s="1186">
        <f>D$18*$B23*'{d}Cost Index'!$D16</f>
        <v>17503.46238825402</v>
      </c>
      <c r="E23" s="2543"/>
      <c r="F23" s="136"/>
      <c r="G23" s="177"/>
      <c r="H23" s="177"/>
      <c r="I23" s="177"/>
      <c r="J23" s="177"/>
      <c r="K23" s="177"/>
      <c r="L23" s="177"/>
    </row>
    <row r="24" spans="1:12" ht="12.75">
      <c r="A24" s="1045" t="s">
        <v>1066</v>
      </c>
      <c r="B24" s="1136">
        <v>0</v>
      </c>
      <c r="C24" s="1185">
        <f>C$18*$B24*'{d}Cost Index'!$D19</f>
        <v>0</v>
      </c>
      <c r="D24" s="1186">
        <f>D$18*$B24*'{d}Cost Index'!$D19</f>
        <v>0</v>
      </c>
      <c r="E24" s="2543"/>
      <c r="F24" s="136"/>
      <c r="G24" s="177"/>
      <c r="H24" s="177"/>
      <c r="I24" s="177"/>
      <c r="J24" s="177"/>
      <c r="K24" s="177"/>
      <c r="L24" s="177"/>
    </row>
    <row r="25" spans="1:12" ht="13.5" thickBot="1">
      <c r="A25" s="1138" t="s">
        <v>1067</v>
      </c>
      <c r="B25" s="1139">
        <v>0</v>
      </c>
      <c r="C25" s="1187">
        <f>C$18*$B25*'{d}Cost Index'!$D18</f>
        <v>0</v>
      </c>
      <c r="D25" s="1188">
        <f>D$18*$B25*'{d}Cost Index'!$D18</f>
        <v>0</v>
      </c>
      <c r="E25" s="2543"/>
      <c r="F25" s="136"/>
      <c r="G25" s="177"/>
      <c r="H25" s="177"/>
      <c r="I25" s="177"/>
      <c r="J25" s="177"/>
      <c r="K25" s="177"/>
      <c r="L25" s="177"/>
    </row>
    <row r="26" spans="1:12" ht="13.5" thickBot="1">
      <c r="A26" s="758" t="str">
        <f>TEXT(IndexDate,"mmmm, yyyy")&amp;" Capital Cost $:"</f>
        <v>November, 2006 Capital Cost $:</v>
      </c>
      <c r="B26" s="2417">
        <f>SUM(B20:B25)</f>
        <v>1</v>
      </c>
      <c r="C26" s="1189">
        <f>SUM(C20:C25)</f>
        <v>445537.059849182</v>
      </c>
      <c r="D26" s="1190">
        <f>SUM(D20:D25)</f>
        <v>455307.19937649166</v>
      </c>
      <c r="E26" s="2544"/>
      <c r="F26" s="136"/>
      <c r="G26" s="177"/>
      <c r="H26" s="177"/>
      <c r="I26" s="177"/>
      <c r="J26" s="177"/>
      <c r="K26" s="177"/>
      <c r="L26" s="177"/>
    </row>
    <row r="27" spans="5:12" ht="12.75">
      <c r="E27" s="135"/>
      <c r="F27" s="136"/>
      <c r="G27" s="177"/>
      <c r="H27" s="177"/>
      <c r="I27" s="177"/>
      <c r="J27" s="177"/>
      <c r="K27" s="177"/>
      <c r="L27" s="177"/>
    </row>
    <row r="28" spans="3:9" ht="13.5" thickBot="1">
      <c r="C28" s="135"/>
      <c r="D28" s="135"/>
      <c r="E28"/>
      <c r="F28" s="300"/>
      <c r="G28" s="135"/>
      <c r="H28" s="135"/>
      <c r="I28" s="135"/>
    </row>
    <row r="29" spans="1:10" ht="12.75">
      <c r="A29" s="2248" t="s">
        <v>88</v>
      </c>
      <c r="B29" s="1350"/>
      <c r="C29" s="2246">
        <f>$B$47*EXP($B$48*B14)+$B$49</f>
        <v>24703.985312152654</v>
      </c>
      <c r="D29" s="2247">
        <f>$B$47*EXP($B$48*C14)+$B$49</f>
        <v>25298.319563160883</v>
      </c>
      <c r="E29" s="2249" t="s">
        <v>1743</v>
      </c>
      <c r="F29" s="300"/>
      <c r="G29" s="135"/>
      <c r="H29" s="135"/>
      <c r="I29" s="135"/>
      <c r="J29" s="135"/>
    </row>
    <row r="30" spans="1:10" ht="13.5" thickBot="1">
      <c r="A30" s="139"/>
      <c r="B30" s="2173" t="s">
        <v>132</v>
      </c>
      <c r="C30" s="1470"/>
      <c r="D30" s="2245"/>
      <c r="E30" s="2250"/>
      <c r="F30" s="300"/>
      <c r="G30" s="135"/>
      <c r="H30" s="135"/>
      <c r="I30" s="135"/>
      <c r="J30" s="135"/>
    </row>
    <row r="31" spans="1:10" ht="13.5" thickTop="1">
      <c r="A31" s="1134" t="s">
        <v>1495</v>
      </c>
      <c r="B31" s="1135">
        <v>0.07</v>
      </c>
      <c r="C31" s="1183">
        <f>C$29*$B31*'{d}Cost Index'!$D17</f>
        <v>3599.223071653902</v>
      </c>
      <c r="D31" s="1184">
        <f>D$29*$B31*'{d}Cost Index'!$D17</f>
        <v>3685.81402131135</v>
      </c>
      <c r="E31" s="2543" t="s">
        <v>1744</v>
      </c>
      <c r="F31" s="297"/>
      <c r="J31" s="135"/>
    </row>
    <row r="32" spans="1:6" ht="12.75">
      <c r="A32" s="1045" t="s">
        <v>1494</v>
      </c>
      <c r="B32" s="1136">
        <v>0.09</v>
      </c>
      <c r="C32" s="1185">
        <f>C$29*$B32*'{d}Cost Index'!$D21</f>
        <v>5187.836915552058</v>
      </c>
      <c r="D32" s="1186">
        <f>D$29*$B32*'{d}Cost Index'!$D21</f>
        <v>5312.647108263785</v>
      </c>
      <c r="E32" s="2543"/>
      <c r="F32"/>
    </row>
    <row r="33" spans="1:5" ht="12.75">
      <c r="A33" s="1045" t="s">
        <v>210</v>
      </c>
      <c r="B33" s="1136">
        <v>0.84</v>
      </c>
      <c r="C33" s="1185">
        <f>C$29*$B33*'{d}Cost Index'!$D11</f>
        <v>58356.8876657453</v>
      </c>
      <c r="D33" s="1186">
        <f>D$29*$B33*'{d}Cost Index'!$D11</f>
        <v>59760.851304961456</v>
      </c>
      <c r="E33" s="2543"/>
    </row>
    <row r="34" spans="1:5" ht="13.5" thickBot="1">
      <c r="A34" s="2541" t="s">
        <v>419</v>
      </c>
      <c r="B34" s="2542"/>
      <c r="C34" s="1187">
        <f>B14*365.242*B15/907.185</f>
        <v>73205.7080698798</v>
      </c>
      <c r="D34" s="1188">
        <f>C14*365.242*C15/907.185</f>
        <v>712016.6053987537</v>
      </c>
      <c r="E34" s="2543"/>
    </row>
    <row r="35" spans="1:5" ht="13.5" thickBot="1">
      <c r="A35" s="127" t="str">
        <f>TEXT(IndexDate,"mmmm, yyyy")&amp;"  Operation &amp; Maintenance $:"</f>
        <v>November, 2006  Operation &amp; Maintenance $:</v>
      </c>
      <c r="B35" s="780">
        <f>SUM(B31:B33)</f>
        <v>1</v>
      </c>
      <c r="C35" s="1189">
        <f>SUM(C31:C34)</f>
        <v>140349.65572283106</v>
      </c>
      <c r="D35" s="1190">
        <f>SUM(D31:D34)</f>
        <v>780775.9178332903</v>
      </c>
      <c r="E35" s="2544"/>
    </row>
    <row r="36" ht="12.75">
      <c r="E36"/>
    </row>
    <row r="37" ht="13.5" thickBot="1">
      <c r="E37"/>
    </row>
    <row r="38" spans="1:5" ht="12.75">
      <c r="A38" s="812" t="s">
        <v>1779</v>
      </c>
      <c r="B38" s="774"/>
      <c r="E38"/>
    </row>
    <row r="39" spans="1:5" ht="12.75">
      <c r="A39" s="823" t="s">
        <v>332</v>
      </c>
      <c r="B39" s="820"/>
      <c r="E39"/>
    </row>
    <row r="40" spans="1:2" ht="12.75">
      <c r="A40" s="139" t="s">
        <v>420</v>
      </c>
      <c r="B40" s="132"/>
    </row>
    <row r="41" spans="1:2" ht="12.75">
      <c r="A41" s="139" t="s">
        <v>403</v>
      </c>
      <c r="B41" s="132">
        <v>10613</v>
      </c>
    </row>
    <row r="42" spans="1:2" ht="12.75">
      <c r="A42" s="139" t="s">
        <v>404</v>
      </c>
      <c r="B42" s="132">
        <v>0.319</v>
      </c>
    </row>
    <row r="43" spans="1:2" ht="12.75">
      <c r="A43" s="139" t="s">
        <v>406</v>
      </c>
      <c r="B43" s="132">
        <v>0.000393</v>
      </c>
    </row>
    <row r="44" spans="1:2" ht="12.75">
      <c r="A44" s="813"/>
      <c r="B44" s="814"/>
    </row>
    <row r="45" spans="1:2" ht="12.75">
      <c r="A45" s="823" t="s">
        <v>333</v>
      </c>
      <c r="B45" s="820"/>
    </row>
    <row r="46" spans="1:2" ht="12.75">
      <c r="A46" s="139" t="s">
        <v>407</v>
      </c>
      <c r="B46" s="132"/>
    </row>
    <row r="47" spans="1:2" ht="12.75">
      <c r="A47" s="139" t="s">
        <v>403</v>
      </c>
      <c r="B47" s="132">
        <v>1260926</v>
      </c>
    </row>
    <row r="48" spans="1:2" ht="12.75">
      <c r="A48" s="139" t="s">
        <v>404</v>
      </c>
      <c r="B48" s="132">
        <v>1.394E-05</v>
      </c>
    </row>
    <row r="49" spans="1:2" ht="13.5" thickBot="1">
      <c r="A49" s="127" t="s">
        <v>406</v>
      </c>
      <c r="B49" s="129">
        <v>-1257710</v>
      </c>
    </row>
    <row r="50" spans="1:2" ht="13.5" thickBot="1">
      <c r="A50" s="1761" t="s">
        <v>1793</v>
      </c>
      <c r="B50" s="135"/>
    </row>
    <row r="52" spans="1:4" ht="12.75">
      <c r="A52" s="1751" t="s">
        <v>408</v>
      </c>
      <c r="B52" s="1744"/>
      <c r="C52" s="1744"/>
      <c r="D52" s="1744"/>
    </row>
    <row r="53" spans="1:4" ht="12.75">
      <c r="A53" s="1744"/>
      <c r="B53" s="1744"/>
      <c r="C53" s="1744"/>
      <c r="D53" s="1744"/>
    </row>
    <row r="54" spans="1:4" ht="12.75">
      <c r="A54" s="1752" t="s">
        <v>409</v>
      </c>
      <c r="B54" s="1744"/>
      <c r="C54" s="1744"/>
      <c r="D54" s="1744"/>
    </row>
    <row r="55" spans="1:4" ht="12.75">
      <c r="A55" s="1744"/>
      <c r="B55" s="1744"/>
      <c r="C55" s="1744"/>
      <c r="D55" s="1744"/>
    </row>
    <row r="56" spans="1:4" ht="12.75">
      <c r="A56" s="1752" t="s">
        <v>410</v>
      </c>
      <c r="B56" s="1744"/>
      <c r="C56" s="1744"/>
      <c r="D56" s="1744"/>
    </row>
    <row r="57" spans="1:4" ht="12.75">
      <c r="A57" s="1752" t="s">
        <v>411</v>
      </c>
      <c r="B57" s="1744"/>
      <c r="C57" s="1744"/>
      <c r="D57" s="1744"/>
    </row>
    <row r="58" spans="1:4" ht="12.75">
      <c r="A58" s="1752" t="s">
        <v>412</v>
      </c>
      <c r="B58" s="1744"/>
      <c r="C58" s="1744"/>
      <c r="D58" s="1744"/>
    </row>
    <row r="59" spans="1:4" ht="12.75">
      <c r="A59" s="1752" t="s">
        <v>413</v>
      </c>
      <c r="B59" s="1744"/>
      <c r="C59" s="1744"/>
      <c r="D59" s="1744"/>
    </row>
    <row r="60" spans="1:4" ht="12.75">
      <c r="A60" s="1752" t="s">
        <v>418</v>
      </c>
      <c r="B60" s="1744"/>
      <c r="C60" s="1744"/>
      <c r="D60" s="1744"/>
    </row>
    <row r="61" spans="1:4" ht="12.75">
      <c r="A61" s="1744"/>
      <c r="B61" s="1744"/>
      <c r="C61" s="1744"/>
      <c r="D61" s="1744"/>
    </row>
    <row r="62" spans="1:4" ht="12.75">
      <c r="A62" s="1752" t="s">
        <v>195</v>
      </c>
      <c r="B62" s="1744"/>
      <c r="C62" s="1744"/>
      <c r="D62" s="1744"/>
    </row>
    <row r="63" spans="1:4" ht="12.75">
      <c r="A63" s="1752" t="s">
        <v>417</v>
      </c>
      <c r="B63" s="1744"/>
      <c r="C63" s="1744"/>
      <c r="D63" s="1744"/>
    </row>
  </sheetData>
  <mergeCells count="3">
    <mergeCell ref="A34:B34"/>
    <mergeCell ref="E31:E35"/>
    <mergeCell ref="E20:E26"/>
  </mergeCells>
  <printOptions gridLines="1"/>
  <pageMargins left="1.5" right="0.75" top="1.5" bottom="1" header="0.5" footer="0.5"/>
  <pageSetup horizontalDpi="300" verticalDpi="300" orientation="portrait" scale="84" r:id="rId1"/>
  <headerFooter alignWithMargins="0">
    <oddHeader>&amp;C&amp;A</oddHeader>
    <oddFooter>&amp;CWater Treatment Cost Estimation Program</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T104"/>
  <sheetViews>
    <sheetView workbookViewId="0" topLeftCell="A1">
      <selection activeCell="B16" sqref="B16"/>
    </sheetView>
  </sheetViews>
  <sheetFormatPr defaultColWidth="9.140625" defaultRowHeight="12.75"/>
  <cols>
    <col min="1" max="1" width="46.140625" style="65" customWidth="1"/>
    <col min="2" max="2" width="12.140625" style="65" bestFit="1" customWidth="1"/>
    <col min="3" max="3" width="13.421875" style="65" customWidth="1"/>
    <col min="4" max="4" width="0" style="65" hidden="1" customWidth="1"/>
    <col min="5" max="5" width="10.57421875" style="65" customWidth="1"/>
    <col min="6" max="7" width="10.421875" style="65" bestFit="1" customWidth="1"/>
    <col min="8" max="8" width="11.140625" style="65" customWidth="1"/>
    <col min="9" max="9" width="19.57421875" style="65" customWidth="1"/>
    <col min="10" max="10" width="20.57421875" style="65" customWidth="1"/>
    <col min="11" max="11" width="21.140625" style="65" customWidth="1"/>
    <col min="12" max="12" width="21.00390625" style="65" customWidth="1"/>
    <col min="13" max="13" width="24.00390625" style="65" customWidth="1"/>
    <col min="14" max="14" width="23.140625" style="65" customWidth="1"/>
    <col min="15" max="15" width="26.140625" style="65" customWidth="1"/>
    <col min="16" max="16" width="21.00390625" style="65" customWidth="1"/>
    <col min="17" max="17" width="24.00390625" style="65" customWidth="1"/>
    <col min="18" max="18" width="23.140625" style="65" customWidth="1"/>
    <col min="19" max="19" width="26.140625" style="65" customWidth="1"/>
    <col min="20" max="20" width="12.140625" style="65" customWidth="1"/>
    <col min="21" max="16384" width="9.140625" style="65"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ht="16.5" customHeight="1"/>
    <row r="4" ht="18">
      <c r="A4" s="666" t="s">
        <v>431</v>
      </c>
    </row>
    <row r="5" s="47" customFormat="1" ht="13.5" thickBot="1">
      <c r="K5" s="18"/>
    </row>
    <row r="6" spans="1:11" s="47" customFormat="1" ht="15.75">
      <c r="A6" s="2185" t="s">
        <v>21</v>
      </c>
      <c r="B6" s="1006"/>
      <c r="C6" s="1007"/>
      <c r="D6" s="1006"/>
      <c r="E6" s="2188"/>
      <c r="F6" s="2188"/>
      <c r="G6" s="2188"/>
      <c r="K6" s="18"/>
    </row>
    <row r="7" spans="1:7" s="47" customFormat="1" ht="15" thickBot="1">
      <c r="A7" s="2186" t="s">
        <v>189</v>
      </c>
      <c r="B7" s="2187"/>
      <c r="C7" s="2177" t="s">
        <v>1682</v>
      </c>
      <c r="E7" s="2189"/>
      <c r="F7" s="2189"/>
      <c r="G7" s="2189"/>
    </row>
    <row r="8" spans="1:4" s="47" customFormat="1" ht="13.5" thickTop="1">
      <c r="A8" s="2110" t="s">
        <v>58</v>
      </c>
      <c r="B8" s="853">
        <f>'{b}Capacity'!B33</f>
        <v>54.25123265680542</v>
      </c>
      <c r="C8" s="2178" t="s">
        <v>1539</v>
      </c>
      <c r="D8" s="67"/>
    </row>
    <row r="9" spans="1:4" s="47" customFormat="1" ht="14.25">
      <c r="A9" s="1074"/>
      <c r="B9" s="853">
        <f>B8*(3600/1)*(1/1000)</f>
        <v>195.3044375644995</v>
      </c>
      <c r="C9" s="2178" t="s">
        <v>1814</v>
      </c>
      <c r="D9" s="69"/>
    </row>
    <row r="10" spans="1:20" s="52" customFormat="1" ht="12.75">
      <c r="A10" s="2423" t="s">
        <v>684</v>
      </c>
      <c r="B10" s="2424">
        <f>2*26.98+3*(32.066+4*15.999)+18*(2*1.0079+15.999)</f>
        <v>666.4124</v>
      </c>
      <c r="C10" s="2425" t="s">
        <v>1754</v>
      </c>
      <c r="D10" s="58"/>
      <c r="L10" s="260"/>
      <c r="M10" s="261"/>
      <c r="N10" s="261"/>
      <c r="O10" s="261"/>
      <c r="P10" s="261"/>
      <c r="Q10" s="55"/>
      <c r="R10" s="55"/>
      <c r="S10" s="55"/>
      <c r="T10" s="56"/>
    </row>
    <row r="11" spans="1:20" s="52" customFormat="1" ht="13.5" thickBot="1">
      <c r="A11" s="762" t="s">
        <v>297</v>
      </c>
      <c r="B11" s="2430">
        <v>15</v>
      </c>
      <c r="C11" s="2429" t="s">
        <v>1816</v>
      </c>
      <c r="D11" s="58"/>
      <c r="L11" s="260"/>
      <c r="M11" s="261"/>
      <c r="N11" s="261"/>
      <c r="O11" s="261"/>
      <c r="P11" s="261"/>
      <c r="Q11" s="55"/>
      <c r="R11" s="55"/>
      <c r="S11" s="55"/>
      <c r="T11" s="56"/>
    </row>
    <row r="12" spans="1:20" s="48" customFormat="1" ht="12.75">
      <c r="A12" s="2426" t="s">
        <v>294</v>
      </c>
      <c r="B12" s="2427">
        <f>'{e}H20 Analysis'!$C$31</f>
        <v>180</v>
      </c>
      <c r="C12" s="2428" t="s">
        <v>1692</v>
      </c>
      <c r="D12" s="72"/>
      <c r="L12" s="258"/>
      <c r="M12" s="259"/>
      <c r="N12" s="259"/>
      <c r="O12" s="259"/>
      <c r="P12" s="259"/>
      <c r="Q12" s="50"/>
      <c r="R12" s="50"/>
      <c r="S12" s="50"/>
      <c r="T12" s="51"/>
    </row>
    <row r="13" spans="1:20" s="48" customFormat="1" ht="12.75">
      <c r="A13" s="1009"/>
      <c r="B13" s="2169">
        <f>B12/(1.0079+12.011+3*15.999)</f>
        <v>2.9500507244832903</v>
      </c>
      <c r="C13" s="2180" t="s">
        <v>401</v>
      </c>
      <c r="D13" s="231"/>
      <c r="F13" s="204"/>
      <c r="G13" s="204"/>
      <c r="L13" s="258"/>
      <c r="M13" s="259"/>
      <c r="N13" s="259"/>
      <c r="O13" s="259"/>
      <c r="P13" s="259"/>
      <c r="Q13" s="50"/>
      <c r="R13" s="50"/>
      <c r="S13" s="50"/>
      <c r="T13" s="51"/>
    </row>
    <row r="14" spans="1:4" s="48" customFormat="1" ht="13.5" thickBot="1">
      <c r="A14" s="1008" t="s">
        <v>293</v>
      </c>
      <c r="B14" s="999">
        <f>'{c}Report'!D149</f>
        <v>0</v>
      </c>
      <c r="C14" s="2179" t="s">
        <v>1692</v>
      </c>
      <c r="D14" s="70"/>
    </row>
    <row r="15" spans="1:13" s="48" customFormat="1" ht="12.75">
      <c r="A15" s="2238" t="s">
        <v>1818</v>
      </c>
      <c r="B15" s="999">
        <f>B14*B8*(3600/1)*(1/1000)*(1/1000)</f>
        <v>0</v>
      </c>
      <c r="C15" s="2180" t="s">
        <v>400</v>
      </c>
      <c r="K15" s="2234"/>
      <c r="L15" s="2234"/>
      <c r="M15" s="2234"/>
    </row>
    <row r="16" spans="1:13" s="48" customFormat="1" ht="12.75">
      <c r="A16" s="2421" t="s">
        <v>994</v>
      </c>
      <c r="B16" s="1001">
        <f>B13/6</f>
        <v>0.49167512074721503</v>
      </c>
      <c r="C16" s="2181" t="s">
        <v>401</v>
      </c>
      <c r="K16" s="2234"/>
      <c r="L16" s="2234"/>
      <c r="M16" s="2234"/>
    </row>
    <row r="17" spans="1:20" s="52" customFormat="1" ht="13.5" thickBot="1">
      <c r="A17" s="2174" t="s">
        <v>295</v>
      </c>
      <c r="B17" s="999">
        <f>B16*B10</f>
        <v>327.65839723744136</v>
      </c>
      <c r="C17" s="2179" t="s">
        <v>1692</v>
      </c>
      <c r="D17" s="231"/>
      <c r="F17" s="834" t="s">
        <v>1785</v>
      </c>
      <c r="G17" s="834" t="s">
        <v>177</v>
      </c>
      <c r="K17" s="304"/>
      <c r="L17" s="2235"/>
      <c r="M17" s="2236"/>
      <c r="N17" s="261"/>
      <c r="O17" s="261"/>
      <c r="P17" s="261"/>
      <c r="Q17" s="55"/>
      <c r="R17" s="55"/>
      <c r="S17" s="55"/>
      <c r="T17" s="56"/>
    </row>
    <row r="18" spans="1:20" s="52" customFormat="1" ht="13.5" thickTop="1">
      <c r="A18" s="1010" t="s">
        <v>299</v>
      </c>
      <c r="B18" s="1002">
        <f>B9*B17*(1/1000)*(1/1000)*(1000/1)</f>
        <v>63.99313898574384</v>
      </c>
      <c r="C18" s="2182" t="s">
        <v>1815</v>
      </c>
      <c r="D18" s="2176"/>
      <c r="E18" s="1004"/>
      <c r="F18" s="1132">
        <v>4</v>
      </c>
      <c r="G18" s="1286">
        <v>2300</v>
      </c>
      <c r="H18" s="1744" t="s">
        <v>1741</v>
      </c>
      <c r="I18" s="1754"/>
      <c r="J18" s="1754"/>
      <c r="K18" s="304"/>
      <c r="L18" s="304"/>
      <c r="M18" s="6"/>
      <c r="N18" s="261"/>
      <c r="O18" s="261"/>
      <c r="P18" s="261"/>
      <c r="Q18" s="55"/>
      <c r="R18" s="55"/>
      <c r="S18" s="55"/>
      <c r="T18" s="56"/>
    </row>
    <row r="19" spans="1:20" s="52" customFormat="1" ht="13.5" thickBot="1">
      <c r="A19" s="2183" t="s">
        <v>1819</v>
      </c>
      <c r="B19" s="2422">
        <f>IF(OR(B14=0),B18,B15)</f>
        <v>63.99313898574384</v>
      </c>
      <c r="C19" s="2184" t="s">
        <v>1815</v>
      </c>
      <c r="D19" s="73"/>
      <c r="K19" s="304"/>
      <c r="L19" s="304"/>
      <c r="M19" s="6"/>
      <c r="N19" s="261"/>
      <c r="O19" s="261"/>
      <c r="P19" s="261"/>
      <c r="Q19" s="55"/>
      <c r="R19" s="55"/>
      <c r="S19" s="55"/>
      <c r="T19" s="56"/>
    </row>
    <row r="20" spans="11:19" s="52" customFormat="1" ht="13.5" thickBot="1">
      <c r="K20" s="304"/>
      <c r="L20" s="2236"/>
      <c r="M20" s="2236"/>
      <c r="N20" s="261"/>
      <c r="O20" s="261"/>
      <c r="P20" s="55"/>
      <c r="Q20" s="55"/>
      <c r="R20" s="55"/>
      <c r="S20" s="56"/>
    </row>
    <row r="21" spans="1:19" s="52" customFormat="1" ht="12.75">
      <c r="A21" s="2251" t="s">
        <v>1769</v>
      </c>
      <c r="B21" s="1400"/>
      <c r="C21" s="2267">
        <f>$B$84*B19^$B$85*EXP($B$86*B19)</f>
        <v>48334.96267234428</v>
      </c>
      <c r="E21" s="2249" t="s">
        <v>1743</v>
      </c>
      <c r="F21" s="1764" t="s">
        <v>1738</v>
      </c>
      <c r="G21" s="1750"/>
      <c r="H21" s="1750"/>
      <c r="I21" s="1750"/>
      <c r="K21" s="6"/>
      <c r="L21" s="6"/>
      <c r="M21" s="2236"/>
      <c r="N21" s="261"/>
      <c r="O21" s="261"/>
      <c r="P21" s="55"/>
      <c r="Q21" s="55"/>
      <c r="R21" s="55"/>
      <c r="S21" s="56"/>
    </row>
    <row r="22" spans="1:19" s="52" customFormat="1" ht="13.5" thickBot="1">
      <c r="A22" s="139"/>
      <c r="B22" s="2244" t="s">
        <v>132</v>
      </c>
      <c r="C22" s="2264"/>
      <c r="E22" s="2260"/>
      <c r="F22" s="1750"/>
      <c r="G22" s="1750"/>
      <c r="H22" s="1750"/>
      <c r="I22" s="1750"/>
      <c r="K22" s="6"/>
      <c r="L22" s="6"/>
      <c r="M22" s="2236"/>
      <c r="N22" s="261"/>
      <c r="O22" s="261"/>
      <c r="P22" s="55"/>
      <c r="Q22" s="55"/>
      <c r="R22" s="55"/>
      <c r="S22" s="56"/>
    </row>
    <row r="23" spans="1:15" s="60" customFormat="1" ht="13.5" thickTop="1">
      <c r="A23" s="1134" t="s">
        <v>1072</v>
      </c>
      <c r="B23" s="1141">
        <f>0.41+0.05</f>
        <v>0.45999999999999996</v>
      </c>
      <c r="C23" s="1191">
        <f>C$21*$B23*'{d}Cost Index'!D10</f>
        <v>61701.36206586671</v>
      </c>
      <c r="D23" s="52"/>
      <c r="E23" s="2545" t="s">
        <v>1744</v>
      </c>
      <c r="K23" s="30"/>
      <c r="L23" s="30"/>
      <c r="M23" s="2237"/>
      <c r="N23" s="262"/>
      <c r="O23" s="262"/>
    </row>
    <row r="24" spans="1:15" s="60" customFormat="1" ht="12.75">
      <c r="A24" s="1045" t="s">
        <v>1063</v>
      </c>
      <c r="B24" s="1142">
        <v>0.03</v>
      </c>
      <c r="C24" s="1192">
        <f>C$21*$B24*'{d}Cost Index'!D13</f>
        <v>3759.5469963886912</v>
      </c>
      <c r="D24" s="52"/>
      <c r="E24" s="2543"/>
      <c r="K24" s="30"/>
      <c r="L24" s="2237"/>
      <c r="M24" s="2237"/>
      <c r="N24" s="262"/>
      <c r="O24" s="262"/>
    </row>
    <row r="25" spans="1:15" s="60" customFormat="1" ht="12.75">
      <c r="A25" s="1137" t="s">
        <v>1064</v>
      </c>
      <c r="B25" s="1142">
        <v>0.04</v>
      </c>
      <c r="C25" s="1192">
        <f>C$21*$B25*'{d}Cost Index'!D14</f>
        <v>5843.1930485303665</v>
      </c>
      <c r="D25" s="52"/>
      <c r="E25" s="2543"/>
      <c r="L25" s="262"/>
      <c r="M25" s="263"/>
      <c r="N25" s="263"/>
      <c r="O25" s="263"/>
    </row>
    <row r="26" spans="1:15" s="60" customFormat="1" ht="12.75">
      <c r="A26" s="1045" t="s">
        <v>1073</v>
      </c>
      <c r="B26" s="1143">
        <v>0.47</v>
      </c>
      <c r="C26" s="1192">
        <f>C$21*$B26*'{d}Cost Index'!D16</f>
        <v>47282.77412456783</v>
      </c>
      <c r="D26" s="52"/>
      <c r="E26" s="2543"/>
      <c r="L26" s="263"/>
      <c r="M26" s="263"/>
      <c r="N26" s="263"/>
      <c r="O26" s="263"/>
    </row>
    <row r="27" spans="1:15" s="60" customFormat="1" ht="12.75">
      <c r="A27" s="1045" t="s">
        <v>1066</v>
      </c>
      <c r="B27" s="1142">
        <v>0</v>
      </c>
      <c r="C27" s="1192">
        <f>C$21*$B27*'{d}Cost Index'!D19</f>
        <v>0</v>
      </c>
      <c r="E27" s="2543"/>
      <c r="L27" s="263"/>
      <c r="M27" s="263"/>
      <c r="N27" s="263"/>
      <c r="O27" s="263"/>
    </row>
    <row r="28" spans="1:12" s="60" customFormat="1" ht="13.5" thickBot="1">
      <c r="A28" s="1138" t="s">
        <v>1067</v>
      </c>
      <c r="B28" s="1144">
        <v>0</v>
      </c>
      <c r="C28" s="1193">
        <f>C$21*$B28*'{d}Cost Index'!D18</f>
        <v>0</v>
      </c>
      <c r="E28" s="2543"/>
      <c r="L28" s="263"/>
    </row>
    <row r="29" spans="1:5" s="60" customFormat="1" ht="13.5" thickBot="1">
      <c r="A29" s="758" t="str">
        <f>TEXT(IndexDate,"mmmm, yyyy")&amp;" Capital Cost $:"</f>
        <v>November, 2006 Capital Cost $:</v>
      </c>
      <c r="B29" s="783">
        <f>SUM(B23:B28)</f>
        <v>1</v>
      </c>
      <c r="C29" s="1194">
        <f>SUM(C23:C28)</f>
        <v>118586.8762353536</v>
      </c>
      <c r="E29" s="2544"/>
    </row>
    <row r="30" spans="1:3" s="60" customFormat="1" ht="12.75">
      <c r="A30" s="2170"/>
      <c r="B30" s="32"/>
      <c r="C30" s="2171"/>
    </row>
    <row r="31" spans="1:8" s="60" customFormat="1" ht="13.5" thickBot="1">
      <c r="A31" s="2170"/>
      <c r="B31" s="32"/>
      <c r="C31" s="2171"/>
      <c r="F31" s="47"/>
      <c r="G31" s="47"/>
      <c r="H31" s="47"/>
    </row>
    <row r="32" spans="1:8" s="60" customFormat="1" ht="12.75">
      <c r="A32" s="2269" t="s">
        <v>88</v>
      </c>
      <c r="B32" s="2268"/>
      <c r="C32" s="2266">
        <f>$B$91*EXP($B$92*B19)+$B$93</f>
        <v>4722.809037769446</v>
      </c>
      <c r="D32" s="62"/>
      <c r="E32" s="2249" t="s">
        <v>1743</v>
      </c>
      <c r="F32" s="2547" t="s">
        <v>1786</v>
      </c>
      <c r="G32" s="2549"/>
      <c r="H32" s="47"/>
    </row>
    <row r="33" spans="1:8" s="60" customFormat="1" ht="13.5" thickBot="1">
      <c r="A33" s="168"/>
      <c r="B33" s="2173" t="s">
        <v>132</v>
      </c>
      <c r="C33" s="2256"/>
      <c r="D33" s="62"/>
      <c r="E33" s="2250"/>
      <c r="F33" s="834" t="s">
        <v>1785</v>
      </c>
      <c r="G33" s="834" t="s">
        <v>177</v>
      </c>
      <c r="H33" s="47"/>
    </row>
    <row r="34" spans="1:8" s="60" customFormat="1" ht="13.5" thickTop="1">
      <c r="A34" s="1134" t="s">
        <v>1495</v>
      </c>
      <c r="B34" s="1145">
        <v>0.17</v>
      </c>
      <c r="C34" s="1195">
        <f>C$32*$B34*'{d}Cost Index'!D17</f>
        <v>1671.0637206822657</v>
      </c>
      <c r="D34" s="62"/>
      <c r="E34" s="2543" t="s">
        <v>1744</v>
      </c>
      <c r="F34" s="1132">
        <v>4</v>
      </c>
      <c r="G34" s="1286">
        <v>2300</v>
      </c>
      <c r="H34" s="1744" t="s">
        <v>1741</v>
      </c>
    </row>
    <row r="35" spans="1:8" s="60" customFormat="1" ht="12.75">
      <c r="A35" s="1045" t="s">
        <v>1494</v>
      </c>
      <c r="B35" s="1143">
        <v>0.03</v>
      </c>
      <c r="C35" s="1196">
        <f>C$32*$B35*'{d}Cost Index'!D21</f>
        <v>330.5966326438612</v>
      </c>
      <c r="D35" s="62"/>
      <c r="E35" s="2543"/>
      <c r="F35" s="48"/>
      <c r="G35" s="48"/>
      <c r="H35" s="48"/>
    </row>
    <row r="36" spans="1:8" s="60" customFormat="1" ht="12.75">
      <c r="A36" s="1045" t="s">
        <v>210</v>
      </c>
      <c r="B36" s="1143">
        <v>0.8</v>
      </c>
      <c r="C36" s="1196">
        <f>C$32*$B36*'{d}Cost Index'!D11</f>
        <v>10625.177351187021</v>
      </c>
      <c r="D36" s="62"/>
      <c r="E36" s="2543"/>
      <c r="F36" s="204"/>
      <c r="G36" s="204"/>
      <c r="H36" s="48"/>
    </row>
    <row r="37" spans="1:8" s="60" customFormat="1" ht="13.5" thickBot="1">
      <c r="A37" s="2490" t="s">
        <v>415</v>
      </c>
      <c r="B37" s="2491"/>
      <c r="C37" s="1197">
        <f>B19*24*365.242*2.205*$B$11/100</f>
        <v>185534.7316671437</v>
      </c>
      <c r="D37" s="62"/>
      <c r="E37" s="2543"/>
      <c r="F37" s="48"/>
      <c r="G37" s="48"/>
      <c r="H37" s="48"/>
    </row>
    <row r="38" spans="1:8" s="60" customFormat="1" ht="13.5" thickBot="1">
      <c r="A38" s="127" t="str">
        <f>TEXT(IndexDate,"mmmm, yyyy")&amp;"  Operation &amp; Maintenance $:"</f>
        <v>November, 2006  Operation &amp; Maintenance $:</v>
      </c>
      <c r="B38" s="783">
        <f>SUM(B34:B36)</f>
        <v>1</v>
      </c>
      <c r="C38" s="1194">
        <f>SUM(C34:C37)</f>
        <v>198161.56937165686</v>
      </c>
      <c r="D38" s="62"/>
      <c r="E38" s="2544"/>
      <c r="F38" s="48"/>
      <c r="G38" s="48"/>
      <c r="H38" s="48"/>
    </row>
    <row r="39" spans="1:8" s="60" customFormat="1" ht="12.75">
      <c r="A39" s="30"/>
      <c r="B39" s="30"/>
      <c r="C39" s="30"/>
      <c r="D39" s="62"/>
      <c r="E39" s="62"/>
      <c r="F39" s="48"/>
      <c r="G39" s="48"/>
      <c r="H39" s="48"/>
    </row>
    <row r="40" spans="1:8" s="60" customFormat="1" ht="12.75">
      <c r="A40" s="30"/>
      <c r="B40" s="30"/>
      <c r="C40" s="30"/>
      <c r="D40" s="62"/>
      <c r="E40" s="62"/>
      <c r="H40" s="48"/>
    </row>
    <row r="41" spans="1:8" s="60" customFormat="1" ht="12.75">
      <c r="A41" s="30"/>
      <c r="B41" s="30"/>
      <c r="C41" s="30"/>
      <c r="D41" s="62"/>
      <c r="E41" s="62"/>
      <c r="H41" s="52"/>
    </row>
    <row r="42" spans="1:10" s="60" customFormat="1" ht="18">
      <c r="A42" s="666" t="s">
        <v>432</v>
      </c>
      <c r="B42" s="30"/>
      <c r="C42" s="30"/>
      <c r="D42" s="62"/>
      <c r="E42" s="62"/>
      <c r="I42" s="1753"/>
      <c r="J42" s="1753"/>
    </row>
    <row r="43" spans="1:8" s="60" customFormat="1" ht="13.5" thickBot="1">
      <c r="A43" s="30"/>
      <c r="B43" s="30"/>
      <c r="C43" s="30"/>
      <c r="D43" s="62"/>
      <c r="E43" s="62"/>
      <c r="F43" s="52"/>
      <c r="G43" s="52"/>
      <c r="H43" s="52"/>
    </row>
    <row r="44" spans="1:8" s="60" customFormat="1" ht="15.75">
      <c r="A44" s="2185" t="s">
        <v>21</v>
      </c>
      <c r="B44" s="1006"/>
      <c r="C44" s="1007"/>
      <c r="D44" s="62"/>
      <c r="E44" s="48"/>
      <c r="F44" s="52"/>
      <c r="G44" s="52"/>
      <c r="H44" s="52"/>
    </row>
    <row r="45" spans="1:5" s="60" customFormat="1" ht="13.5" thickBot="1">
      <c r="A45" s="1076"/>
      <c r="B45" s="1077"/>
      <c r="C45" s="2177" t="s">
        <v>1682</v>
      </c>
      <c r="D45" s="62"/>
      <c r="E45" s="52"/>
    </row>
    <row r="46" spans="1:12" s="60" customFormat="1" ht="13.5" thickTop="1">
      <c r="A46" s="2217" t="s">
        <v>300</v>
      </c>
      <c r="B46" s="1075">
        <f>B47*$B$18</f>
        <v>127.98627797148768</v>
      </c>
      <c r="C46" s="2192" t="s">
        <v>1815</v>
      </c>
      <c r="D46" s="233"/>
      <c r="E46" s="1004"/>
      <c r="F46" s="1753" t="s">
        <v>1739</v>
      </c>
      <c r="G46" s="1753"/>
      <c r="H46" s="1753"/>
      <c r="K46" s="30"/>
      <c r="L46" s="30"/>
    </row>
    <row r="47" spans="1:12" s="60" customFormat="1" ht="12.75">
      <c r="A47" s="1012" t="s">
        <v>298</v>
      </c>
      <c r="B47" s="2190">
        <v>2</v>
      </c>
      <c r="C47" s="2193"/>
      <c r="D47" s="234"/>
      <c r="E47" s="64"/>
      <c r="F47" s="1753"/>
      <c r="G47" s="1753"/>
      <c r="H47" s="1753"/>
      <c r="K47" s="30"/>
      <c r="L47" s="30"/>
    </row>
    <row r="48" spans="1:9" s="60" customFormat="1" ht="12.75">
      <c r="A48" s="1014" t="s">
        <v>293</v>
      </c>
      <c r="B48" s="996">
        <f>'{c}Report'!D154</f>
        <v>0</v>
      </c>
      <c r="C48" s="2193" t="s">
        <v>1692</v>
      </c>
      <c r="D48" s="2200"/>
      <c r="E48" s="2201"/>
      <c r="F48" s="61"/>
      <c r="G48" s="62"/>
      <c r="H48" s="62"/>
      <c r="I48" s="62"/>
    </row>
    <row r="49" spans="1:14" s="60" customFormat="1" ht="12.75">
      <c r="A49" s="2175" t="s">
        <v>1818</v>
      </c>
      <c r="B49" s="998">
        <f>B47*(B48*B8*(3600/1)*(1/1000)*(1/1000))</f>
        <v>0</v>
      </c>
      <c r="C49" s="2194" t="s">
        <v>1815</v>
      </c>
      <c r="D49" s="235"/>
      <c r="E49" s="64"/>
      <c r="I49" s="62"/>
      <c r="M49" s="62"/>
      <c r="N49" s="62"/>
    </row>
    <row r="50" spans="1:14" s="60" customFormat="1" ht="13.5" thickBot="1">
      <c r="A50" s="2195" t="s">
        <v>1819</v>
      </c>
      <c r="B50" s="2196">
        <f>IF(B48=0,B46,B49)</f>
        <v>127.98627797148768</v>
      </c>
      <c r="C50" s="2197" t="s">
        <v>1815</v>
      </c>
      <c r="D50" s="236"/>
      <c r="E50" s="66"/>
      <c r="K50" s="62"/>
      <c r="L50" s="62"/>
      <c r="M50" s="62"/>
      <c r="N50" s="62"/>
    </row>
    <row r="51" spans="1:14" s="29" customFormat="1" ht="15.75" thickBot="1">
      <c r="A51" s="1015"/>
      <c r="B51" s="65"/>
      <c r="C51" s="65"/>
      <c r="D51" s="66"/>
      <c r="E51" s="66"/>
      <c r="F51" s="151"/>
      <c r="G51" s="294"/>
      <c r="H51" s="294"/>
      <c r="I51" s="60"/>
      <c r="J51" s="60"/>
      <c r="K51" s="62"/>
      <c r="L51" s="62"/>
      <c r="M51" s="64"/>
      <c r="N51" s="64"/>
    </row>
    <row r="52" spans="1:14" s="29" customFormat="1" ht="12.75">
      <c r="A52" s="2270" t="s">
        <v>1769</v>
      </c>
      <c r="B52" s="2262"/>
      <c r="C52" s="2261">
        <f>$C$84*B50^$C$85*EXP($C$86*B19)</f>
        <v>53995.67274930273</v>
      </c>
      <c r="D52" s="2263"/>
      <c r="E52" s="2249" t="s">
        <v>1743</v>
      </c>
      <c r="F52" s="2547" t="s">
        <v>1786</v>
      </c>
      <c r="G52" s="2548"/>
      <c r="H52" s="53"/>
      <c r="I52" s="57"/>
      <c r="J52" s="64"/>
      <c r="K52" s="64"/>
      <c r="L52" s="64"/>
      <c r="M52" s="64"/>
      <c r="N52" s="64"/>
    </row>
    <row r="53" spans="1:14" s="29" customFormat="1" ht="13.5" thickBot="1">
      <c r="A53" s="2258"/>
      <c r="B53" s="2173" t="s">
        <v>132</v>
      </c>
      <c r="C53" s="2259"/>
      <c r="D53" s="66"/>
      <c r="E53" s="2260"/>
      <c r="F53" s="834" t="s">
        <v>1785</v>
      </c>
      <c r="G53" s="865" t="s">
        <v>177</v>
      </c>
      <c r="J53" s="64"/>
      <c r="K53" s="64"/>
      <c r="L53" s="64"/>
      <c r="M53" s="64"/>
      <c r="N53" s="64"/>
    </row>
    <row r="54" spans="1:14" s="29" customFormat="1" ht="13.5" thickTop="1">
      <c r="A54" s="2163" t="s">
        <v>1072</v>
      </c>
      <c r="B54" s="1141">
        <f>0.64+0.07</f>
        <v>0.71</v>
      </c>
      <c r="C54" s="2164">
        <f>C52*$B54*'{d}Cost Index'!D10</f>
        <v>106388.04720266786</v>
      </c>
      <c r="D54" s="66"/>
      <c r="E54" s="2545" t="s">
        <v>1744</v>
      </c>
      <c r="F54" s="1132">
        <v>4</v>
      </c>
      <c r="G54" s="1133">
        <v>2500</v>
      </c>
      <c r="J54" s="64"/>
      <c r="K54" s="64"/>
      <c r="L54" s="64"/>
      <c r="M54" s="64"/>
      <c r="N54" s="64"/>
    </row>
    <row r="55" spans="1:14" s="29" customFormat="1" ht="12.75">
      <c r="A55" s="2165" t="s">
        <v>1063</v>
      </c>
      <c r="B55" s="1142">
        <v>0.15</v>
      </c>
      <c r="C55" s="2166">
        <f>C54*$B55*'{d}Cost Index'!D13</f>
        <v>41374.90143768114</v>
      </c>
      <c r="D55" s="66"/>
      <c r="E55" s="2543"/>
      <c r="F55" s="1743" t="s">
        <v>1738</v>
      </c>
      <c r="G55" s="1750"/>
      <c r="H55" s="1750"/>
      <c r="I55" s="1750"/>
      <c r="J55" s="64"/>
      <c r="K55" s="64"/>
      <c r="L55" s="64"/>
      <c r="M55" s="64"/>
      <c r="N55" s="64"/>
    </row>
    <row r="56" spans="1:14" s="29" customFormat="1" ht="12.75">
      <c r="A56" s="2167" t="s">
        <v>1064</v>
      </c>
      <c r="B56" s="1142">
        <v>0.12</v>
      </c>
      <c r="C56" s="2166">
        <f>C55*$B56*'{d}Cost Index'!D14</f>
        <v>15005.382631811717</v>
      </c>
      <c r="D56" s="66"/>
      <c r="E56" s="2543"/>
      <c r="F56" s="1750"/>
      <c r="G56" s="1750"/>
      <c r="H56" s="1750"/>
      <c r="I56" s="1750"/>
      <c r="J56" s="64"/>
      <c r="K56" s="64"/>
      <c r="L56" s="64"/>
      <c r="M56" s="64"/>
      <c r="N56" s="64"/>
    </row>
    <row r="57" spans="1:14" s="29" customFormat="1" ht="12.75">
      <c r="A57" s="2165" t="s">
        <v>1073</v>
      </c>
      <c r="B57" s="1143">
        <v>0.02</v>
      </c>
      <c r="C57" s="2166">
        <f>C56*$B57*'{d}Cost Index'!D16</f>
        <v>624.6270294909335</v>
      </c>
      <c r="D57" s="66"/>
      <c r="E57" s="2543"/>
      <c r="F57" s="151"/>
      <c r="J57" s="64"/>
      <c r="K57" s="64"/>
      <c r="L57" s="64"/>
      <c r="M57" s="64"/>
      <c r="N57" s="64"/>
    </row>
    <row r="58" spans="1:14" s="29" customFormat="1" ht="12.75">
      <c r="A58" s="2165" t="s">
        <v>1066</v>
      </c>
      <c r="B58" s="1142">
        <v>0</v>
      </c>
      <c r="C58" s="2166">
        <f>C57*$B58*'{d}Cost Index'!D19</f>
        <v>0</v>
      </c>
      <c r="D58" s="65"/>
      <c r="E58" s="2543"/>
      <c r="J58" s="64"/>
      <c r="K58" s="64"/>
      <c r="L58" s="64"/>
      <c r="M58" s="64"/>
      <c r="N58" s="64"/>
    </row>
    <row r="59" spans="1:14" s="29" customFormat="1" ht="13.5" thickBot="1">
      <c r="A59" s="2144" t="s">
        <v>1067</v>
      </c>
      <c r="B59" s="1144">
        <v>0</v>
      </c>
      <c r="C59" s="2168">
        <f>C58*$B59*'{d}Cost Index'!D18</f>
        <v>0</v>
      </c>
      <c r="D59" s="65"/>
      <c r="E59" s="2543"/>
      <c r="K59" s="64"/>
      <c r="L59" s="64"/>
      <c r="M59" s="64"/>
      <c r="N59" s="64"/>
    </row>
    <row r="60" spans="1:14" ht="13.5" thickBot="1">
      <c r="A60" s="758" t="str">
        <f>TEXT(IndexDate,"mmmm, yyyy")&amp;" Capital Cost $:"</f>
        <v>November, 2006 Capital Cost $:</v>
      </c>
      <c r="B60" s="783">
        <f>SUM(B54:B59)</f>
        <v>1</v>
      </c>
      <c r="C60" s="1194">
        <f>SUM(C54:C59)</f>
        <v>163392.95830165164</v>
      </c>
      <c r="D60" s="1016"/>
      <c r="E60" s="2544"/>
      <c r="H60" s="29"/>
      <c r="K60" s="64"/>
      <c r="L60" s="64"/>
      <c r="M60" s="66"/>
      <c r="N60" s="66"/>
    </row>
    <row r="61" spans="1:14" ht="12.75">
      <c r="A61" s="163"/>
      <c r="B61" s="30"/>
      <c r="C61" s="30"/>
      <c r="F61" s="151"/>
      <c r="K61" s="66"/>
      <c r="L61" s="66"/>
      <c r="M61" s="66"/>
      <c r="N61" s="66"/>
    </row>
    <row r="62" spans="1:14" ht="13.5" thickBot="1">
      <c r="A62" s="163"/>
      <c r="B62" s="30"/>
      <c r="C62" s="30"/>
      <c r="F62" s="151"/>
      <c r="I62" s="29"/>
      <c r="J62" s="64"/>
      <c r="K62" s="66"/>
      <c r="L62" s="66"/>
      <c r="M62" s="66"/>
      <c r="N62" s="66"/>
    </row>
    <row r="63" spans="1:14" ht="15.75">
      <c r="A63" s="2185" t="s">
        <v>20</v>
      </c>
      <c r="B63" s="1006"/>
      <c r="C63" s="1007"/>
      <c r="D63" s="62"/>
      <c r="E63" s="48"/>
      <c r="F63" s="151"/>
      <c r="I63" s="29"/>
      <c r="J63" s="64"/>
      <c r="K63" s="66"/>
      <c r="L63" s="66"/>
      <c r="M63" s="66"/>
      <c r="N63" s="66"/>
    </row>
    <row r="64" spans="1:14" ht="15.75" thickBot="1">
      <c r="A64" s="1076"/>
      <c r="B64" s="1077"/>
      <c r="C64" s="2177" t="s">
        <v>1682</v>
      </c>
      <c r="D64" s="62"/>
      <c r="E64" s="52"/>
      <c r="F64" s="33"/>
      <c r="I64" s="1005"/>
      <c r="J64" s="64"/>
      <c r="K64" s="66"/>
      <c r="L64" s="66"/>
      <c r="M64" s="66"/>
      <c r="N64" s="66"/>
    </row>
    <row r="65" spans="1:14" ht="15.75" thickTop="1">
      <c r="A65" s="2217" t="s">
        <v>300</v>
      </c>
      <c r="B65" s="1075">
        <f>B66*B19</f>
        <v>127.98627797148768</v>
      </c>
      <c r="C65" s="2192" t="s">
        <v>1815</v>
      </c>
      <c r="D65" s="2434"/>
      <c r="E65" s="52"/>
      <c r="F65" s="33"/>
      <c r="J65" s="66"/>
      <c r="K65" s="66"/>
      <c r="L65" s="66"/>
      <c r="M65" s="66"/>
      <c r="N65" s="66"/>
    </row>
    <row r="66" spans="1:14" ht="12.75">
      <c r="A66" s="1012" t="s">
        <v>298</v>
      </c>
      <c r="B66" s="997">
        <f>B47</f>
        <v>2</v>
      </c>
      <c r="C66" s="2193"/>
      <c r="D66" s="234"/>
      <c r="E66" s="64"/>
      <c r="L66" s="6"/>
      <c r="M66" s="66"/>
      <c r="N66" s="66"/>
    </row>
    <row r="67" spans="1:14" ht="12.75">
      <c r="A67" s="1014" t="s">
        <v>293</v>
      </c>
      <c r="B67" s="996">
        <f>B48</f>
        <v>0</v>
      </c>
      <c r="C67" s="2193" t="s">
        <v>1692</v>
      </c>
      <c r="D67" s="2200"/>
      <c r="E67" s="2201"/>
      <c r="L67" s="6"/>
      <c r="M67" s="66"/>
      <c r="N67" s="66"/>
    </row>
    <row r="68" spans="1:14" ht="15">
      <c r="A68" s="2175" t="s">
        <v>1818</v>
      </c>
      <c r="B68" s="998">
        <f>B66*(B67*B15*(3600/1)*(1/1000)*(1/1000))</f>
        <v>0</v>
      </c>
      <c r="C68" s="2194" t="s">
        <v>1815</v>
      </c>
      <c r="D68" s="235"/>
      <c r="E68" s="64"/>
      <c r="F68" s="33"/>
      <c r="J68" s="66"/>
      <c r="K68" s="66"/>
      <c r="L68" s="66"/>
      <c r="M68" s="66"/>
      <c r="N68" s="66"/>
    </row>
    <row r="69" spans="1:12" ht="15.75" thickBot="1">
      <c r="A69" s="2195" t="s">
        <v>1819</v>
      </c>
      <c r="B69" s="2196">
        <f>IF(B67=0,B65,B68)</f>
        <v>127.98627797148768</v>
      </c>
      <c r="C69" s="2197" t="s">
        <v>1815</v>
      </c>
      <c r="D69" s="236"/>
      <c r="E69" s="66"/>
      <c r="F69" s="33"/>
      <c r="J69" s="66"/>
      <c r="K69" s="66"/>
      <c r="L69" s="66"/>
    </row>
    <row r="70" spans="1:6" ht="15.75" thickBot="1">
      <c r="A70" s="2198"/>
      <c r="B70" s="2199"/>
      <c r="C70" s="1013"/>
      <c r="D70" s="2200"/>
      <c r="E70" s="66"/>
      <c r="F70" s="34"/>
    </row>
    <row r="71" spans="1:9" ht="12.75">
      <c r="A71" s="2248" t="s">
        <v>88</v>
      </c>
      <c r="B71" s="1350"/>
      <c r="C71" s="2257">
        <f>$C$91*EXP($C$92*B69)+$C$93</f>
        <v>2375.838644716131</v>
      </c>
      <c r="D71" s="2437"/>
      <c r="E71" s="2249" t="s">
        <v>1743</v>
      </c>
      <c r="F71" s="1753" t="s">
        <v>1740</v>
      </c>
      <c r="G71" s="2432"/>
      <c r="H71" s="2433"/>
      <c r="I71" s="2433"/>
    </row>
    <row r="72" spans="1:9" ht="13.5" thickBot="1">
      <c r="A72" s="139"/>
      <c r="B72" s="2244" t="s">
        <v>132</v>
      </c>
      <c r="C72" s="2256"/>
      <c r="E72" s="2439"/>
      <c r="F72" s="1753"/>
      <c r="G72" s="2433"/>
      <c r="H72" s="2433"/>
      <c r="I72" s="2433"/>
    </row>
    <row r="73" spans="1:7" ht="12.75">
      <c r="A73" s="2255" t="s">
        <v>1495</v>
      </c>
      <c r="B73" s="2440">
        <v>0.04</v>
      </c>
      <c r="C73" s="2266">
        <f>B73*C71*'{d}Cost Index'!D17</f>
        <v>197.79742664511124</v>
      </c>
      <c r="D73" s="2441"/>
      <c r="E73" s="2550" t="s">
        <v>1744</v>
      </c>
      <c r="F73" s="2546" t="s">
        <v>1786</v>
      </c>
      <c r="G73" s="2546"/>
    </row>
    <row r="74" spans="1:14" ht="15">
      <c r="A74" s="2165" t="s">
        <v>1494</v>
      </c>
      <c r="B74" s="1143">
        <v>0.59</v>
      </c>
      <c r="C74" s="2191">
        <f>B74*C73*'{d}Cost Index'!D21</f>
        <v>272.3011240147698</v>
      </c>
      <c r="D74" s="66"/>
      <c r="E74" s="2543"/>
      <c r="F74" s="204" t="s">
        <v>1785</v>
      </c>
      <c r="G74" s="204" t="s">
        <v>177</v>
      </c>
      <c r="H74" s="35"/>
      <c r="M74" s="66"/>
      <c r="N74" s="66"/>
    </row>
    <row r="75" spans="1:14" ht="12.75">
      <c r="A75" s="2165" t="s">
        <v>210</v>
      </c>
      <c r="B75" s="1143">
        <v>0.37</v>
      </c>
      <c r="C75" s="2191">
        <f>B75*C74*'{d}Cost Index'!D11</f>
        <v>283.33287816773986</v>
      </c>
      <c r="D75" s="66"/>
      <c r="E75" s="2543"/>
      <c r="F75" s="2435">
        <v>4</v>
      </c>
      <c r="G75" s="2436">
        <v>2500</v>
      </c>
      <c r="H75" s="66"/>
      <c r="I75" s="66"/>
      <c r="J75" s="66"/>
      <c r="K75" s="66"/>
      <c r="L75" s="66"/>
      <c r="M75" s="66"/>
      <c r="N75" s="66"/>
    </row>
    <row r="76" spans="1:14" ht="13.5" thickBot="1">
      <c r="A76" s="2172" t="s">
        <v>415</v>
      </c>
      <c r="B76" s="1147"/>
      <c r="C76" s="2431">
        <f>B69*24*365.242*2.205*$B$11/100</f>
        <v>371069.4633342874</v>
      </c>
      <c r="D76" s="66"/>
      <c r="E76" s="2543"/>
      <c r="F76" s="66"/>
      <c r="G76" s="66"/>
      <c r="H76" s="66"/>
      <c r="I76" s="66"/>
      <c r="J76" s="66"/>
      <c r="K76" s="66"/>
      <c r="L76" s="66"/>
      <c r="M76" s="66"/>
      <c r="N76" s="66"/>
    </row>
    <row r="77" spans="1:14" ht="13.5" thickBot="1">
      <c r="A77" s="127" t="str">
        <f>TEXT(IndexDate,"mmmm, yyyy")&amp;"  Operation &amp; Maintenance $:"</f>
        <v>November, 2006  Operation &amp; Maintenance $:</v>
      </c>
      <c r="B77" s="783">
        <f>SUM(B73:B75)</f>
        <v>1</v>
      </c>
      <c r="C77" s="1194">
        <f>SUM(C73:C76)</f>
        <v>371822.89476311504</v>
      </c>
      <c r="D77" s="2438"/>
      <c r="E77" s="2544"/>
      <c r="H77" s="66"/>
      <c r="I77" s="66"/>
      <c r="J77" s="66"/>
      <c r="K77" s="66"/>
      <c r="L77" s="66"/>
      <c r="M77" s="66"/>
      <c r="N77" s="66"/>
    </row>
    <row r="78" spans="1:14" ht="12.75">
      <c r="A78" s="305"/>
      <c r="B78" s="74"/>
      <c r="C78" s="75"/>
      <c r="H78" s="66"/>
      <c r="I78" s="66"/>
      <c r="J78" s="66"/>
      <c r="K78" s="66"/>
      <c r="L78" s="66"/>
      <c r="M78" s="66"/>
      <c r="N78" s="66"/>
    </row>
    <row r="79" spans="1:14" ht="13.5" thickBot="1">
      <c r="A79" s="305"/>
      <c r="B79" s="74"/>
      <c r="C79" s="75"/>
      <c r="H79" s="66"/>
      <c r="I79" s="66"/>
      <c r="J79" s="66"/>
      <c r="K79" s="66"/>
      <c r="L79" s="66"/>
      <c r="M79" s="66"/>
      <c r="N79" s="66"/>
    </row>
    <row r="80" spans="1:14" ht="12.75">
      <c r="A80" s="847" t="s">
        <v>396</v>
      </c>
      <c r="B80" s="993"/>
      <c r="C80" s="994"/>
      <c r="F80" s="151"/>
      <c r="H80" s="66"/>
      <c r="I80" s="66"/>
      <c r="J80" s="66"/>
      <c r="K80" s="66"/>
      <c r="L80" s="66"/>
      <c r="M80" s="66"/>
      <c r="N80" s="66"/>
    </row>
    <row r="81" spans="1:14" ht="12.75">
      <c r="A81" s="850" t="s">
        <v>332</v>
      </c>
      <c r="B81" s="2202"/>
      <c r="C81" s="2203"/>
      <c r="F81" s="151"/>
      <c r="H81" s="66"/>
      <c r="I81" s="66"/>
      <c r="J81" s="66"/>
      <c r="K81" s="66"/>
      <c r="L81" s="66"/>
      <c r="M81" s="66"/>
      <c r="N81" s="66"/>
    </row>
    <row r="82" spans="1:14" ht="12.75">
      <c r="A82" s="68" t="s">
        <v>397</v>
      </c>
      <c r="B82" s="2204"/>
      <c r="C82" s="2205"/>
      <c r="F82" s="151"/>
      <c r="H82" s="66"/>
      <c r="I82" s="66"/>
      <c r="J82" s="66"/>
      <c r="K82" s="66"/>
      <c r="L82" s="66"/>
      <c r="M82" s="66"/>
      <c r="N82" s="66"/>
    </row>
    <row r="83" spans="1:14" ht="15">
      <c r="A83" s="991"/>
      <c r="B83" s="2204" t="s">
        <v>398</v>
      </c>
      <c r="C83" s="2205" t="s">
        <v>399</v>
      </c>
      <c r="F83" s="33"/>
      <c r="H83" s="66"/>
      <c r="I83" s="66"/>
      <c r="J83" s="66"/>
      <c r="K83" s="66"/>
      <c r="L83" s="66"/>
      <c r="M83" s="66"/>
      <c r="N83" s="66"/>
    </row>
    <row r="84" spans="1:14" ht="15">
      <c r="A84" s="230" t="s">
        <v>403</v>
      </c>
      <c r="B84" s="2206">
        <v>12333.4</v>
      </c>
      <c r="C84" s="2207">
        <v>13223.3</v>
      </c>
      <c r="F84" s="33"/>
      <c r="H84" s="66"/>
      <c r="I84" s="66"/>
      <c r="J84" s="66"/>
      <c r="K84" s="66"/>
      <c r="L84" s="66"/>
      <c r="M84" s="66"/>
      <c r="N84" s="66"/>
    </row>
    <row r="85" spans="1:15" ht="12.75">
      <c r="A85" s="762" t="s">
        <v>404</v>
      </c>
      <c r="B85" s="2208">
        <v>0.3205</v>
      </c>
      <c r="C85" s="2209">
        <v>0.285</v>
      </c>
      <c r="G85" s="1"/>
      <c r="H85" s="1"/>
      <c r="K85" s="30"/>
      <c r="L85" s="30"/>
      <c r="M85" s="75"/>
      <c r="N85" s="75"/>
      <c r="O85" s="74"/>
    </row>
    <row r="86" spans="1:15" ht="12.75">
      <c r="A86" s="762" t="s">
        <v>406</v>
      </c>
      <c r="B86" s="2208">
        <v>0.000515</v>
      </c>
      <c r="C86" s="2209">
        <v>0.000377</v>
      </c>
      <c r="G86" s="1"/>
      <c r="H86" s="1"/>
      <c r="K86" s="30"/>
      <c r="L86" s="30"/>
      <c r="M86" s="75"/>
      <c r="N86" s="75"/>
      <c r="O86" s="74"/>
    </row>
    <row r="87" spans="1:14" ht="12.75">
      <c r="A87" s="995"/>
      <c r="B87" s="2210"/>
      <c r="C87" s="2211"/>
      <c r="F87" s="66"/>
      <c r="G87" s="66"/>
      <c r="H87" s="66"/>
      <c r="I87" s="66"/>
      <c r="J87" s="66"/>
      <c r="K87" s="66"/>
      <c r="L87" s="66"/>
      <c r="M87" s="66"/>
      <c r="N87" s="66"/>
    </row>
    <row r="88" spans="1:14" ht="12.75">
      <c r="A88" s="850" t="s">
        <v>333</v>
      </c>
      <c r="B88" s="2212"/>
      <c r="C88" s="2209"/>
      <c r="F88" s="66"/>
      <c r="G88" s="66"/>
      <c r="H88" s="66"/>
      <c r="I88" s="66"/>
      <c r="J88" s="66"/>
      <c r="K88" s="66"/>
      <c r="L88" s="66"/>
      <c r="M88" s="66"/>
      <c r="N88" s="66"/>
    </row>
    <row r="89" spans="1:12" ht="12.75">
      <c r="A89" s="762" t="s">
        <v>407</v>
      </c>
      <c r="B89" s="2208"/>
      <c r="C89" s="2209"/>
      <c r="I89" s="66"/>
      <c r="J89" s="66"/>
      <c r="K89" s="66"/>
      <c r="L89" s="66"/>
    </row>
    <row r="90" spans="1:3" ht="12.75">
      <c r="A90" s="992"/>
      <c r="B90" s="2213" t="s">
        <v>398</v>
      </c>
      <c r="C90" s="2214" t="s">
        <v>399</v>
      </c>
    </row>
    <row r="91" spans="1:3" ht="12.75">
      <c r="A91" s="762" t="s">
        <v>403</v>
      </c>
      <c r="B91" s="2208">
        <v>1205293</v>
      </c>
      <c r="C91" s="2209">
        <v>-6880.7</v>
      </c>
    </row>
    <row r="92" spans="1:3" ht="12.75">
      <c r="A92" s="762" t="s">
        <v>404</v>
      </c>
      <c r="B92" s="2208">
        <v>1.9433E-05</v>
      </c>
      <c r="C92" s="2209">
        <v>-0.000659</v>
      </c>
    </row>
    <row r="93" spans="1:3" ht="13.5" thickBot="1">
      <c r="A93" s="71" t="s">
        <v>406</v>
      </c>
      <c r="B93" s="2215">
        <v>-1202070</v>
      </c>
      <c r="C93" s="2216">
        <v>8700</v>
      </c>
    </row>
    <row r="94" spans="1:3" ht="12.75">
      <c r="A94" s="52"/>
      <c r="B94" s="52"/>
      <c r="C94" s="52"/>
    </row>
    <row r="95" spans="1:3" ht="12.75">
      <c r="A95" s="52"/>
      <c r="B95" s="52"/>
      <c r="C95" s="52"/>
    </row>
    <row r="96" spans="1:3" ht="12.75">
      <c r="A96" s="59" t="s">
        <v>408</v>
      </c>
      <c r="B96" s="60"/>
      <c r="C96" s="52"/>
    </row>
    <row r="97" spans="1:3" ht="12.75">
      <c r="A97" s="61" t="s">
        <v>409</v>
      </c>
      <c r="B97" s="60"/>
      <c r="C97" s="60"/>
    </row>
    <row r="98" spans="1:3" ht="12.75">
      <c r="A98" s="60"/>
      <c r="B98" s="60"/>
      <c r="C98" s="60"/>
    </row>
    <row r="99" spans="1:3" ht="12.75">
      <c r="A99" s="61" t="s">
        <v>410</v>
      </c>
      <c r="B99" s="60"/>
      <c r="C99" s="60"/>
    </row>
    <row r="100" spans="1:3" ht="12.75">
      <c r="A100" s="61" t="s">
        <v>411</v>
      </c>
      <c r="B100" s="60"/>
      <c r="C100" s="62"/>
    </row>
    <row r="101" spans="1:3" ht="12.75">
      <c r="A101" s="61" t="s">
        <v>412</v>
      </c>
      <c r="B101" s="60"/>
      <c r="C101" s="62"/>
    </row>
    <row r="102" spans="1:3" ht="12.75">
      <c r="A102" s="61" t="s">
        <v>413</v>
      </c>
      <c r="B102" s="60"/>
      <c r="C102" s="62"/>
    </row>
    <row r="103" spans="1:3" ht="12.75">
      <c r="A103" s="61" t="s">
        <v>414</v>
      </c>
      <c r="B103" s="60"/>
      <c r="C103" s="62"/>
    </row>
    <row r="104" spans="1:3" ht="12.75">
      <c r="A104" s="60"/>
      <c r="B104" s="60"/>
      <c r="C104" s="62"/>
    </row>
  </sheetData>
  <mergeCells count="8">
    <mergeCell ref="E23:E29"/>
    <mergeCell ref="E34:E38"/>
    <mergeCell ref="F73:G73"/>
    <mergeCell ref="A37:B37"/>
    <mergeCell ref="F52:G52"/>
    <mergeCell ref="F32:G32"/>
    <mergeCell ref="E73:E77"/>
    <mergeCell ref="E54:E60"/>
  </mergeCells>
  <printOptions gridLines="1"/>
  <pageMargins left="1.05" right="0.75" top="1" bottom="1" header="0.5" footer="0.5"/>
  <pageSetup fitToWidth="2" fitToHeight="1" horizontalDpi="300" verticalDpi="300" orientation="portrait" scale="65" r:id="rId1"/>
  <headerFooter alignWithMargins="0">
    <oddHeader>&amp;C&amp;A</oddHeader>
    <oddFooter>&amp;CWater Treatment Cost Estimation Program</oddFooter>
  </headerFooter>
</worksheet>
</file>

<file path=xl/worksheets/sheet19.xml><?xml version="1.0" encoding="utf-8"?>
<worksheet xmlns="http://schemas.openxmlformats.org/spreadsheetml/2006/main" xmlns:r="http://schemas.openxmlformats.org/officeDocument/2006/relationships">
  <sheetPr codeName="Sheet16">
    <pageSetUpPr fitToPage="1"/>
  </sheetPr>
  <dimension ref="A1:T64"/>
  <sheetViews>
    <sheetView workbookViewId="0" topLeftCell="A1">
      <selection activeCell="B12" sqref="B12"/>
    </sheetView>
  </sheetViews>
  <sheetFormatPr defaultColWidth="9.140625" defaultRowHeight="12.75"/>
  <cols>
    <col min="1" max="1" width="45.57421875" style="309" customWidth="1"/>
    <col min="2" max="2" width="12.00390625" style="309" customWidth="1"/>
    <col min="3" max="3" width="11.28125" style="309" bestFit="1" customWidth="1"/>
    <col min="4" max="4" width="0" style="309" hidden="1" customWidth="1"/>
    <col min="5" max="5" width="11.140625" style="309" customWidth="1"/>
    <col min="6" max="7" width="10.421875" style="309" bestFit="1" customWidth="1"/>
    <col min="8" max="8" width="11.140625" style="309" customWidth="1"/>
    <col min="9" max="9" width="19.57421875" style="309" customWidth="1"/>
    <col min="10" max="10" width="20.57421875" style="309" customWidth="1"/>
    <col min="11" max="11" width="21.140625" style="309" customWidth="1"/>
    <col min="12" max="12" width="21.00390625" style="309" customWidth="1"/>
    <col min="13" max="13" width="24.00390625" style="309" customWidth="1"/>
    <col min="14" max="14" width="23.140625" style="309" customWidth="1"/>
    <col min="15" max="15" width="26.140625" style="309" customWidth="1"/>
    <col min="16" max="16" width="21.00390625" style="309" customWidth="1"/>
    <col min="17" max="17" width="24.00390625" style="309" customWidth="1"/>
    <col min="18" max="18" width="23.140625" style="309" customWidth="1"/>
    <col min="19" max="19" width="26.140625" style="309" customWidth="1"/>
    <col min="20" max="20" width="12.140625" style="309" customWidth="1"/>
    <col min="21" max="16384" width="9.140625" style="309"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666" t="s">
        <v>424</v>
      </c>
    </row>
    <row r="5" ht="13.5" thickBot="1">
      <c r="J5" s="27"/>
    </row>
    <row r="6" spans="1:10" ht="15.75">
      <c r="A6" s="2185" t="s">
        <v>21</v>
      </c>
      <c r="B6" s="1006"/>
      <c r="C6" s="1007"/>
      <c r="J6" s="27"/>
    </row>
    <row r="7" spans="1:3" ht="15" thickBot="1">
      <c r="A7" s="2219" t="s">
        <v>190</v>
      </c>
      <c r="B7" s="1078"/>
      <c r="C7" s="2177" t="s">
        <v>1682</v>
      </c>
    </row>
    <row r="8" spans="1:4" ht="13.5" thickTop="1">
      <c r="A8" s="2110" t="s">
        <v>60</v>
      </c>
      <c r="B8" s="764">
        <f>'{b}Capacity'!$B$27</f>
        <v>46.113547758284604</v>
      </c>
      <c r="C8" s="2220" t="s">
        <v>1</v>
      </c>
      <c r="D8" s="369"/>
    </row>
    <row r="9" spans="1:3" ht="14.25">
      <c r="A9" s="2221"/>
      <c r="B9" s="764">
        <f>B8*(3600/1)*(1/1000)</f>
        <v>166.00877192982458</v>
      </c>
      <c r="C9" s="2220" t="s">
        <v>302</v>
      </c>
    </row>
    <row r="10" spans="1:19" ht="12.75">
      <c r="A10" s="1011" t="s">
        <v>301</v>
      </c>
      <c r="B10" s="1710">
        <f>6*(29.98)+12*(1.0079+15.999)+6*(35.45)</f>
        <v>596.6628000000001</v>
      </c>
      <c r="C10" s="2222" t="s">
        <v>1754</v>
      </c>
      <c r="K10" s="374"/>
      <c r="L10" s="375"/>
      <c r="M10" s="375"/>
      <c r="N10" s="375"/>
      <c r="O10" s="375"/>
      <c r="P10" s="376"/>
      <c r="Q10" s="376"/>
      <c r="R10" s="376"/>
      <c r="S10" s="377"/>
    </row>
    <row r="11" spans="1:19" ht="12.75">
      <c r="A11" s="2227" t="s">
        <v>1117</v>
      </c>
      <c r="B11" s="2446">
        <v>80</v>
      </c>
      <c r="C11" s="2224" t="s">
        <v>2</v>
      </c>
      <c r="K11" s="374"/>
      <c r="L11" s="375"/>
      <c r="M11" s="375"/>
      <c r="N11" s="375"/>
      <c r="O11" s="375"/>
      <c r="P11" s="376"/>
      <c r="Q11" s="376"/>
      <c r="R11" s="376"/>
      <c r="S11" s="377"/>
    </row>
    <row r="12" spans="1:4" ht="13.5" thickBot="1">
      <c r="A12" s="2445" t="s">
        <v>1818</v>
      </c>
      <c r="B12" s="764">
        <f>'{c}Report'!D159</f>
        <v>0</v>
      </c>
      <c r="C12" s="2220" t="s">
        <v>1692</v>
      </c>
      <c r="D12" s="372"/>
    </row>
    <row r="13" spans="1:3" ht="13.5" thickBot="1">
      <c r="A13" s="2225"/>
      <c r="B13" s="1017">
        <f>B12*B8*(3600/1)*(1/1000)*(1/1000)</f>
        <v>0</v>
      </c>
      <c r="C13" s="2226" t="s">
        <v>400</v>
      </c>
    </row>
    <row r="14" spans="1:20" ht="12.75">
      <c r="A14" s="2227" t="s">
        <v>402</v>
      </c>
      <c r="B14" s="1017">
        <f>'{e}H20 Analysis'!$C$31</f>
        <v>180</v>
      </c>
      <c r="C14" s="2224" t="s">
        <v>1692</v>
      </c>
      <c r="D14" s="369"/>
      <c r="E14" s="48"/>
      <c r="L14" s="374"/>
      <c r="M14" s="375"/>
      <c r="N14" s="375"/>
      <c r="O14" s="375"/>
      <c r="P14" s="375"/>
      <c r="Q14" s="376"/>
      <c r="R14" s="376"/>
      <c r="S14" s="376"/>
      <c r="T14" s="377"/>
    </row>
    <row r="15" spans="1:20" ht="12.75">
      <c r="A15" s="2227"/>
      <c r="B15" s="2218">
        <f>B14/(1.0079+12.011+3*15.999)</f>
        <v>2.9500507244832903</v>
      </c>
      <c r="C15" s="2228" t="s">
        <v>401</v>
      </c>
      <c r="D15" s="371"/>
      <c r="E15" s="48"/>
      <c r="L15" s="374"/>
      <c r="M15" s="375"/>
      <c r="N15" s="375"/>
      <c r="O15" s="375"/>
      <c r="P15" s="375"/>
      <c r="Q15" s="376"/>
      <c r="R15" s="376"/>
      <c r="S15" s="376"/>
      <c r="T15" s="377"/>
    </row>
    <row r="16" spans="1:20" ht="12.75">
      <c r="A16" s="2442" t="s">
        <v>995</v>
      </c>
      <c r="B16" s="1017">
        <f>B17*B10</f>
        <v>97.78808474512381</v>
      </c>
      <c r="C16" s="2224" t="s">
        <v>1692</v>
      </c>
      <c r="D16" s="371"/>
      <c r="E16" s="52"/>
      <c r="F16" s="2547" t="s">
        <v>1786</v>
      </c>
      <c r="G16" s="2549"/>
      <c r="L16" s="374"/>
      <c r="M16" s="375"/>
      <c r="N16" s="375"/>
      <c r="O16" s="375"/>
      <c r="P16" s="375"/>
      <c r="Q16" s="376"/>
      <c r="R16" s="376"/>
      <c r="S16" s="376"/>
      <c r="T16" s="377"/>
    </row>
    <row r="17" spans="1:20" ht="13.5" thickBot="1">
      <c r="A17" s="2455" t="s">
        <v>996</v>
      </c>
      <c r="B17" s="2443">
        <f>B15/18</f>
        <v>0.16389170691573834</v>
      </c>
      <c r="C17" s="2228" t="s">
        <v>401</v>
      </c>
      <c r="D17" s="371"/>
      <c r="E17" s="52"/>
      <c r="F17" s="834" t="s">
        <v>1785</v>
      </c>
      <c r="G17" s="834" t="s">
        <v>177</v>
      </c>
      <c r="L17" s="374"/>
      <c r="M17" s="375"/>
      <c r="N17" s="375"/>
      <c r="O17" s="375"/>
      <c r="P17" s="375"/>
      <c r="Q17" s="376"/>
      <c r="R17" s="376"/>
      <c r="S17" s="376"/>
      <c r="T17" s="377"/>
    </row>
    <row r="18" spans="1:20" ht="13.5" thickTop="1">
      <c r="A18" s="2223" t="s">
        <v>299</v>
      </c>
      <c r="B18" s="1017">
        <f>B16*B9*(1/1000)*(1/1000)*(1000/1)</f>
        <v>16.233679857907617</v>
      </c>
      <c r="C18" s="2224" t="s">
        <v>1815</v>
      </c>
      <c r="D18" s="371"/>
      <c r="E18" s="1004"/>
      <c r="F18" s="1132">
        <v>4</v>
      </c>
      <c r="G18" s="1286">
        <v>2300</v>
      </c>
      <c r="H18" s="368"/>
      <c r="L18" s="374"/>
      <c r="M18" s="375"/>
      <c r="N18" s="375"/>
      <c r="O18" s="375"/>
      <c r="P18" s="375"/>
      <c r="Q18" s="376"/>
      <c r="R18" s="376"/>
      <c r="S18" s="376"/>
      <c r="T18" s="377"/>
    </row>
    <row r="19" spans="1:20" ht="13.5" thickBot="1">
      <c r="A19" s="2230" t="s">
        <v>1819</v>
      </c>
      <c r="B19" s="2444">
        <f>IF(OR(B12=0),B18,B13)</f>
        <v>16.233679857907617</v>
      </c>
      <c r="C19" s="2229" t="s">
        <v>1815</v>
      </c>
      <c r="D19" s="371"/>
      <c r="L19" s="374"/>
      <c r="M19" s="375"/>
      <c r="N19" s="375"/>
      <c r="O19" s="375"/>
      <c r="P19" s="375"/>
      <c r="Q19" s="376"/>
      <c r="R19" s="376"/>
      <c r="S19" s="376"/>
      <c r="T19" s="377"/>
    </row>
    <row r="20" spans="2:20" ht="13.5" thickBot="1">
      <c r="B20" s="310"/>
      <c r="C20" s="310"/>
      <c r="D20" s="373"/>
      <c r="L20" s="374"/>
      <c r="M20" s="375"/>
      <c r="N20" s="375"/>
      <c r="O20" s="375"/>
      <c r="P20" s="375"/>
      <c r="Q20" s="376"/>
      <c r="R20" s="376"/>
      <c r="S20" s="376"/>
      <c r="T20" s="377"/>
    </row>
    <row r="21" spans="1:19" ht="12.75">
      <c r="A21" s="2255" t="s">
        <v>187</v>
      </c>
      <c r="B21" s="1400" t="s">
        <v>132</v>
      </c>
      <c r="C21" s="2272">
        <f>$B$45*B19^$B$46*EXP($B$47*B19)</f>
        <v>30384.51508985033</v>
      </c>
      <c r="E21" s="2249" t="s">
        <v>1743</v>
      </c>
      <c r="K21" s="374"/>
      <c r="L21" s="375"/>
      <c r="M21" s="375"/>
      <c r="N21" s="375"/>
      <c r="O21" s="375"/>
      <c r="P21" s="376"/>
      <c r="Q21" s="376"/>
      <c r="R21" s="376"/>
      <c r="S21" s="377"/>
    </row>
    <row r="22" spans="1:19" ht="13.5" thickBot="1">
      <c r="A22" s="139"/>
      <c r="B22" s="2244"/>
      <c r="C22" s="2271"/>
      <c r="E22" s="2260"/>
      <c r="K22" s="374"/>
      <c r="L22" s="375"/>
      <c r="M22" s="375"/>
      <c r="N22" s="375"/>
      <c r="O22" s="375"/>
      <c r="P22" s="376"/>
      <c r="Q22" s="376"/>
      <c r="R22" s="376"/>
      <c r="S22" s="377"/>
    </row>
    <row r="23" spans="1:19" ht="13.5" thickTop="1">
      <c r="A23" s="1134" t="s">
        <v>1072</v>
      </c>
      <c r="B23" s="1283">
        <f>0.41+0.05</f>
        <v>0.45999999999999996</v>
      </c>
      <c r="C23" s="1199">
        <f>C$21*$B23*'{d}Cost Index'!D10</f>
        <v>38786.95385498512</v>
      </c>
      <c r="E23" s="2545" t="s">
        <v>1744</v>
      </c>
      <c r="K23" s="374"/>
      <c r="L23" s="375"/>
      <c r="M23" s="375"/>
      <c r="N23" s="375"/>
      <c r="O23" s="375"/>
      <c r="P23" s="376"/>
      <c r="Q23" s="376"/>
      <c r="R23" s="376"/>
      <c r="S23" s="377"/>
    </row>
    <row r="24" spans="1:16" ht="12.75">
      <c r="A24" s="1045" t="s">
        <v>1063</v>
      </c>
      <c r="B24" s="1284">
        <v>0.03</v>
      </c>
      <c r="C24" s="1200">
        <f>C$21*$B24*'{d}Cost Index'!D13</f>
        <v>2363.341277764834</v>
      </c>
      <c r="E24" s="2543"/>
      <c r="K24" s="374"/>
      <c r="L24" s="375"/>
      <c r="M24" s="375"/>
      <c r="N24" s="375"/>
      <c r="O24" s="375"/>
      <c r="P24" s="376"/>
    </row>
    <row r="25" spans="1:15" ht="12.75">
      <c r="A25" s="1137" t="s">
        <v>1064</v>
      </c>
      <c r="B25" s="1284">
        <v>0.04</v>
      </c>
      <c r="C25" s="1200">
        <f>C$21*$B25*'{d}Cost Index'!D14</f>
        <v>3673.171086517952</v>
      </c>
      <c r="E25" s="2543"/>
      <c r="K25" s="374"/>
      <c r="L25" s="374"/>
      <c r="M25" s="374"/>
      <c r="N25" s="374"/>
      <c r="O25" s="374"/>
    </row>
    <row r="26" spans="1:15" ht="12.75">
      <c r="A26" s="1045" t="s">
        <v>1073</v>
      </c>
      <c r="B26" s="1284">
        <v>0.47</v>
      </c>
      <c r="C26" s="1200">
        <f>C$21*$B26*'{d}Cost Index'!D16</f>
        <v>29723.084170290036</v>
      </c>
      <c r="E26" s="2543"/>
      <c r="K26" s="374"/>
      <c r="L26" s="374"/>
      <c r="M26" s="374"/>
      <c r="N26" s="374"/>
      <c r="O26" s="374"/>
    </row>
    <row r="27" spans="1:15" ht="12.75">
      <c r="A27" s="1045" t="s">
        <v>1066</v>
      </c>
      <c r="B27" s="1284">
        <v>0</v>
      </c>
      <c r="C27" s="1200">
        <f>C$21*$B27*'{d}Cost Index'!D19</f>
        <v>0</v>
      </c>
      <c r="E27" s="2543"/>
      <c r="K27" s="373"/>
      <c r="L27" s="373"/>
      <c r="M27" s="373"/>
      <c r="N27" s="373"/>
      <c r="O27" s="373"/>
    </row>
    <row r="28" spans="1:15" ht="13.5" thickBot="1">
      <c r="A28" s="1138" t="s">
        <v>1067</v>
      </c>
      <c r="B28" s="1285">
        <v>0</v>
      </c>
      <c r="C28" s="1201">
        <f>C$21*$B28*'{d}Cost Index'!D18</f>
        <v>0</v>
      </c>
      <c r="E28" s="2543"/>
      <c r="K28" s="373"/>
      <c r="L28" s="373"/>
      <c r="M28" s="373"/>
      <c r="N28" s="373"/>
      <c r="O28" s="373"/>
    </row>
    <row r="29" spans="1:15" ht="13.5" thickBot="1">
      <c r="A29" s="758" t="str">
        <f>TEXT(IndexDate,"mmmm, yyyy")&amp;" Capital Cost $:"</f>
        <v>November, 2006 Capital Cost $:</v>
      </c>
      <c r="B29" s="782">
        <f>SUM(B23:B28)</f>
        <v>1</v>
      </c>
      <c r="C29" s="1202">
        <f>SUM(C23:C28)</f>
        <v>74546.55038955795</v>
      </c>
      <c r="E29" s="2544"/>
      <c r="K29" s="373"/>
      <c r="L29" s="373"/>
      <c r="M29" s="373"/>
      <c r="N29" s="373"/>
      <c r="O29" s="373"/>
    </row>
    <row r="30" spans="1:15" ht="12.75">
      <c r="A30" s="232"/>
      <c r="B30" s="312"/>
      <c r="C30" s="1471"/>
      <c r="K30" s="373"/>
      <c r="L30" s="373"/>
      <c r="M30" s="373"/>
      <c r="N30" s="373"/>
      <c r="O30" s="373"/>
    </row>
    <row r="31" spans="1:15" ht="13.5" thickBot="1">
      <c r="A31" s="232"/>
      <c r="B31" s="312"/>
      <c r="C31" s="1471"/>
      <c r="K31" s="373"/>
      <c r="L31" s="373"/>
      <c r="M31" s="373"/>
      <c r="N31" s="373"/>
      <c r="O31" s="373"/>
    </row>
    <row r="32" spans="1:5" ht="12.75">
      <c r="A32" s="2265" t="s">
        <v>188</v>
      </c>
      <c r="B32" s="1400" t="s">
        <v>132</v>
      </c>
      <c r="C32" s="2272">
        <f>$B$52*EXP($B$53*B19)+$B$54</f>
        <v>3603.2926809054334</v>
      </c>
      <c r="D32" s="46"/>
      <c r="E32" s="2249" t="s">
        <v>1743</v>
      </c>
    </row>
    <row r="33" spans="1:5" ht="13.5" thickBot="1">
      <c r="A33" s="168"/>
      <c r="B33" s="2244"/>
      <c r="C33" s="2271"/>
      <c r="D33" s="46"/>
      <c r="E33" s="2250"/>
    </row>
    <row r="34" spans="1:9" ht="13.5" thickTop="1">
      <c r="A34" s="1134" t="s">
        <v>1495</v>
      </c>
      <c r="B34" s="1283">
        <v>0.17</v>
      </c>
      <c r="C34" s="1199">
        <f>C$32*$B34*'{d}Cost Index'!D17</f>
        <v>1274.9470973539187</v>
      </c>
      <c r="D34" s="46"/>
      <c r="E34" s="2543" t="s">
        <v>1744</v>
      </c>
      <c r="F34" s="368"/>
      <c r="I34" s="46"/>
    </row>
    <row r="35" spans="1:9" ht="12.75">
      <c r="A35" s="1045" t="s">
        <v>1494</v>
      </c>
      <c r="B35" s="1284">
        <v>0.03</v>
      </c>
      <c r="C35" s="1200">
        <f>C$32*$B35*'{d}Cost Index'!D21</f>
        <v>252.23048766338033</v>
      </c>
      <c r="D35" s="46"/>
      <c r="E35" s="2543"/>
      <c r="F35" s="368"/>
      <c r="G35" s="46"/>
      <c r="H35" s="46"/>
      <c r="I35" s="46"/>
    </row>
    <row r="36" spans="1:9" ht="12.75">
      <c r="A36" s="1045" t="s">
        <v>210</v>
      </c>
      <c r="B36" s="1284">
        <v>0.8</v>
      </c>
      <c r="C36" s="1200">
        <f>C$32*$B36*'{d}Cost Index'!D11</f>
        <v>8106.536486373889</v>
      </c>
      <c r="D36" s="46"/>
      <c r="E36" s="2543"/>
      <c r="I36" s="46"/>
    </row>
    <row r="37" spans="1:14" ht="13.5" thickBot="1">
      <c r="A37" s="2490" t="s">
        <v>415</v>
      </c>
      <c r="B37" s="2491"/>
      <c r="C37" s="1201">
        <f>B19*24*365.242*2.205*$B$11/100</f>
        <v>251019.52983454996</v>
      </c>
      <c r="D37" s="46"/>
      <c r="E37" s="2543"/>
      <c r="K37" s="46"/>
      <c r="L37" s="46"/>
      <c r="M37" s="46"/>
      <c r="N37" s="46"/>
    </row>
    <row r="38" spans="1:14" ht="15.75" thickBot="1">
      <c r="A38" s="127" t="str">
        <f>TEXT(IndexDate,"mmmm, yyyy")&amp;"  Operation &amp; Maintenance $:"</f>
        <v>November, 2006  Operation &amp; Maintenance $:</v>
      </c>
      <c r="B38" s="782">
        <f>SUM(B34:B36)</f>
        <v>1</v>
      </c>
      <c r="C38" s="1202">
        <f>SUM(C34:C37)</f>
        <v>260653.24390594114</v>
      </c>
      <c r="D38" s="46"/>
      <c r="E38" s="2544"/>
      <c r="F38" s="26"/>
      <c r="G38" s="294"/>
      <c r="H38" s="294"/>
      <c r="K38" s="46"/>
      <c r="L38" s="46"/>
      <c r="M38" s="46"/>
      <c r="N38" s="46"/>
    </row>
    <row r="39" spans="1:14" ht="12.75">
      <c r="A39" s="310"/>
      <c r="B39" s="310"/>
      <c r="C39" s="310"/>
      <c r="D39" s="46"/>
      <c r="E39" s="46"/>
      <c r="F39" s="26"/>
      <c r="G39" s="124"/>
      <c r="H39" s="368"/>
      <c r="I39" s="46"/>
      <c r="J39" s="46"/>
      <c r="K39" s="46"/>
      <c r="L39" s="46"/>
      <c r="M39" s="46"/>
      <c r="N39" s="46"/>
    </row>
    <row r="40" spans="1:14" ht="13.5" thickBot="1">
      <c r="A40"/>
      <c r="B40"/>
      <c r="C40"/>
      <c r="D40"/>
      <c r="E40"/>
      <c r="F40" s="26"/>
      <c r="J40" s="46"/>
      <c r="K40" s="46"/>
      <c r="L40" s="46"/>
      <c r="M40" s="46"/>
      <c r="N40" s="46"/>
    </row>
    <row r="41" spans="1:14" ht="12.75">
      <c r="A41" s="2447" t="s">
        <v>396</v>
      </c>
      <c r="B41" s="848"/>
      <c r="C41" s="849"/>
      <c r="D41"/>
      <c r="E41"/>
      <c r="F41" s="26"/>
      <c r="J41" s="46"/>
      <c r="K41" s="46"/>
      <c r="L41" s="46"/>
      <c r="M41" s="46"/>
      <c r="N41" s="46"/>
    </row>
    <row r="42" spans="1:14" ht="12.75">
      <c r="A42" s="850" t="s">
        <v>332</v>
      </c>
      <c r="B42" s="846"/>
      <c r="C42" s="371"/>
      <c r="D42"/>
      <c r="E42"/>
      <c r="F42" s="26"/>
      <c r="J42" s="46"/>
      <c r="K42" s="46"/>
      <c r="L42" s="46"/>
      <c r="M42" s="46"/>
      <c r="N42" s="46"/>
    </row>
    <row r="43" spans="1:14" ht="12.75">
      <c r="A43" s="370" t="s">
        <v>397</v>
      </c>
      <c r="C43" s="371"/>
      <c r="D43"/>
      <c r="E43"/>
      <c r="F43" s="26"/>
      <c r="J43" s="46"/>
      <c r="K43" s="46"/>
      <c r="L43" s="46"/>
      <c r="M43" s="46"/>
      <c r="N43" s="46"/>
    </row>
    <row r="44" spans="1:14" ht="12.75">
      <c r="A44" s="851"/>
      <c r="B44" s="2448" t="s">
        <v>398</v>
      </c>
      <c r="C44" s="2449" t="s">
        <v>399</v>
      </c>
      <c r="D44"/>
      <c r="E44" s="2231"/>
      <c r="F44" s="26"/>
      <c r="J44" s="46"/>
      <c r="K44" s="46"/>
      <c r="L44" s="46"/>
      <c r="M44" s="46"/>
      <c r="N44" s="46"/>
    </row>
    <row r="45" spans="1:14" ht="15">
      <c r="A45" s="370" t="s">
        <v>403</v>
      </c>
      <c r="B45" s="310">
        <v>12333.4</v>
      </c>
      <c r="C45" s="2450">
        <v>13223.3</v>
      </c>
      <c r="D45"/>
      <c r="E45"/>
      <c r="F45" s="33"/>
      <c r="J45" s="46"/>
      <c r="K45" s="46"/>
      <c r="L45" s="46"/>
      <c r="M45" s="46"/>
      <c r="N45" s="46"/>
    </row>
    <row r="46" spans="1:14" ht="15">
      <c r="A46" s="370" t="s">
        <v>404</v>
      </c>
      <c r="B46" s="310">
        <v>0.3205</v>
      </c>
      <c r="C46" s="2450">
        <v>0.285</v>
      </c>
      <c r="D46"/>
      <c r="E46"/>
      <c r="F46" s="33"/>
      <c r="J46" s="46"/>
      <c r="K46" s="46"/>
      <c r="L46" s="46"/>
      <c r="M46" s="46"/>
      <c r="N46" s="46"/>
    </row>
    <row r="47" spans="1:14" ht="15">
      <c r="A47" s="370" t="s">
        <v>406</v>
      </c>
      <c r="B47" s="310">
        <v>0.000515</v>
      </c>
      <c r="C47" s="2450">
        <v>0.000377</v>
      </c>
      <c r="D47"/>
      <c r="E47"/>
      <c r="F47" s="33"/>
      <c r="J47" s="46"/>
      <c r="K47" s="46"/>
      <c r="L47" s="46"/>
      <c r="M47" s="46"/>
      <c r="N47" s="46"/>
    </row>
    <row r="48" spans="1:14" ht="15">
      <c r="A48" s="370"/>
      <c r="B48" s="310"/>
      <c r="C48" s="2450"/>
      <c r="D48"/>
      <c r="E48"/>
      <c r="F48" s="33"/>
      <c r="J48" s="46"/>
      <c r="K48" s="46"/>
      <c r="L48" s="46"/>
      <c r="M48" s="46"/>
      <c r="N48" s="46"/>
    </row>
    <row r="49" spans="1:14" ht="15">
      <c r="A49" s="852" t="s">
        <v>333</v>
      </c>
      <c r="B49" s="2451"/>
      <c r="C49" s="2452"/>
      <c r="D49"/>
      <c r="E49"/>
      <c r="F49" s="33"/>
      <c r="J49" s="46"/>
      <c r="K49" s="46"/>
      <c r="L49" s="46"/>
      <c r="M49" s="46"/>
      <c r="N49" s="46"/>
    </row>
    <row r="50" spans="1:14" ht="15">
      <c r="A50" s="370" t="s">
        <v>407</v>
      </c>
      <c r="B50" s="310"/>
      <c r="C50" s="2450"/>
      <c r="D50"/>
      <c r="E50"/>
      <c r="F50" s="33"/>
      <c r="J50" s="46"/>
      <c r="K50" s="46"/>
      <c r="L50" s="46"/>
      <c r="M50" s="46"/>
      <c r="N50" s="46"/>
    </row>
    <row r="51" spans="1:6" ht="15">
      <c r="A51" s="851"/>
      <c r="B51" s="2448" t="s">
        <v>398</v>
      </c>
      <c r="C51" s="2449" t="s">
        <v>399</v>
      </c>
      <c r="D51"/>
      <c r="E51"/>
      <c r="F51" s="34"/>
    </row>
    <row r="52" spans="1:6" ht="15">
      <c r="A52" s="370" t="s">
        <v>403</v>
      </c>
      <c r="B52" s="310">
        <v>1205293</v>
      </c>
      <c r="C52" s="2450">
        <v>-6880.7</v>
      </c>
      <c r="D52"/>
      <c r="E52"/>
      <c r="F52" s="38"/>
    </row>
    <row r="53" spans="1:6" ht="15">
      <c r="A53" s="370" t="s">
        <v>404</v>
      </c>
      <c r="B53" s="310">
        <v>1.9433E-05</v>
      </c>
      <c r="C53" s="2450">
        <v>-0.000659</v>
      </c>
      <c r="D53"/>
      <c r="E53"/>
      <c r="F53" s="33"/>
    </row>
    <row r="54" spans="1:6" ht="15.75" thickBot="1">
      <c r="A54" s="378" t="s">
        <v>406</v>
      </c>
      <c r="B54" s="2453">
        <v>-1202070</v>
      </c>
      <c r="C54" s="2454">
        <v>8700</v>
      </c>
      <c r="D54"/>
      <c r="E54"/>
      <c r="F54" s="34"/>
    </row>
    <row r="55" spans="4:8" ht="15">
      <c r="D55"/>
      <c r="E55"/>
      <c r="F55" s="34"/>
      <c r="G55" s="35"/>
      <c r="H55" s="35"/>
    </row>
    <row r="56" spans="1:14" ht="12.75">
      <c r="A56" s="379"/>
      <c r="D56"/>
      <c r="E56"/>
      <c r="F56" s="46"/>
      <c r="G56" s="46"/>
      <c r="H56" s="46"/>
      <c r="I56" s="46"/>
      <c r="J56" s="46"/>
      <c r="K56" s="46"/>
      <c r="L56" s="46"/>
      <c r="M56" s="46"/>
      <c r="N56" s="46"/>
    </row>
    <row r="57" spans="4:14" ht="12.75">
      <c r="D57"/>
      <c r="E57"/>
      <c r="F57" s="46"/>
      <c r="G57" s="46"/>
      <c r="H57" s="46"/>
      <c r="I57" s="46"/>
      <c r="J57" s="46"/>
      <c r="K57" s="46"/>
      <c r="L57" s="46"/>
      <c r="M57" s="46"/>
      <c r="N57" s="46"/>
    </row>
    <row r="58" spans="1:14" ht="12.75">
      <c r="A58" s="368"/>
      <c r="D58"/>
      <c r="E58"/>
      <c r="F58" s="46"/>
      <c r="G58" s="46"/>
      <c r="H58" s="46"/>
      <c r="I58" s="46"/>
      <c r="J58" s="46"/>
      <c r="K58" s="46"/>
      <c r="L58" s="46"/>
      <c r="M58" s="46"/>
      <c r="N58" s="46"/>
    </row>
    <row r="59" spans="4:14" ht="12.75">
      <c r="D59"/>
      <c r="E59"/>
      <c r="F59" s="46"/>
      <c r="G59" s="46"/>
      <c r="H59" s="46"/>
      <c r="I59" s="46"/>
      <c r="J59" s="46"/>
      <c r="K59" s="46"/>
      <c r="L59" s="46"/>
      <c r="M59" s="46"/>
      <c r="N59" s="46"/>
    </row>
    <row r="60" spans="1:14" ht="12.75">
      <c r="A60" s="368"/>
      <c r="D60"/>
      <c r="E60"/>
      <c r="I60" s="46"/>
      <c r="J60" s="46"/>
      <c r="K60" s="46"/>
      <c r="L60" s="46"/>
      <c r="M60" s="46"/>
      <c r="N60" s="46"/>
    </row>
    <row r="61" spans="1:5" ht="12.75">
      <c r="A61" s="368"/>
      <c r="D61"/>
      <c r="E61"/>
    </row>
    <row r="62" spans="1:5" ht="12.75">
      <c r="A62" s="368"/>
      <c r="D62"/>
      <c r="E62"/>
    </row>
    <row r="63" ht="12.75">
      <c r="A63" s="368"/>
    </row>
    <row r="64" ht="12.75">
      <c r="A64" s="368"/>
    </row>
  </sheetData>
  <mergeCells count="4">
    <mergeCell ref="F16:G16"/>
    <mergeCell ref="A37:B37"/>
    <mergeCell ref="E23:E29"/>
    <mergeCell ref="E34:E38"/>
  </mergeCells>
  <printOptions gridLines="1"/>
  <pageMargins left="1.05" right="0.75" top="1" bottom="1" header="0.5" footer="0.5"/>
  <pageSetup fitToWidth="2" fitToHeight="1" horizontalDpi="300" verticalDpi="300" orientation="portrait" scale="92" r:id="rId1"/>
  <headerFooter alignWithMargins="0">
    <oddHeader>&amp;C&amp;A</oddHeader>
    <oddFooter>&amp;CWater Treatment Cost Estimation Program</oddFooter>
  </headerFooter>
</worksheet>
</file>

<file path=xl/worksheets/sheet2.xml><?xml version="1.0" encoding="utf-8"?>
<worksheet xmlns="http://schemas.openxmlformats.org/spreadsheetml/2006/main" xmlns:r="http://schemas.openxmlformats.org/officeDocument/2006/relationships">
  <sheetPr codeName="Sheet23">
    <pageSetUpPr fitToPage="1"/>
  </sheetPr>
  <dimension ref="A2:A24"/>
  <sheetViews>
    <sheetView tabSelected="1" workbookViewId="0" topLeftCell="A1">
      <selection activeCell="B1" sqref="B1"/>
    </sheetView>
  </sheetViews>
  <sheetFormatPr defaultColWidth="9.140625" defaultRowHeight="12.75"/>
  <cols>
    <col min="1" max="1" width="86.57421875" style="159" customWidth="1"/>
    <col min="2" max="16384" width="9.140625" style="159" customWidth="1"/>
  </cols>
  <sheetData>
    <row r="1" ht="81" customHeight="1"/>
    <row r="2" ht="17.25">
      <c r="A2" s="729" t="s">
        <v>552</v>
      </c>
    </row>
    <row r="3" ht="17.25">
      <c r="A3" s="2145"/>
    </row>
    <row r="4" ht="63.75">
      <c r="A4" s="730" t="s">
        <v>1639</v>
      </c>
    </row>
    <row r="5" ht="12.75">
      <c r="A5" s="1803" t="s">
        <v>1640</v>
      </c>
    </row>
    <row r="6" ht="63.75">
      <c r="A6" s="730" t="s">
        <v>19</v>
      </c>
    </row>
    <row r="7" ht="12.75">
      <c r="A7" s="730"/>
    </row>
    <row r="8" ht="25.5">
      <c r="A8" s="730" t="s">
        <v>166</v>
      </c>
    </row>
    <row r="9" ht="12.75">
      <c r="A9" s="730"/>
    </row>
    <row r="10" ht="25.5">
      <c r="A10" s="730" t="s">
        <v>821</v>
      </c>
    </row>
    <row r="11" ht="12.75">
      <c r="A11" s="1802" t="s">
        <v>1629</v>
      </c>
    </row>
    <row r="12" ht="12.75">
      <c r="A12" s="1802" t="s">
        <v>1627</v>
      </c>
    </row>
    <row r="13" ht="12.75">
      <c r="A13" s="1802" t="s">
        <v>1628</v>
      </c>
    </row>
    <row r="15" ht="15.75">
      <c r="A15" s="159" t="s">
        <v>1781</v>
      </c>
    </row>
    <row r="18" ht="15.75">
      <c r="A18" s="860" t="s">
        <v>648</v>
      </c>
    </row>
    <row r="19" ht="63.75">
      <c r="A19" s="730" t="s">
        <v>284</v>
      </c>
    </row>
    <row r="21" ht="12.75">
      <c r="A21" s="159" t="s">
        <v>649</v>
      </c>
    </row>
    <row r="22" ht="12.75">
      <c r="A22" s="159" t="s">
        <v>646</v>
      </c>
    </row>
    <row r="23" ht="15.75" customHeight="1">
      <c r="A23" s="1804" t="s">
        <v>647</v>
      </c>
    </row>
    <row r="24" ht="19.5" customHeight="1">
      <c r="A24" s="2409">
        <v>38660</v>
      </c>
    </row>
  </sheetData>
  <hyperlinks>
    <hyperlink ref="A23" r:id="rId1" display="MCHAPMAN@do.usbr.gov"/>
    <hyperlink ref="A5" r:id="rId2" display="http://www.usbr.gov/pmts/water/awtr.html"/>
  </hyperlinks>
  <printOptions/>
  <pageMargins left="0.75" right="0.75" top="1" bottom="1" header="0.5" footer="0.5"/>
  <pageSetup fitToHeight="1" fitToWidth="1" horizontalDpi="600" verticalDpi="600" orientation="portrait" r:id="rId4"/>
  <drawing r:id="rId3"/>
</worksheet>
</file>

<file path=xl/worksheets/sheet20.xml><?xml version="1.0" encoding="utf-8"?>
<worksheet xmlns="http://schemas.openxmlformats.org/spreadsheetml/2006/main" xmlns:r="http://schemas.openxmlformats.org/officeDocument/2006/relationships">
  <sheetPr codeName="Sheet1611"/>
  <dimension ref="A1:P49"/>
  <sheetViews>
    <sheetView workbookViewId="0" topLeftCell="A1">
      <selection activeCell="C9" sqref="C9"/>
    </sheetView>
  </sheetViews>
  <sheetFormatPr defaultColWidth="9.140625" defaultRowHeight="12.75"/>
  <cols>
    <col min="1" max="1" width="40.57421875" style="123" customWidth="1"/>
    <col min="2" max="2" width="12.00390625" style="123" customWidth="1"/>
    <col min="3" max="6" width="10.00390625" style="123" customWidth="1"/>
    <col min="7" max="9" width="10.7109375" style="123" customWidth="1"/>
    <col min="10" max="10" width="15.7109375" style="123" customWidth="1"/>
    <col min="11" max="11" width="8.7109375" style="123" customWidth="1"/>
    <col min="12" max="12" width="11.140625" style="123" customWidth="1"/>
    <col min="13" max="13" width="14.57421875" style="123" bestFit="1" customWidth="1"/>
    <col min="14" max="14" width="35.140625" style="123" bestFit="1" customWidth="1"/>
    <col min="15" max="15" width="13.28125" style="123" customWidth="1"/>
    <col min="16" max="16" width="12.7109375" style="123" customWidth="1"/>
    <col min="17" max="17" width="13.28125" style="123" customWidth="1"/>
    <col min="18" max="18" width="8.7109375" style="123" customWidth="1"/>
    <col min="19" max="19" width="15.8515625" style="123" customWidth="1"/>
    <col min="20" max="16384" width="8.7109375" style="12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384" t="s">
        <v>435</v>
      </c>
    </row>
    <row r="5" spans="1:12" ht="12.75">
      <c r="A5" s="123" t="s">
        <v>434</v>
      </c>
      <c r="L5" s="122"/>
    </row>
    <row r="6" spans="1:15" ht="16.5" thickBot="1">
      <c r="A6" s="122"/>
      <c r="J6"/>
      <c r="K6" t="s">
        <v>1035</v>
      </c>
      <c r="L6"/>
      <c r="M6"/>
      <c r="N6"/>
      <c r="O6"/>
    </row>
    <row r="7" spans="1:15" ht="17.25" thickBot="1">
      <c r="A7" s="1073"/>
      <c r="B7" s="779"/>
      <c r="C7" s="809" t="s">
        <v>1033</v>
      </c>
      <c r="D7" s="809" t="s">
        <v>1032</v>
      </c>
      <c r="E7" s="809" t="s">
        <v>1031</v>
      </c>
      <c r="F7" s="1861"/>
      <c r="J7" t="s">
        <v>1036</v>
      </c>
      <c r="K7" s="931">
        <v>1.46</v>
      </c>
      <c r="L7" s="931" t="s">
        <v>1033</v>
      </c>
      <c r="M7" s="931" t="s">
        <v>1037</v>
      </c>
      <c r="N7" s="931" t="s">
        <v>1522</v>
      </c>
      <c r="O7"/>
    </row>
    <row r="8" spans="1:15" ht="17.25" thickTop="1">
      <c r="A8" s="2232"/>
      <c r="B8" s="1785"/>
      <c r="C8" s="2233"/>
      <c r="D8" s="2233"/>
      <c r="E8" s="2233"/>
      <c r="F8" s="1861"/>
      <c r="J8"/>
      <c r="K8" s="931">
        <v>0.9</v>
      </c>
      <c r="L8" s="931" t="s">
        <v>1031</v>
      </c>
      <c r="M8" s="931" t="s">
        <v>1523</v>
      </c>
      <c r="N8" s="931" t="s">
        <v>1524</v>
      </c>
      <c r="O8"/>
    </row>
    <row r="9" spans="1:15" ht="15.75">
      <c r="A9" s="2134" t="s">
        <v>303</v>
      </c>
      <c r="B9" s="205"/>
      <c r="C9" s="1059">
        <f>'{b}Capacity'!$B$32*86400*'{b}Capacity'!C8/1000</f>
        <v>445294.11764705885</v>
      </c>
      <c r="D9" s="205"/>
      <c r="E9" s="205"/>
      <c r="F9" s="205" t="s">
        <v>1497</v>
      </c>
      <c r="J9"/>
      <c r="K9" s="931">
        <v>0.9</v>
      </c>
      <c r="L9" s="931" t="s">
        <v>1525</v>
      </c>
      <c r="M9" s="931" t="s">
        <v>1022</v>
      </c>
      <c r="N9" s="931"/>
      <c r="O9"/>
    </row>
    <row r="10" spans="1:15" ht="15.75">
      <c r="A10" s="1011" t="s">
        <v>1499</v>
      </c>
      <c r="B10" s="205"/>
      <c r="C10" s="205">
        <f>'{c}Report'!D104</f>
        <v>1</v>
      </c>
      <c r="D10" s="205">
        <f>C10</f>
        <v>1</v>
      </c>
      <c r="E10" s="205">
        <f>C10</f>
        <v>1</v>
      </c>
      <c r="F10" s="205" t="s">
        <v>1692</v>
      </c>
      <c r="J10"/>
      <c r="K10"/>
      <c r="L10"/>
      <c r="M10"/>
      <c r="N10" t="s">
        <v>1526</v>
      </c>
      <c r="O10"/>
    </row>
    <row r="11" spans="1:15" ht="15.75">
      <c r="A11" s="1011" t="s">
        <v>1496</v>
      </c>
      <c r="B11" s="205"/>
      <c r="C11" s="314">
        <v>0.5</v>
      </c>
      <c r="D11" s="205">
        <f>C11</f>
        <v>0.5</v>
      </c>
      <c r="E11" s="205">
        <f>C11</f>
        <v>0.5</v>
      </c>
      <c r="F11" s="205" t="s">
        <v>1692</v>
      </c>
      <c r="J11"/>
      <c r="K11"/>
      <c r="L11"/>
      <c r="M11"/>
      <c r="N11" t="s">
        <v>1527</v>
      </c>
      <c r="O11"/>
    </row>
    <row r="12" spans="1:15" ht="15.75">
      <c r="A12" s="1011" t="s">
        <v>1521</v>
      </c>
      <c r="B12" s="205"/>
      <c r="C12" s="205">
        <f>IF($C$10=0,$C$11*1.47,$C$10*1.47)</f>
        <v>1.47</v>
      </c>
      <c r="D12" s="205">
        <f>IF($C$10=0,$C$11*0.9,$C$10*0.9)</f>
        <v>0.9</v>
      </c>
      <c r="E12" s="205">
        <f>IF($C$10=0,$C$11*0.9,$C$10*0.9)</f>
        <v>0.9</v>
      </c>
      <c r="F12" s="205" t="s">
        <v>1692</v>
      </c>
      <c r="G12" s="48"/>
      <c r="H12" s="2547" t="s">
        <v>1786</v>
      </c>
      <c r="I12" s="2549"/>
      <c r="J12"/>
      <c r="K12"/>
      <c r="L12"/>
      <c r="M12"/>
      <c r="N12" t="s">
        <v>1528</v>
      </c>
      <c r="O12"/>
    </row>
    <row r="13" spans="1:15" ht="13.5" thickBot="1">
      <c r="A13" s="1011" t="s">
        <v>1492</v>
      </c>
      <c r="B13" s="205"/>
      <c r="C13" s="205">
        <f>'{c}Report'!D107</f>
        <v>0</v>
      </c>
      <c r="D13" s="205">
        <f>'{c}Report'!D111</f>
        <v>0</v>
      </c>
      <c r="E13" s="205">
        <f>'{c}Report'!D115</f>
        <v>0</v>
      </c>
      <c r="F13" s="205" t="s">
        <v>1692</v>
      </c>
      <c r="G13" s="52"/>
      <c r="H13" s="834" t="s">
        <v>1785</v>
      </c>
      <c r="I13" s="834" t="s">
        <v>177</v>
      </c>
      <c r="J13"/>
      <c r="K13" t="s">
        <v>1529</v>
      </c>
      <c r="L13" t="s">
        <v>1530</v>
      </c>
      <c r="M13"/>
      <c r="N13"/>
      <c r="O13"/>
    </row>
    <row r="14" spans="1:15" ht="13.5" thickTop="1">
      <c r="A14" s="1291" t="s">
        <v>714</v>
      </c>
      <c r="B14" s="208"/>
      <c r="C14" s="208">
        <f>IF(C13=0,C12,C13)*$C$9*'{b}Capacity'!$C$8/1000</f>
        <v>654.5823529411765</v>
      </c>
      <c r="D14" s="208">
        <f>IF(D13=0,D12,D13)*$C$9*'{b}Capacity'!$C$8/1000</f>
        <v>400.7647058823529</v>
      </c>
      <c r="E14" s="208">
        <f>IF(E13=0,E12,E13)*$C$9*'{b}Capacity'!$C$8/1000</f>
        <v>400.7647058823529</v>
      </c>
      <c r="F14" s="208" t="s">
        <v>1771</v>
      </c>
      <c r="G14" s="1463"/>
      <c r="H14" s="1132">
        <v>0.5</v>
      </c>
      <c r="I14" s="1286">
        <v>100</v>
      </c>
      <c r="J14"/>
      <c r="K14" s="935">
        <f>(L14/L17)</f>
        <v>1.4675767918088736</v>
      </c>
      <c r="L14" s="935">
        <f>22.991+1.008+32.064+3*15.999</f>
        <v>104.06</v>
      </c>
      <c r="M14" s="931" t="s">
        <v>1037</v>
      </c>
      <c r="N14"/>
      <c r="O14"/>
    </row>
    <row r="15" spans="1:15" ht="12.75">
      <c r="A15" s="1291" t="s">
        <v>1498</v>
      </c>
      <c r="B15" s="208"/>
      <c r="C15" s="315">
        <v>0</v>
      </c>
      <c r="D15" s="315">
        <v>0</v>
      </c>
      <c r="E15" s="315">
        <v>0</v>
      </c>
      <c r="F15" s="208"/>
      <c r="G15" s="124"/>
      <c r="H15" s="124"/>
      <c r="I15" s="124"/>
      <c r="J15"/>
      <c r="K15" s="935">
        <f>(L15/L17)</f>
        <v>0.9034778439060163</v>
      </c>
      <c r="L15" s="935">
        <f>32.064+2*15.999</f>
        <v>64.062</v>
      </c>
      <c r="M15" s="931" t="s">
        <v>1523</v>
      </c>
      <c r="N15"/>
      <c r="O15"/>
    </row>
    <row r="16" spans="1:15" ht="13.5" thickBot="1">
      <c r="A16" s="1138" t="s">
        <v>1034</v>
      </c>
      <c r="B16" s="205"/>
      <c r="C16" s="1238">
        <f>'{c}Report'!D105</f>
        <v>300</v>
      </c>
      <c r="D16" s="1238">
        <f>'{c}Report'!D109</f>
        <v>300</v>
      </c>
      <c r="E16" s="1238">
        <f>'{c}Report'!D113</f>
        <v>300</v>
      </c>
      <c r="F16" s="1238" t="s">
        <v>304</v>
      </c>
      <c r="J16"/>
      <c r="K16" s="935">
        <f>(L16*0.5/L17)</f>
        <v>0.8888034863058132</v>
      </c>
      <c r="L16" s="935">
        <f>2*22.991+32.064+3*15.999</f>
        <v>126.04299999999999</v>
      </c>
      <c r="M16" s="931" t="s">
        <v>1022</v>
      </c>
      <c r="N16"/>
      <c r="O16"/>
    </row>
    <row r="17" spans="7:15" ht="12.75">
      <c r="G17" s="1"/>
      <c r="H17" s="1"/>
      <c r="I17" s="1"/>
      <c r="J17"/>
      <c r="K17" s="931"/>
      <c r="L17" s="931">
        <f>35.453*2</f>
        <v>70.906</v>
      </c>
      <c r="M17" s="931" t="s">
        <v>216</v>
      </c>
      <c r="N17"/>
      <c r="O17"/>
    </row>
    <row r="18" spans="1:13" ht="12.75">
      <c r="A18" s="1412" t="s">
        <v>1620</v>
      </c>
      <c r="G18"/>
      <c r="H18"/>
      <c r="I18"/>
      <c r="J18"/>
      <c r="K18"/>
      <c r="L18"/>
      <c r="M18" s="177"/>
    </row>
    <row r="19" spans="7:13" ht="13.5" thickBot="1">
      <c r="G19"/>
      <c r="H19"/>
      <c r="I19"/>
      <c r="J19"/>
      <c r="K19"/>
      <c r="L19"/>
      <c r="M19" s="177"/>
    </row>
    <row r="20" spans="1:13" ht="13.5" thickBot="1">
      <c r="A20" s="777" t="s">
        <v>191</v>
      </c>
      <c r="B20" s="781" t="s">
        <v>132</v>
      </c>
      <c r="C20" s="1181">
        <f>$B$41*EXP(C14*$B$42)+$B$43</f>
        <v>922114.44483222</v>
      </c>
      <c r="D20" s="1181">
        <f>$B$41*EXP(D14*$B$42)+$B$43</f>
        <v>177191.70128845336</v>
      </c>
      <c r="E20" s="1182">
        <f>$B$41*EXP(E14*$B$42)+$B$43</f>
        <v>177191.70128845336</v>
      </c>
      <c r="F20" s="1470"/>
      <c r="G20"/>
      <c r="H20"/>
      <c r="I20"/>
      <c r="J20"/>
      <c r="K20"/>
      <c r="L20"/>
      <c r="M20" s="135"/>
    </row>
    <row r="21" spans="1:12" ht="13.5" thickTop="1">
      <c r="A21" s="1134" t="s">
        <v>1072</v>
      </c>
      <c r="B21" s="1135">
        <v>0.72</v>
      </c>
      <c r="C21" s="1183">
        <f>C$20*$B21*'{d}Cost Index'!$D10</f>
        <v>1842437.878720256</v>
      </c>
      <c r="D21" s="1183">
        <f>D$20*$B21*'{d}Cost Index'!$D10</f>
        <v>354039.2454302481</v>
      </c>
      <c r="E21" s="1184">
        <f>E$20*$B21*'{d}Cost Index'!$D10</f>
        <v>354039.2454302481</v>
      </c>
      <c r="F21" s="1470"/>
      <c r="G21"/>
      <c r="H21"/>
      <c r="I21"/>
      <c r="J21"/>
      <c r="K21"/>
      <c r="L21"/>
    </row>
    <row r="22" spans="1:12" ht="12.75">
      <c r="A22" s="1045" t="s">
        <v>1063</v>
      </c>
      <c r="B22" s="1136">
        <v>0.19</v>
      </c>
      <c r="C22" s="1185">
        <f>C$20*$B22*'{d}Cost Index'!$D13</f>
        <v>454246.1991266065</v>
      </c>
      <c r="D22" s="1185">
        <f>D$20*$B22*'{d}Cost Index'!$D13</f>
        <v>87287.05778131692</v>
      </c>
      <c r="E22" s="1186">
        <f>E$20*$B22*'{d}Cost Index'!$D13</f>
        <v>87287.05778131692</v>
      </c>
      <c r="F22" s="1470"/>
      <c r="G22"/>
      <c r="H22"/>
      <c r="I22"/>
      <c r="J22"/>
      <c r="K22"/>
      <c r="L22"/>
    </row>
    <row r="23" spans="1:12" ht="12.75">
      <c r="A23" s="1287" t="s">
        <v>1064</v>
      </c>
      <c r="B23" s="1136">
        <v>0.04</v>
      </c>
      <c r="C23" s="1185">
        <f>C$20*$B23*'{d}Cost Index'!$D14</f>
        <v>111474.02244868103</v>
      </c>
      <c r="D23" s="1185">
        <f>D$20*$B23*'{d}Cost Index'!$D14</f>
        <v>21420.629291565852</v>
      </c>
      <c r="E23" s="1186">
        <f>E$20*$B23*'{d}Cost Index'!$D14</f>
        <v>21420.629291565852</v>
      </c>
      <c r="F23" s="1470"/>
      <c r="G23"/>
      <c r="H23"/>
      <c r="I23"/>
      <c r="J23"/>
      <c r="K23"/>
      <c r="L23"/>
    </row>
    <row r="24" spans="1:12" ht="12.75">
      <c r="A24" s="1045" t="s">
        <v>1073</v>
      </c>
      <c r="B24" s="1136">
        <v>0.01</v>
      </c>
      <c r="C24" s="1185">
        <f>C$20*$B24*'{d}Cost Index'!$D16</f>
        <v>19192.366521369026</v>
      </c>
      <c r="D24" s="1185">
        <f>D$20*$B24*'{d}Cost Index'!$D16</f>
        <v>3687.967469473597</v>
      </c>
      <c r="E24" s="1186">
        <f>E$20*$B24*'{d}Cost Index'!$D16</f>
        <v>3687.967469473597</v>
      </c>
      <c r="F24" s="1470"/>
      <c r="G24"/>
      <c r="H24"/>
      <c r="I24"/>
      <c r="J24"/>
      <c r="K24"/>
      <c r="L24"/>
    </row>
    <row r="25" spans="1:16" ht="12.75">
      <c r="A25" s="1045" t="s">
        <v>1066</v>
      </c>
      <c r="B25" s="1136">
        <v>0</v>
      </c>
      <c r="C25" s="1185">
        <f>C$20*$B25*'{d}Cost Index'!$D19</f>
        <v>0</v>
      </c>
      <c r="D25" s="1185">
        <f>D$20*$B25*'{d}Cost Index'!$D19</f>
        <v>0</v>
      </c>
      <c r="E25" s="1186">
        <f>E$20*$B25*'{d}Cost Index'!$D19</f>
        <v>0</v>
      </c>
      <c r="F25" s="1470"/>
      <c r="G25"/>
      <c r="H25"/>
      <c r="I25"/>
      <c r="J25"/>
      <c r="K25"/>
      <c r="L25"/>
      <c r="N25" s="135"/>
      <c r="O25" s="135"/>
      <c r="P25" s="135"/>
    </row>
    <row r="26" spans="1:16" ht="13.5" thickBot="1">
      <c r="A26" s="1138" t="s">
        <v>1067</v>
      </c>
      <c r="B26" s="1139">
        <v>0.04</v>
      </c>
      <c r="C26" s="1187">
        <f>C$20*$B26*'{d}Cost Index'!$D18</f>
        <v>72149.198989897</v>
      </c>
      <c r="D26" s="1187">
        <f>D$20*$B26*'{d}Cost Index'!$D18</f>
        <v>13864.048423994835</v>
      </c>
      <c r="E26" s="1188">
        <f>E$20*$B26*'{d}Cost Index'!$D18</f>
        <v>13864.048423994835</v>
      </c>
      <c r="F26" s="1470"/>
      <c r="G26"/>
      <c r="H26"/>
      <c r="I26"/>
      <c r="J26"/>
      <c r="K26"/>
      <c r="L26"/>
      <c r="N26" s="135"/>
      <c r="O26" s="135"/>
      <c r="P26" s="135"/>
    </row>
    <row r="27" spans="1:16" ht="13.5" thickBot="1">
      <c r="A27" s="758" t="str">
        <f>TEXT(IndexDate,"mmmm, yyyy")&amp;" Capital Cost $:"</f>
        <v>November, 2006 Capital Cost $:</v>
      </c>
      <c r="B27" s="780">
        <f>SUM(B21:B26)</f>
        <v>1</v>
      </c>
      <c r="C27" s="1288">
        <f>SUM(C21:C26)</f>
        <v>2499499.6658068094</v>
      </c>
      <c r="D27" s="1289">
        <f>SUM(D21:D26)</f>
        <v>480298.9483965993</v>
      </c>
      <c r="E27" s="1290">
        <f>SUM(E21:E26)</f>
        <v>480298.9483965993</v>
      </c>
      <c r="F27" s="1470"/>
      <c r="G27"/>
      <c r="H27"/>
      <c r="I27"/>
      <c r="J27"/>
      <c r="K27"/>
      <c r="L27"/>
      <c r="N27" s="135"/>
      <c r="O27" s="135"/>
      <c r="P27" s="135"/>
    </row>
    <row r="28" spans="1:16" ht="12.75">
      <c r="A28" s="295"/>
      <c r="C28" s="135"/>
      <c r="D28" s="135"/>
      <c r="E28" s="135"/>
      <c r="F28" s="135"/>
      <c r="G28"/>
      <c r="H28"/>
      <c r="I28"/>
      <c r="J28"/>
      <c r="K28"/>
      <c r="L28"/>
      <c r="N28" s="135"/>
      <c r="O28" s="135"/>
      <c r="P28" s="135"/>
    </row>
    <row r="29" spans="7:16" ht="13.5" thickBot="1">
      <c r="G29"/>
      <c r="H29"/>
      <c r="I29"/>
      <c r="J29"/>
      <c r="K29"/>
      <c r="L29"/>
      <c r="N29" s="135"/>
      <c r="O29" s="135"/>
      <c r="P29" s="135"/>
    </row>
    <row r="30" spans="1:16" ht="13.5" thickBot="1">
      <c r="A30" s="777" t="s">
        <v>188</v>
      </c>
      <c r="B30" s="781" t="s">
        <v>132</v>
      </c>
      <c r="C30" s="1181">
        <f>$B$47*EXP($B$48*C14)</f>
        <v>11633.215253662362</v>
      </c>
      <c r="D30" s="1181">
        <f>$B$47*EXP($B$48*D14)</f>
        <v>6878.921362597819</v>
      </c>
      <c r="E30" s="1182">
        <f>$B$47*EXP($B$48*E14)</f>
        <v>6878.921362597819</v>
      </c>
      <c r="F30" s="1470"/>
      <c r="G30"/>
      <c r="H30"/>
      <c r="I30"/>
      <c r="J30"/>
      <c r="K30"/>
      <c r="L30"/>
      <c r="N30" s="135"/>
      <c r="O30" s="135"/>
      <c r="P30" s="135"/>
    </row>
    <row r="31" spans="1:16" ht="13.5" thickTop="1">
      <c r="A31" s="1134" t="s">
        <v>1495</v>
      </c>
      <c r="B31" s="1135">
        <v>0.24</v>
      </c>
      <c r="C31" s="1183">
        <f>C$20*$B31*'{d}Cost Index'!$D17</f>
        <v>460616.79651285656</v>
      </c>
      <c r="D31" s="1183">
        <f>D$20*$B31*'{d}Cost Index'!$D17</f>
        <v>88511.21926736632</v>
      </c>
      <c r="E31" s="1184">
        <f>E$20*$B31*'{d}Cost Index'!$D17</f>
        <v>88511.21926736632</v>
      </c>
      <c r="F31" s="1470"/>
      <c r="G31"/>
      <c r="H31"/>
      <c r="I31"/>
      <c r="J31"/>
      <c r="K31"/>
      <c r="L31"/>
      <c r="N31" s="135"/>
      <c r="O31" s="135"/>
      <c r="P31" s="135"/>
    </row>
    <row r="32" spans="1:16" ht="12.75">
      <c r="A32" s="1045" t="s">
        <v>1494</v>
      </c>
      <c r="B32" s="1136">
        <v>0.1</v>
      </c>
      <c r="C32" s="1185">
        <f>C$20*$B32*'{d}Cost Index'!$D21</f>
        <v>215160.037127518</v>
      </c>
      <c r="D32" s="1185">
        <f>D$20*$B32*'{d}Cost Index'!$D21</f>
        <v>41344.73030063912</v>
      </c>
      <c r="E32" s="1186">
        <f>E$20*$B32*'{d}Cost Index'!$D21</f>
        <v>41344.73030063912</v>
      </c>
      <c r="F32" s="1470"/>
      <c r="G32"/>
      <c r="H32"/>
      <c r="I32"/>
      <c r="J32"/>
      <c r="K32"/>
      <c r="L32"/>
      <c r="N32" s="135"/>
      <c r="O32" s="135"/>
      <c r="P32" s="135"/>
    </row>
    <row r="33" spans="1:16" ht="12.75">
      <c r="A33" s="1045" t="s">
        <v>210</v>
      </c>
      <c r="B33" s="1136">
        <v>0.66</v>
      </c>
      <c r="C33" s="1185">
        <f>C$20*$B33*'{d}Cost Index'!$D11</f>
        <v>1711490.8277607118</v>
      </c>
      <c r="D33" s="1185">
        <f>D$20*$B33*'{d}Cost Index'!$D11</f>
        <v>328876.7172123443</v>
      </c>
      <c r="E33" s="1186">
        <f>E$20*$B33*'{d}Cost Index'!$D11</f>
        <v>328876.7172123443</v>
      </c>
      <c r="F33" s="1470"/>
      <c r="G33"/>
      <c r="H33"/>
      <c r="I33"/>
      <c r="J33"/>
      <c r="K33"/>
      <c r="L33"/>
      <c r="N33" s="135"/>
      <c r="O33" s="135"/>
      <c r="P33" s="135"/>
    </row>
    <row r="34" spans="1:16" ht="13.5" thickBot="1">
      <c r="A34" s="2541" t="s">
        <v>290</v>
      </c>
      <c r="B34" s="2542"/>
      <c r="C34" s="1187">
        <f>C14*365*2.205*C16*'{b}Capacity'!$C$9/2000</f>
        <v>75072.45451433826</v>
      </c>
      <c r="D34" s="1187">
        <f>D14*365*2.205*D16*'{b}Capacity'!$C$9/2000</f>
        <v>45962.72725367647</v>
      </c>
      <c r="E34" s="1188">
        <f>E14*365*2.205*E16*'{b}Capacity'!$C$9/2000</f>
        <v>45962.72725367647</v>
      </c>
      <c r="F34" s="1470"/>
      <c r="G34"/>
      <c r="H34"/>
      <c r="I34"/>
      <c r="J34"/>
      <c r="K34"/>
      <c r="L34"/>
      <c r="N34" s="135"/>
      <c r="O34" s="135"/>
      <c r="P34" s="135"/>
    </row>
    <row r="35" spans="1:16" ht="13.5" thickBot="1">
      <c r="A35" s="127" t="str">
        <f>TEXT(IndexDate,"mmmm, yyyy")&amp;"  Operation &amp; Maintenance $:"</f>
        <v>November, 2006  Operation &amp; Maintenance $:</v>
      </c>
      <c r="B35" s="780">
        <f>SUM(B31:B33)</f>
        <v>1</v>
      </c>
      <c r="C35" s="1288">
        <f>SUM(C31:C34)</f>
        <v>2462340.1159154247</v>
      </c>
      <c r="D35" s="1289">
        <f>SUM(D31:D34)</f>
        <v>504695.3940340262</v>
      </c>
      <c r="E35" s="1290">
        <f>SUM(E31:E34)</f>
        <v>504695.3940340262</v>
      </c>
      <c r="F35" s="1470"/>
      <c r="G35"/>
      <c r="H35"/>
      <c r="I35"/>
      <c r="J35"/>
      <c r="K35"/>
      <c r="L35"/>
      <c r="N35" s="135"/>
      <c r="O35" s="135"/>
      <c r="P35" s="135"/>
    </row>
    <row r="36" spans="7:16" ht="12.75">
      <c r="G36"/>
      <c r="H36"/>
      <c r="I36"/>
      <c r="J36"/>
      <c r="K36"/>
      <c r="L36"/>
      <c r="N36" s="135"/>
      <c r="O36" s="135"/>
      <c r="P36" s="135"/>
    </row>
    <row r="37" spans="7:16" ht="13.5" thickBot="1">
      <c r="G37"/>
      <c r="H37"/>
      <c r="I37"/>
      <c r="J37"/>
      <c r="K37"/>
      <c r="L37"/>
      <c r="N37" s="135"/>
      <c r="O37" s="135"/>
      <c r="P37" s="135"/>
    </row>
    <row r="38" spans="1:16" ht="12.75">
      <c r="A38" s="875" t="s">
        <v>1789</v>
      </c>
      <c r="B38" s="876"/>
      <c r="G38" s="8"/>
      <c r="H38" s="8"/>
      <c r="I38" s="8"/>
      <c r="J38"/>
      <c r="K38"/>
      <c r="L38"/>
      <c r="N38" s="135"/>
      <c r="O38" s="135"/>
      <c r="P38" s="135"/>
    </row>
    <row r="39" spans="1:16" ht="12.75">
      <c r="A39" s="130" t="s">
        <v>332</v>
      </c>
      <c r="B39" s="132"/>
      <c r="G39" s="8"/>
      <c r="H39" s="8"/>
      <c r="I39" s="8"/>
      <c r="J39"/>
      <c r="L39" s="135"/>
      <c r="N39" s="135"/>
      <c r="O39" s="135"/>
      <c r="P39" s="135"/>
    </row>
    <row r="40" spans="1:16" ht="12.75">
      <c r="A40" s="139" t="s">
        <v>407</v>
      </c>
      <c r="B40" s="132"/>
      <c r="G40" s="17"/>
      <c r="H40" s="17"/>
      <c r="I40" s="17"/>
      <c r="J40" s="7"/>
      <c r="K40" s="7"/>
      <c r="L40" s="7"/>
      <c r="N40" s="135"/>
      <c r="O40" s="135"/>
      <c r="P40" s="135"/>
    </row>
    <row r="41" spans="1:16" ht="12.75">
      <c r="A41" s="139" t="s">
        <v>403</v>
      </c>
      <c r="B41" s="132">
        <v>11760.71</v>
      </c>
      <c r="G41" s="17"/>
      <c r="H41" s="17"/>
      <c r="I41" s="17"/>
      <c r="J41" s="7"/>
      <c r="N41" s="135"/>
      <c r="O41" s="135"/>
      <c r="P41" s="135"/>
    </row>
    <row r="42" spans="1:10" ht="12.75">
      <c r="A42" s="139" t="s">
        <v>404</v>
      </c>
      <c r="B42" s="132">
        <v>0.0066500000000000005</v>
      </c>
      <c r="G42" s="17"/>
      <c r="H42" s="17"/>
      <c r="I42" s="17"/>
      <c r="J42" s="7"/>
    </row>
    <row r="43" spans="1:9" ht="12.75">
      <c r="A43" s="139" t="s">
        <v>406</v>
      </c>
      <c r="B43" s="132">
        <v>8200</v>
      </c>
      <c r="G43" s="17"/>
      <c r="H43" s="17"/>
      <c r="I43" s="17"/>
    </row>
    <row r="44" spans="1:2" ht="12.75">
      <c r="A44" s="813"/>
      <c r="B44" s="814"/>
    </row>
    <row r="45" spans="1:12" ht="12.75">
      <c r="A45" s="130" t="s">
        <v>333</v>
      </c>
      <c r="B45" s="132"/>
      <c r="J45" s="7"/>
      <c r="K45" s="7"/>
      <c r="L45" s="16"/>
    </row>
    <row r="46" spans="1:10" ht="12.75">
      <c r="A46" s="139" t="s">
        <v>422</v>
      </c>
      <c r="B46" s="132"/>
      <c r="C46" s="140"/>
      <c r="D46" s="140"/>
      <c r="E46" s="140"/>
      <c r="F46" s="140"/>
      <c r="G46" s="8"/>
      <c r="H46" s="8"/>
      <c r="I46" s="8"/>
      <c r="J46" s="7"/>
    </row>
    <row r="47" spans="1:10" ht="12.75">
      <c r="A47" s="139" t="s">
        <v>403</v>
      </c>
      <c r="B47" s="132">
        <v>3000.8</v>
      </c>
      <c r="C47" s="140"/>
      <c r="D47" s="140"/>
      <c r="E47" s="140"/>
      <c r="F47" s="140"/>
      <c r="G47" s="17"/>
      <c r="H47" s="17"/>
      <c r="I47" s="17"/>
      <c r="J47" s="7"/>
    </row>
    <row r="48" spans="1:10" ht="12.75">
      <c r="A48" s="141" t="s">
        <v>336</v>
      </c>
      <c r="B48" s="132">
        <f>0.00207</f>
        <v>0.00207</v>
      </c>
      <c r="C48" s="140"/>
      <c r="D48" s="140"/>
      <c r="E48" s="140"/>
      <c r="F48" s="140"/>
      <c r="G48" s="17"/>
      <c r="H48" s="17"/>
      <c r="I48" s="17"/>
      <c r="J48" s="7"/>
    </row>
    <row r="49" spans="1:9" ht="13.5" thickBot="1">
      <c r="A49" s="180"/>
      <c r="B49" s="129"/>
      <c r="G49" s="17"/>
      <c r="H49" s="17"/>
      <c r="I49" s="17"/>
    </row>
  </sheetData>
  <mergeCells count="2">
    <mergeCell ref="H12:I12"/>
    <mergeCell ref="A34:B34"/>
  </mergeCells>
  <printOptions gridLines="1"/>
  <pageMargins left="1.18" right="0.75" top="1" bottom="1" header="0.5" footer="0.5"/>
  <pageSetup horizontalDpi="300" verticalDpi="300" orientation="portrait" scale="88" r:id="rId1"/>
  <headerFooter alignWithMargins="0">
    <oddHeader>&amp;C&amp;A</oddHeader>
    <oddFooter>&amp;CWater Treatment Cost Estimation Program</oddFooter>
  </headerFooter>
</worksheet>
</file>

<file path=xl/worksheets/sheet21.xml><?xml version="1.0" encoding="utf-8"?>
<worksheet xmlns="http://schemas.openxmlformats.org/spreadsheetml/2006/main" xmlns:r="http://schemas.openxmlformats.org/officeDocument/2006/relationships">
  <sheetPr codeName="Sheet9">
    <pageSetUpPr fitToPage="1"/>
  </sheetPr>
  <dimension ref="A1:O57"/>
  <sheetViews>
    <sheetView workbookViewId="0" topLeftCell="A1">
      <selection activeCell="E28" sqref="E28"/>
    </sheetView>
  </sheetViews>
  <sheetFormatPr defaultColWidth="9.140625" defaultRowHeight="12.75"/>
  <cols>
    <col min="1" max="1" width="37.8515625" style="7" customWidth="1"/>
    <col min="2" max="2" width="12.00390625" style="7" customWidth="1"/>
    <col min="3" max="3" width="15.7109375" style="7" bestFit="1" customWidth="1"/>
    <col min="4" max="5" width="10.7109375" style="7" customWidth="1"/>
    <col min="6" max="6" width="8.28125" style="7" customWidth="1"/>
    <col min="7" max="8" width="10.421875" style="7" bestFit="1" customWidth="1"/>
    <col min="9" max="9" width="11.28125" style="7" customWidth="1"/>
    <col min="10" max="10" width="12.421875" style="7" customWidth="1"/>
    <col min="11" max="11" width="11.8515625" style="7" customWidth="1"/>
    <col min="12" max="12" width="12.28125" style="7" customWidth="1"/>
    <col min="13" max="13" width="12.140625" style="7" customWidth="1"/>
    <col min="14" max="16384" width="9.140625" style="7"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ht="16.5" customHeight="1"/>
    <row r="4" ht="18">
      <c r="A4" s="667" t="s">
        <v>426</v>
      </c>
    </row>
    <row r="6" ht="12.75">
      <c r="D6" s="37"/>
    </row>
    <row r="7" spans="1:5" ht="13.5" thickBot="1">
      <c r="A7" s="1071"/>
      <c r="B7" s="1072"/>
      <c r="C7" s="1062" t="s">
        <v>1682</v>
      </c>
      <c r="D7" s="2551" t="s">
        <v>766</v>
      </c>
      <c r="E7" s="2552"/>
    </row>
    <row r="8" spans="1:5" ht="13.5" thickTop="1">
      <c r="A8" s="1024" t="s">
        <v>889</v>
      </c>
      <c r="B8" s="1025">
        <f>'{b}Capacity'!B18</f>
        <v>4380.787037037037</v>
      </c>
      <c r="C8" s="1026" t="s">
        <v>1</v>
      </c>
      <c r="D8" s="1027"/>
      <c r="E8" s="1026"/>
    </row>
    <row r="9" spans="1:5" ht="12.75">
      <c r="A9" s="1018"/>
      <c r="B9" s="768"/>
      <c r="C9" s="1019"/>
      <c r="D9" s="1020"/>
      <c r="E9" s="1019"/>
    </row>
    <row r="10" spans="1:5" ht="12.75">
      <c r="A10" s="1018" t="s">
        <v>339</v>
      </c>
      <c r="B10" s="767">
        <f>'{e}H20 Analysis'!$C$17</f>
        <v>0</v>
      </c>
      <c r="C10" s="1019" t="s">
        <v>1692</v>
      </c>
      <c r="D10" s="1021">
        <f>'{e}H20 Analysis'!$J$17</f>
        <v>0</v>
      </c>
      <c r="E10" s="1023" t="s">
        <v>338</v>
      </c>
    </row>
    <row r="11" spans="1:15" ht="12.75">
      <c r="A11" s="1018" t="s">
        <v>340</v>
      </c>
      <c r="B11" s="767">
        <f>'{e}H20 Analysis'!$C$24</f>
        <v>0</v>
      </c>
      <c r="C11" s="1019" t="s">
        <v>1692</v>
      </c>
      <c r="D11" s="1021">
        <f>'{e}H20 Analysis'!$J$24</f>
        <v>0</v>
      </c>
      <c r="E11" s="1023" t="s">
        <v>338</v>
      </c>
      <c r="H11" s="10"/>
      <c r="I11" s="256"/>
      <c r="J11" s="256"/>
      <c r="K11" s="256"/>
      <c r="L11" s="256"/>
      <c r="M11" s="257"/>
      <c r="N11" s="11"/>
      <c r="O11" s="11"/>
    </row>
    <row r="12" spans="1:15" ht="12.75">
      <c r="A12" s="1018" t="s">
        <v>341</v>
      </c>
      <c r="B12" s="767">
        <f>'{e}H20 Analysis'!$C$19</f>
        <v>0</v>
      </c>
      <c r="C12" s="1019" t="s">
        <v>1692</v>
      </c>
      <c r="D12" s="1021">
        <f>'{e}H20 Analysis'!$J$19</f>
        <v>0</v>
      </c>
      <c r="E12" s="1023" t="s">
        <v>338</v>
      </c>
      <c r="G12" s="9"/>
      <c r="H12" s="11"/>
      <c r="I12" s="256"/>
      <c r="J12" s="256"/>
      <c r="K12" s="256"/>
      <c r="L12" s="256"/>
      <c r="M12" s="257"/>
      <c r="N12" s="11"/>
      <c r="O12" s="11"/>
    </row>
    <row r="13" spans="1:15" ht="12.75">
      <c r="A13" s="1018" t="s">
        <v>342</v>
      </c>
      <c r="B13" s="767">
        <f>'{e}H20 Analysis'!$C$22</f>
        <v>0</v>
      </c>
      <c r="C13" s="1019" t="s">
        <v>1692</v>
      </c>
      <c r="D13" s="1021">
        <f>'{e}H20 Analysis'!$J$22</f>
        <v>0</v>
      </c>
      <c r="E13" s="1023" t="s">
        <v>338</v>
      </c>
      <c r="J13" s="256"/>
      <c r="K13" s="256"/>
      <c r="L13" s="256"/>
      <c r="M13" s="257"/>
      <c r="N13" s="11"/>
      <c r="O13" s="11"/>
    </row>
    <row r="14" spans="1:15" ht="12.75">
      <c r="A14" s="1023" t="s">
        <v>343</v>
      </c>
      <c r="B14" s="767"/>
      <c r="C14" s="1019"/>
      <c r="D14" s="1021">
        <f>SUM(D10:D13)</f>
        <v>0</v>
      </c>
      <c r="E14" s="1023" t="s">
        <v>338</v>
      </c>
      <c r="J14" s="256"/>
      <c r="K14" s="256"/>
      <c r="L14" s="256"/>
      <c r="M14" s="257"/>
      <c r="N14" s="11"/>
      <c r="O14" s="11"/>
    </row>
    <row r="15" spans="1:15" ht="12.75">
      <c r="A15" s="1018" t="s">
        <v>4</v>
      </c>
      <c r="B15" s="767">
        <f>'{c}Report'!D118</f>
        <v>2.5</v>
      </c>
      <c r="C15" s="1019" t="s">
        <v>1692</v>
      </c>
      <c r="D15" s="1021">
        <f>B15/71</f>
        <v>0.035211267605633804</v>
      </c>
      <c r="E15" s="1023" t="s">
        <v>338</v>
      </c>
      <c r="J15" s="256"/>
      <c r="K15" s="256"/>
      <c r="L15" s="256"/>
      <c r="M15" s="257"/>
      <c r="N15" s="11"/>
      <c r="O15" s="11"/>
    </row>
    <row r="16" spans="1:15" ht="15.75">
      <c r="A16" s="1018" t="s">
        <v>918</v>
      </c>
      <c r="B16" s="767">
        <f>D16*71</f>
        <v>2.5</v>
      </c>
      <c r="C16" s="1019" t="s">
        <v>1692</v>
      </c>
      <c r="D16" s="1021">
        <f>(D14/2)+D15</f>
        <v>0.035211267605633804</v>
      </c>
      <c r="E16" s="1023" t="s">
        <v>338</v>
      </c>
      <c r="F16" s="48"/>
      <c r="G16" s="2547" t="s">
        <v>1786</v>
      </c>
      <c r="H16" s="2549"/>
      <c r="I16" s="256"/>
      <c r="J16" s="256"/>
      <c r="K16" s="256"/>
      <c r="L16" s="256"/>
      <c r="M16" s="257"/>
      <c r="N16" s="11"/>
      <c r="O16" s="11"/>
    </row>
    <row r="17" spans="1:15" ht="13.5" thickBot="1">
      <c r="A17" s="1018" t="s">
        <v>1026</v>
      </c>
      <c r="B17" s="767">
        <f>'{c}Report'!D120</f>
        <v>0</v>
      </c>
      <c r="C17" s="1019" t="s">
        <v>1692</v>
      </c>
      <c r="D17" s="1020"/>
      <c r="E17" s="1020"/>
      <c r="F17" s="52"/>
      <c r="G17" s="834" t="s">
        <v>1785</v>
      </c>
      <c r="H17" s="834" t="s">
        <v>177</v>
      </c>
      <c r="I17" s="256"/>
      <c r="J17" s="256"/>
      <c r="K17" s="256"/>
      <c r="L17" s="256"/>
      <c r="M17" s="257"/>
      <c r="N17" s="11"/>
      <c r="O17" s="11"/>
    </row>
    <row r="18" spans="1:15" ht="13.5" thickTop="1">
      <c r="A18" s="1018" t="s">
        <v>3</v>
      </c>
      <c r="B18" s="768">
        <f>IF(B17=0,B16,B17)*B8*86400*'{b}Capacity'!$C$8/10^6</f>
        <v>946.25</v>
      </c>
      <c r="C18" s="1019" t="s">
        <v>1771</v>
      </c>
      <c r="D18" s="1022"/>
      <c r="E18" s="1020"/>
      <c r="F18" s="1004"/>
      <c r="G18" s="1132">
        <v>4</v>
      </c>
      <c r="H18" s="1286">
        <v>4500</v>
      </c>
      <c r="I18" s="1743" t="s">
        <v>1590</v>
      </c>
      <c r="J18" s="1765"/>
      <c r="K18" s="1765"/>
      <c r="L18" s="1765"/>
      <c r="M18" s="257"/>
      <c r="N18" s="11"/>
      <c r="O18" s="11"/>
    </row>
    <row r="19" spans="1:15" ht="15.75">
      <c r="A19" s="1018" t="s">
        <v>80</v>
      </c>
      <c r="B19" s="1292">
        <v>20</v>
      </c>
      <c r="C19" s="1022" t="s">
        <v>1466</v>
      </c>
      <c r="D19" s="1019"/>
      <c r="E19" s="1020"/>
      <c r="G19" s="9"/>
      <c r="H19" s="12"/>
      <c r="I19" s="256"/>
      <c r="J19" s="256"/>
      <c r="K19" s="256"/>
      <c r="L19" s="256"/>
      <c r="M19" s="257"/>
      <c r="N19" s="11"/>
      <c r="O19" s="11"/>
    </row>
    <row r="20" spans="2:15" ht="12.75">
      <c r="B20" s="765"/>
      <c r="C20" s="765"/>
      <c r="D20" s="765"/>
      <c r="E20" s="18"/>
      <c r="G20" s="9"/>
      <c r="H20" s="12"/>
      <c r="I20" s="256"/>
      <c r="J20" s="256"/>
      <c r="K20" s="256"/>
      <c r="L20" s="256"/>
      <c r="M20" s="257"/>
      <c r="N20" s="11"/>
      <c r="O20" s="11"/>
    </row>
    <row r="21" spans="1:15" ht="13.5" thickBot="1">
      <c r="A21" s="123"/>
      <c r="B21" s="123"/>
      <c r="C21" s="123"/>
      <c r="D21"/>
      <c r="E21"/>
      <c r="G21" s="9"/>
      <c r="H21" s="11"/>
      <c r="I21" s="256"/>
      <c r="J21" s="256"/>
      <c r="K21" s="256"/>
      <c r="L21" s="256"/>
      <c r="M21" s="257"/>
      <c r="N21" s="11"/>
      <c r="O21" s="11"/>
    </row>
    <row r="22" spans="1:5" ht="13.5" thickBot="1">
      <c r="A22" s="777" t="s">
        <v>187</v>
      </c>
      <c r="B22" s="781" t="s">
        <v>132</v>
      </c>
      <c r="C22" s="1182">
        <f>$B$43*B18^$B$44+$B$45</f>
        <v>137973.86832434023</v>
      </c>
      <c r="D22"/>
      <c r="E22"/>
    </row>
    <row r="23" spans="1:5" ht="13.5" thickTop="1">
      <c r="A23" s="1134" t="s">
        <v>1072</v>
      </c>
      <c r="B23" s="1135">
        <f>0.47+0.05</f>
        <v>0.52</v>
      </c>
      <c r="C23" s="1184">
        <f>C$22*$B23*'{d}Cost Index'!$D10</f>
        <v>199102.04296023186</v>
      </c>
      <c r="D23"/>
      <c r="E23"/>
    </row>
    <row r="24" spans="1:5" ht="12.75">
      <c r="A24" s="1045" t="s">
        <v>1063</v>
      </c>
      <c r="B24" s="1136">
        <v>0.38</v>
      </c>
      <c r="C24" s="1186">
        <f>C$22*$B24*'{d}Cost Index'!$D13</f>
        <v>135935.63275441388</v>
      </c>
      <c r="D24"/>
      <c r="E24"/>
    </row>
    <row r="25" spans="1:5" ht="12.75">
      <c r="A25" s="1137" t="s">
        <v>1064</v>
      </c>
      <c r="B25" s="1136">
        <v>0.06</v>
      </c>
      <c r="C25" s="1186">
        <f>C$22*$B25*'{d}Cost Index'!$D14</f>
        <v>25019.403254848752</v>
      </c>
      <c r="D25"/>
      <c r="E25"/>
    </row>
    <row r="26" spans="1:6" ht="12.75">
      <c r="A26" s="1045" t="s">
        <v>1073</v>
      </c>
      <c r="B26" s="1136">
        <v>0.04</v>
      </c>
      <c r="C26" s="1186">
        <f>C$22*$B26*'{d}Cost Index'!$D16</f>
        <v>11486.839040824965</v>
      </c>
      <c r="D26"/>
      <c r="E26"/>
      <c r="F26" s="13"/>
    </row>
    <row r="27" spans="1:7" ht="12.75">
      <c r="A27" s="1045" t="s">
        <v>1066</v>
      </c>
      <c r="B27" s="1136">
        <v>0</v>
      </c>
      <c r="C27" s="1186">
        <f>C$22*$B27*'{d}Cost Index'!$D19</f>
        <v>0</v>
      </c>
      <c r="D27"/>
      <c r="E27"/>
      <c r="F27" s="14"/>
      <c r="G27" s="13"/>
    </row>
    <row r="28" spans="1:7" ht="13.5" thickBot="1">
      <c r="A28" s="1138" t="s">
        <v>1067</v>
      </c>
      <c r="B28" s="1139">
        <v>0</v>
      </c>
      <c r="C28" s="1188">
        <f>C$22*$B28*'{d}Cost Index'!$D18</f>
        <v>0</v>
      </c>
      <c r="D28"/>
      <c r="E28"/>
      <c r="G28" s="14"/>
    </row>
    <row r="29" spans="1:6" ht="13.5" thickBot="1">
      <c r="A29" s="758" t="str">
        <f>TEXT(IndexDate,"mmmm, yyyy")&amp;" Capital Cost $:"</f>
        <v>November, 2006 Capital Cost $:</v>
      </c>
      <c r="B29" s="780">
        <f>SUM(B23:B28)</f>
        <v>1</v>
      </c>
      <c r="C29" s="1203">
        <f>SUM(C23:C28)</f>
        <v>371543.91801031947</v>
      </c>
      <c r="D29"/>
      <c r="E29"/>
      <c r="F29" s="15"/>
    </row>
    <row r="30" spans="1:7" ht="12.75">
      <c r="A30" s="1"/>
      <c r="B30" s="123"/>
      <c r="C30" s="135"/>
      <c r="D30"/>
      <c r="E30"/>
      <c r="F30" s="15"/>
      <c r="G30" s="15"/>
    </row>
    <row r="31" spans="1:7" ht="13.5" thickBot="1">
      <c r="A31" s="123"/>
      <c r="B31" s="123"/>
      <c r="C31" s="123"/>
      <c r="D31"/>
      <c r="E31"/>
      <c r="F31" s="15"/>
      <c r="G31" s="15"/>
    </row>
    <row r="32" spans="1:7" ht="13.5" thickBot="1">
      <c r="A32" s="777" t="s">
        <v>188</v>
      </c>
      <c r="B32" s="781" t="s">
        <v>132</v>
      </c>
      <c r="C32" s="1182">
        <f>$B$49*B18^$B$50+$B$51</f>
        <v>27195.91635764801</v>
      </c>
      <c r="D32"/>
      <c r="E32"/>
      <c r="G32" s="15"/>
    </row>
    <row r="33" spans="1:5" ht="13.5" thickTop="1">
      <c r="A33" s="1134" t="s">
        <v>1495</v>
      </c>
      <c r="B33" s="1135">
        <v>0.18</v>
      </c>
      <c r="C33" s="1184">
        <f>C$32*$B33*'{d}Cost Index'!$D17</f>
        <v>10188.72652502264</v>
      </c>
      <c r="D33"/>
      <c r="E33"/>
    </row>
    <row r="34" spans="1:5" ht="12.75">
      <c r="A34" s="1045" t="s">
        <v>1494</v>
      </c>
      <c r="B34" s="1136">
        <v>0.18</v>
      </c>
      <c r="C34" s="1186">
        <f>C$32*$B34*'{d}Cost Index'!$D21</f>
        <v>11422.284870212165</v>
      </c>
      <c r="D34"/>
      <c r="E34"/>
    </row>
    <row r="35" spans="1:5" ht="12.75">
      <c r="A35" s="1045" t="s">
        <v>210</v>
      </c>
      <c r="B35" s="1136">
        <v>0.64</v>
      </c>
      <c r="C35" s="1186">
        <f>C$32*$B35*'{d}Cost Index'!$D11</f>
        <v>48947.38401949581</v>
      </c>
      <c r="D35"/>
      <c r="E35"/>
    </row>
    <row r="36" spans="1:6" ht="13.5" thickBot="1">
      <c r="A36" s="2541" t="s">
        <v>290</v>
      </c>
      <c r="B36" s="2542"/>
      <c r="C36" s="1204">
        <f>B18*365*B19*'{b}Capacity'!$C$9/907.185</f>
        <v>7233.633437501723</v>
      </c>
      <c r="D36"/>
      <c r="E36"/>
      <c r="F36" s="16"/>
    </row>
    <row r="37" spans="1:7" ht="13.5" thickBot="1">
      <c r="A37" s="127" t="str">
        <f>TEXT(IndexDate,"mmmm, yyyy")&amp;"  Operation &amp; Maintenance $:"</f>
        <v>November, 2006  Operation &amp; Maintenance $:</v>
      </c>
      <c r="B37" s="780">
        <f>SUM(B33:B35)</f>
        <v>1</v>
      </c>
      <c r="C37" s="1203">
        <f>SUM(C33:C36)</f>
        <v>77792.02885223234</v>
      </c>
      <c r="D37"/>
      <c r="E37"/>
      <c r="G37" s="16"/>
    </row>
    <row r="38" spans="3:6" ht="12.75">
      <c r="C38" s="769"/>
      <c r="D38"/>
      <c r="E38"/>
      <c r="F38" s="16"/>
    </row>
    <row r="39" spans="3:7" ht="13.5" thickBot="1">
      <c r="C39" s="769"/>
      <c r="F39" s="16"/>
      <c r="G39" s="16"/>
    </row>
    <row r="40" spans="1:7" ht="12.75">
      <c r="A40" s="844" t="s">
        <v>353</v>
      </c>
      <c r="B40" s="845"/>
      <c r="C40" s="769"/>
      <c r="F40" s="16"/>
      <c r="G40" s="16"/>
    </row>
    <row r="41" spans="1:7" ht="12.75">
      <c r="A41" s="841" t="s">
        <v>332</v>
      </c>
      <c r="B41" s="794"/>
      <c r="C41" s="769"/>
      <c r="F41" s="16"/>
      <c r="G41" s="16"/>
    </row>
    <row r="42" spans="1:7" ht="12.75">
      <c r="A42" s="41" t="s">
        <v>331</v>
      </c>
      <c r="B42" s="794"/>
      <c r="C42" s="769"/>
      <c r="E42" s="16"/>
      <c r="F42" s="16"/>
      <c r="G42" s="16"/>
    </row>
    <row r="43" spans="1:5" ht="12.75">
      <c r="A43" s="41" t="s">
        <v>335</v>
      </c>
      <c r="B43" s="794">
        <v>680.75</v>
      </c>
      <c r="E43" s="16"/>
    </row>
    <row r="44" spans="1:2" ht="12.75">
      <c r="A44" s="41" t="s">
        <v>336</v>
      </c>
      <c r="B44" s="42">
        <v>0.763</v>
      </c>
    </row>
    <row r="45" spans="1:2" ht="12.75">
      <c r="A45" s="41" t="s">
        <v>337</v>
      </c>
      <c r="B45" s="42">
        <v>11010</v>
      </c>
    </row>
    <row r="46" spans="1:2" ht="12.75">
      <c r="A46" s="787"/>
      <c r="B46" s="842"/>
    </row>
    <row r="47" spans="1:2" ht="12.75">
      <c r="A47" s="841" t="s">
        <v>333</v>
      </c>
      <c r="B47" s="42"/>
    </row>
    <row r="48" spans="1:2" ht="12.75">
      <c r="A48" s="41" t="s">
        <v>395</v>
      </c>
      <c r="B48" s="42"/>
    </row>
    <row r="49" spans="1:2" ht="12.75">
      <c r="A49" s="41" t="s">
        <v>335</v>
      </c>
      <c r="B49" s="42">
        <v>47.6</v>
      </c>
    </row>
    <row r="50" spans="1:2" ht="12.75">
      <c r="A50" s="41" t="s">
        <v>336</v>
      </c>
      <c r="B50" s="42">
        <v>0.89</v>
      </c>
    </row>
    <row r="51" spans="1:2" ht="12.75">
      <c r="A51" s="41" t="s">
        <v>337</v>
      </c>
      <c r="B51" s="42">
        <v>6000</v>
      </c>
    </row>
    <row r="52" spans="1:2" ht="13.5" thickBot="1">
      <c r="A52" s="43"/>
      <c r="B52" s="44"/>
    </row>
    <row r="53" spans="1:2" ht="12.75">
      <c r="A53" s="1759" t="s">
        <v>1793</v>
      </c>
      <c r="B53" s="1760"/>
    </row>
    <row r="54" ht="12.75">
      <c r="A54" s="843"/>
    </row>
    <row r="55" spans="1:7" ht="12.75">
      <c r="A55" s="8" t="s">
        <v>351</v>
      </c>
      <c r="G55" s="16"/>
    </row>
    <row r="56" ht="12.75">
      <c r="A56" s="8" t="s">
        <v>352</v>
      </c>
    </row>
    <row r="57" ht="15.75">
      <c r="A57" s="8" t="s">
        <v>192</v>
      </c>
    </row>
  </sheetData>
  <mergeCells count="3">
    <mergeCell ref="D7:E7"/>
    <mergeCell ref="G16:H16"/>
    <mergeCell ref="A36:B36"/>
  </mergeCells>
  <printOptions gridLines="1"/>
  <pageMargins left="1.51" right="0.75" top="1" bottom="1" header="0.5" footer="0.5"/>
  <pageSetup fitToHeight="1" fitToWidth="1" horizontalDpi="300" verticalDpi="300" orientation="portrait" scale="85" r:id="rId1"/>
  <headerFooter alignWithMargins="0">
    <oddHeader>&amp;C&amp;A</oddHeader>
    <oddFooter>&amp;CWater Treatment Cost Estimation Program</oddFooter>
  </headerFooter>
</worksheet>
</file>

<file path=xl/worksheets/sheet22.xml><?xml version="1.0" encoding="utf-8"?>
<worksheet xmlns="http://schemas.openxmlformats.org/spreadsheetml/2006/main" xmlns:r="http://schemas.openxmlformats.org/officeDocument/2006/relationships">
  <sheetPr codeName="Sheet10">
    <pageSetUpPr fitToPage="1"/>
  </sheetPr>
  <dimension ref="A1:U65"/>
  <sheetViews>
    <sheetView workbookViewId="0" topLeftCell="A1">
      <selection activeCell="E38" sqref="E38"/>
    </sheetView>
  </sheetViews>
  <sheetFormatPr defaultColWidth="9.140625" defaultRowHeight="12.75"/>
  <cols>
    <col min="1" max="1" width="36.140625" style="153" customWidth="1"/>
    <col min="2" max="3" width="12.00390625" style="153" customWidth="1"/>
    <col min="4" max="4" width="11.7109375" style="153" customWidth="1"/>
    <col min="5" max="5" width="10.7109375" style="153" customWidth="1"/>
    <col min="6" max="6" width="6.421875" style="153" customWidth="1"/>
    <col min="7" max="8" width="10.421875" style="153" bestFit="1" customWidth="1"/>
    <col min="9" max="9" width="4.140625" style="153" customWidth="1"/>
    <col min="10" max="10" width="33.140625" style="153" customWidth="1"/>
    <col min="11" max="11" width="12.57421875" style="153" bestFit="1" customWidth="1"/>
    <col min="12" max="12" width="8.7109375" style="153" customWidth="1"/>
    <col min="13" max="13" width="13.421875" style="153" customWidth="1"/>
    <col min="14" max="14" width="8.7109375" style="153" customWidth="1"/>
    <col min="15" max="15" width="19.421875" style="153" customWidth="1"/>
    <col min="16" max="17" width="12.140625" style="153" customWidth="1"/>
    <col min="18" max="18" width="9.421875" style="153" customWidth="1"/>
    <col min="19" max="19" width="11.8515625" style="153" customWidth="1"/>
    <col min="20" max="20" width="10.421875" style="153" customWidth="1"/>
    <col min="21" max="16384" width="8.7109375" style="15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668" t="s">
        <v>427</v>
      </c>
    </row>
    <row r="5" ht="18">
      <c r="A5" s="668"/>
    </row>
    <row r="6" spans="1:10" ht="13.5" thickBot="1">
      <c r="A6" s="1069" t="s">
        <v>355</v>
      </c>
      <c r="B6" s="1070"/>
      <c r="C6" s="1062" t="s">
        <v>1682</v>
      </c>
      <c r="D6" s="2551" t="s">
        <v>766</v>
      </c>
      <c r="E6" s="2552"/>
      <c r="J6" s="158" t="s">
        <v>354</v>
      </c>
    </row>
    <row r="7" spans="1:16" ht="13.5" thickTop="1">
      <c r="A7" s="1068" t="s">
        <v>891</v>
      </c>
      <c r="B7" s="1293">
        <f>'{b}Capacity'!B18</f>
        <v>4380.787037037037</v>
      </c>
      <c r="C7" s="943" t="s">
        <v>1</v>
      </c>
      <c r="D7" s="474"/>
      <c r="E7" s="474"/>
      <c r="H7" s="770"/>
      <c r="I7" s="770"/>
      <c r="J7" s="158" t="s">
        <v>356</v>
      </c>
      <c r="P7" s="153" t="s">
        <v>285</v>
      </c>
    </row>
    <row r="8" spans="1:10" ht="12.75">
      <c r="A8" s="1028"/>
      <c r="B8" s="1029"/>
      <c r="C8" s="205"/>
      <c r="D8" s="433"/>
      <c r="E8" s="433"/>
      <c r="H8" s="770"/>
      <c r="I8" s="770"/>
      <c r="J8" s="158" t="s">
        <v>358</v>
      </c>
    </row>
    <row r="9" spans="1:19" ht="12.75">
      <c r="A9" s="1028" t="s">
        <v>357</v>
      </c>
      <c r="B9" s="207">
        <f>'{e}H20 Analysis'!$C$17</f>
        <v>0</v>
      </c>
      <c r="C9" s="207" t="s">
        <v>1692</v>
      </c>
      <c r="D9" s="1030">
        <f>IF(B9=" ",0,B9/52)</f>
        <v>0</v>
      </c>
      <c r="E9" s="1028" t="s">
        <v>338</v>
      </c>
      <c r="J9" s="158" t="s">
        <v>360</v>
      </c>
      <c r="P9" s="153" t="s">
        <v>931</v>
      </c>
      <c r="Q9" s="153" t="s">
        <v>669</v>
      </c>
      <c r="R9" s="153" t="s">
        <v>931</v>
      </c>
      <c r="S9" s="153" t="s">
        <v>669</v>
      </c>
    </row>
    <row r="10" spans="1:18" ht="12.75">
      <c r="A10" s="1028" t="s">
        <v>359</v>
      </c>
      <c r="B10" s="207">
        <f>'{e}H20 Analysis'!$C$24</f>
        <v>0</v>
      </c>
      <c r="C10" s="207" t="s">
        <v>1692</v>
      </c>
      <c r="D10" s="1030">
        <f>IF(B10=" ",0,B10/63.5)</f>
        <v>0</v>
      </c>
      <c r="E10" s="1028" t="s">
        <v>338</v>
      </c>
      <c r="J10" s="158" t="s">
        <v>362</v>
      </c>
      <c r="O10" s="153" t="s">
        <v>363</v>
      </c>
      <c r="P10" s="153" t="s">
        <v>1014</v>
      </c>
      <c r="R10" s="153" t="s">
        <v>1013</v>
      </c>
    </row>
    <row r="11" spans="1:21" ht="12.75">
      <c r="A11" s="1028" t="s">
        <v>361</v>
      </c>
      <c r="B11" s="207">
        <f>'{e}H20 Analysis'!$C$19</f>
        <v>0</v>
      </c>
      <c r="C11" s="207" t="s">
        <v>1692</v>
      </c>
      <c r="D11" s="1030">
        <f>IF(B11=" ",0,B11/55.8)</f>
        <v>0</v>
      </c>
      <c r="E11" s="1028" t="s">
        <v>338</v>
      </c>
      <c r="J11" s="158" t="s">
        <v>365</v>
      </c>
      <c r="O11" s="154">
        <v>29</v>
      </c>
      <c r="P11" s="154">
        <v>53.094679030696106</v>
      </c>
      <c r="Q11" s="154">
        <v>38.43347536779325</v>
      </c>
      <c r="R11" s="154">
        <v>43.98341677489579</v>
      </c>
      <c r="S11" s="154">
        <v>37.98989442366934</v>
      </c>
      <c r="T11" s="244"/>
      <c r="U11" s="244"/>
    </row>
    <row r="12" spans="1:21" ht="12.75">
      <c r="A12" s="1028" t="s">
        <v>364</v>
      </c>
      <c r="B12" s="207">
        <f>'{e}H20 Analysis'!$C$22</f>
        <v>0</v>
      </c>
      <c r="C12" s="207" t="s">
        <v>1692</v>
      </c>
      <c r="D12" s="1030">
        <f>IF(B12=" ",0,B12/55)</f>
        <v>0</v>
      </c>
      <c r="E12" s="1028" t="s">
        <v>338</v>
      </c>
      <c r="J12" s="158" t="s">
        <v>366</v>
      </c>
      <c r="N12" s="154">
        <v>58.4104938271605</v>
      </c>
      <c r="O12" s="153">
        <v>58</v>
      </c>
      <c r="P12" s="154">
        <v>62.04375811672839</v>
      </c>
      <c r="Q12" s="154">
        <v>39.921196447164064</v>
      </c>
      <c r="R12" s="154">
        <v>50.54361417961751</v>
      </c>
      <c r="S12" s="154">
        <v>39.37270506471651</v>
      </c>
      <c r="T12" s="244"/>
      <c r="U12" s="244"/>
    </row>
    <row r="13" spans="1:21" ht="12.75">
      <c r="A13" s="1028"/>
      <c r="B13" s="207"/>
      <c r="C13" s="207"/>
      <c r="D13" s="1030"/>
      <c r="E13" s="1028"/>
      <c r="J13" s="158" t="s">
        <v>367</v>
      </c>
      <c r="N13" s="154">
        <v>116.820987654321</v>
      </c>
      <c r="O13" s="153">
        <v>117</v>
      </c>
      <c r="P13" s="154">
        <v>74.42266033930942</v>
      </c>
      <c r="Q13" s="154">
        <v>42.94598459031968</v>
      </c>
      <c r="R13" s="154">
        <v>59.618072171683885</v>
      </c>
      <c r="S13" s="154">
        <v>42.18551905467832</v>
      </c>
      <c r="T13" s="244"/>
      <c r="U13" s="244"/>
    </row>
    <row r="14" spans="1:21" ht="15.75">
      <c r="A14" s="1028" t="s">
        <v>1584</v>
      </c>
      <c r="B14" s="207">
        <f>'{c}Report'!D123</f>
        <v>3</v>
      </c>
      <c r="C14" s="207" t="s">
        <v>1692</v>
      </c>
      <c r="D14" s="1030">
        <f>B14/51.4</f>
        <v>0.05836575875486381</v>
      </c>
      <c r="E14" s="1028" t="s">
        <v>338</v>
      </c>
      <c r="J14" s="158" t="s">
        <v>368</v>
      </c>
      <c r="N14" s="154">
        <v>175.2314814814815</v>
      </c>
      <c r="O14" s="153">
        <v>175</v>
      </c>
      <c r="P14" s="154">
        <v>83.4879690204544</v>
      </c>
      <c r="Q14" s="154">
        <v>45.91696317600492</v>
      </c>
      <c r="R14" s="154">
        <v>66.26347265494361</v>
      </c>
      <c r="S14" s="154">
        <v>44.950018871475635</v>
      </c>
      <c r="T14" s="244"/>
      <c r="U14" s="244"/>
    </row>
    <row r="15" spans="1:21" ht="15.75">
      <c r="A15" s="1028" t="s">
        <v>1585</v>
      </c>
      <c r="B15" s="207">
        <f>D15*71</f>
        <v>4.14396887159533</v>
      </c>
      <c r="C15" s="207" t="s">
        <v>1692</v>
      </c>
      <c r="D15" s="1030">
        <f>(SUM(D9:D12)/2)+D14</f>
        <v>0.05836575875486381</v>
      </c>
      <c r="E15" s="1028" t="s">
        <v>338</v>
      </c>
      <c r="F15" s="48"/>
      <c r="G15" s="2547" t="s">
        <v>1786</v>
      </c>
      <c r="H15" s="2549"/>
      <c r="I15" s="204"/>
      <c r="N15" s="154">
        <v>233.641975308642</v>
      </c>
      <c r="O15" s="153">
        <v>234</v>
      </c>
      <c r="P15" s="154">
        <v>91.11921485742168</v>
      </c>
      <c r="Q15" s="154">
        <v>48.93659548564382</v>
      </c>
      <c r="R15" s="154">
        <v>71.85762135484768</v>
      </c>
      <c r="S15" s="154">
        <v>47.76153407800198</v>
      </c>
      <c r="T15" s="244"/>
      <c r="U15" s="244"/>
    </row>
    <row r="16" spans="1:21" ht="13.5" thickBot="1">
      <c r="A16" s="1028" t="s">
        <v>369</v>
      </c>
      <c r="B16" s="207">
        <f>D16*17</f>
        <v>0.9922178988326847</v>
      </c>
      <c r="C16" s="207" t="s">
        <v>1692</v>
      </c>
      <c r="D16" s="1030">
        <f>D14</f>
        <v>0.05836575875486381</v>
      </c>
      <c r="E16" s="1028" t="s">
        <v>338</v>
      </c>
      <c r="F16" s="52"/>
      <c r="G16" s="834" t="s">
        <v>1785</v>
      </c>
      <c r="H16" s="834" t="s">
        <v>177</v>
      </c>
      <c r="I16" s="204"/>
      <c r="N16" s="154">
        <v>292.0524691358025</v>
      </c>
      <c r="O16" s="153">
        <v>292</v>
      </c>
      <c r="P16" s="154">
        <v>97.63651648947744</v>
      </c>
      <c r="Q16" s="154">
        <v>51.902536397727005</v>
      </c>
      <c r="R16" s="154">
        <v>76.63518392205447</v>
      </c>
      <c r="S16" s="154">
        <v>50.52476100646064</v>
      </c>
      <c r="T16" s="244"/>
      <c r="U16" s="244"/>
    </row>
    <row r="17" spans="1:21" ht="17.25" thickBot="1" thickTop="1">
      <c r="A17" s="1028" t="s">
        <v>1580</v>
      </c>
      <c r="B17" s="207">
        <f>$B$15*B7*86400*'{b}Capacity'!$C$8/10^6</f>
        <v>1568.492217898833</v>
      </c>
      <c r="C17" s="205" t="s">
        <v>1771</v>
      </c>
      <c r="D17" s="433"/>
      <c r="E17" s="1028"/>
      <c r="F17" s="1004"/>
      <c r="G17" s="1132">
        <v>4</v>
      </c>
      <c r="H17" s="1286">
        <v>4500</v>
      </c>
      <c r="I17" s="1032"/>
      <c r="N17" s="154">
        <v>350.462962962963</v>
      </c>
      <c r="O17" s="153">
        <v>350</v>
      </c>
      <c r="P17" s="154">
        <v>103.46825166191644</v>
      </c>
      <c r="Q17" s="154">
        <v>54.86600265739777</v>
      </c>
      <c r="R17" s="154">
        <v>80.91018625195572</v>
      </c>
      <c r="S17" s="154">
        <v>53.28735979850567</v>
      </c>
      <c r="T17" s="244"/>
      <c r="U17" s="244"/>
    </row>
    <row r="18" spans="1:21" ht="15.75">
      <c r="A18" s="1028" t="s">
        <v>1581</v>
      </c>
      <c r="B18" s="207">
        <f>$B$15*'{c}Report'!D126*86400*'{b}Capacity'!$C$8/10^6</f>
        <v>2.148233463035019</v>
      </c>
      <c r="C18" s="205" t="s">
        <v>1771</v>
      </c>
      <c r="D18" s="433"/>
      <c r="E18" s="502"/>
      <c r="G18" s="1743" t="s">
        <v>1590</v>
      </c>
      <c r="H18" s="1744"/>
      <c r="I18" s="1744"/>
      <c r="J18" s="815" t="s">
        <v>353</v>
      </c>
      <c r="K18" s="816"/>
      <c r="N18" s="154">
        <v>467.283950617284</v>
      </c>
      <c r="O18" s="153">
        <v>467</v>
      </c>
      <c r="P18" s="154">
        <v>113.77633480946236</v>
      </c>
      <c r="Q18" s="154">
        <v>60.8365590446303</v>
      </c>
      <c r="R18" s="154">
        <v>88.46661297051405</v>
      </c>
      <c r="S18" s="154">
        <v>58.8582845289726</v>
      </c>
      <c r="T18" s="244"/>
      <c r="U18" s="244"/>
    </row>
    <row r="19" spans="1:21" ht="15.75">
      <c r="A19" s="1028" t="s">
        <v>1582</v>
      </c>
      <c r="B19" s="207">
        <f>IF(B18=0,B17,B18)</f>
        <v>2.148233463035019</v>
      </c>
      <c r="C19" s="205" t="s">
        <v>1771</v>
      </c>
      <c r="D19" s="433"/>
      <c r="E19" s="502"/>
      <c r="F19" s="48"/>
      <c r="G19" s="2547" t="s">
        <v>1786</v>
      </c>
      <c r="H19" s="2549"/>
      <c r="J19" s="854"/>
      <c r="K19" s="164"/>
      <c r="N19" s="154">
        <v>584.104938271605</v>
      </c>
      <c r="O19" s="153">
        <v>584</v>
      </c>
      <c r="P19" s="154">
        <v>122.72575451074498</v>
      </c>
      <c r="Q19" s="154">
        <v>66.79722712030706</v>
      </c>
      <c r="R19" s="154">
        <v>95.02706006609893</v>
      </c>
      <c r="S19" s="154">
        <v>64.42667637839602</v>
      </c>
      <c r="T19" s="244"/>
      <c r="U19" s="244"/>
    </row>
    <row r="20" spans="1:21" ht="16.5" thickBot="1">
      <c r="A20" s="1028" t="s">
        <v>1583</v>
      </c>
      <c r="B20" s="1214">
        <v>20</v>
      </c>
      <c r="C20" s="205" t="s">
        <v>5</v>
      </c>
      <c r="D20" s="1031"/>
      <c r="E20" s="205"/>
      <c r="F20" s="52"/>
      <c r="G20" s="834" t="s">
        <v>1785</v>
      </c>
      <c r="H20" s="834" t="s">
        <v>177</v>
      </c>
      <c r="J20" s="168" t="s">
        <v>331</v>
      </c>
      <c r="K20" s="164"/>
      <c r="N20" s="154">
        <v>876.1574074074074</v>
      </c>
      <c r="O20" s="153">
        <v>876</v>
      </c>
      <c r="P20" s="154">
        <v>141.393635521574</v>
      </c>
      <c r="Q20" s="154">
        <v>81.63106868740856</v>
      </c>
      <c r="R20" s="154">
        <v>108.71170665169423</v>
      </c>
      <c r="S20" s="154">
        <v>78.31291085080144</v>
      </c>
      <c r="T20" s="244"/>
      <c r="U20" s="244"/>
    </row>
    <row r="21" spans="1:21" ht="13.5" thickTop="1">
      <c r="A21" s="1028" t="s">
        <v>10</v>
      </c>
      <c r="B21" s="207">
        <f>$B$16*B7*86400*'{b}Capacity'!$C$8/10^6</f>
        <v>375.55447470817126</v>
      </c>
      <c r="C21" s="205" t="s">
        <v>1771</v>
      </c>
      <c r="D21" s="433"/>
      <c r="E21" s="502"/>
      <c r="F21" s="1004"/>
      <c r="G21" s="1132">
        <v>110</v>
      </c>
      <c r="H21" s="1286">
        <v>2300</v>
      </c>
      <c r="J21" s="855" t="s">
        <v>332</v>
      </c>
      <c r="K21" s="164"/>
      <c r="N21" s="154">
        <v>1168.20987654321</v>
      </c>
      <c r="O21" s="153">
        <v>1168</v>
      </c>
      <c r="P21" s="154">
        <v>156.80877063435872</v>
      </c>
      <c r="Q21" s="154">
        <v>96.40588293444557</v>
      </c>
      <c r="R21" s="154">
        <v>120.01190060328899</v>
      </c>
      <c r="S21" s="154">
        <v>92.18370095213103</v>
      </c>
      <c r="T21" s="244"/>
      <c r="U21" s="244"/>
    </row>
    <row r="22" spans="1:19" ht="12.75">
      <c r="A22" s="433" t="s">
        <v>11</v>
      </c>
      <c r="B22" s="207">
        <f>B7*'{c}Report'!D127*86400*'{b}Capacity'!$C$8/10^6</f>
        <v>757.0000000000001</v>
      </c>
      <c r="C22" s="205" t="s">
        <v>1771</v>
      </c>
      <c r="D22" s="433"/>
      <c r="E22" s="205"/>
      <c r="G22" s="1743" t="s">
        <v>1594</v>
      </c>
      <c r="H22" s="1744"/>
      <c r="I22" s="1744"/>
      <c r="J22" s="168" t="s">
        <v>335</v>
      </c>
      <c r="K22" s="164">
        <v>680.75</v>
      </c>
      <c r="O22" s="154"/>
      <c r="R22" s="244"/>
      <c r="S22" s="244"/>
    </row>
    <row r="23" spans="1:20" ht="12.75">
      <c r="A23" s="433" t="s">
        <v>1493</v>
      </c>
      <c r="B23" s="207">
        <f>IF(B22=0,B21,B22)</f>
        <v>757.0000000000001</v>
      </c>
      <c r="C23" s="205" t="s">
        <v>1771</v>
      </c>
      <c r="D23" s="433">
        <f>B23*2.2</f>
        <v>1665.4000000000003</v>
      </c>
      <c r="E23" s="433" t="s">
        <v>661</v>
      </c>
      <c r="J23" s="168" t="s">
        <v>336</v>
      </c>
      <c r="K23" s="164">
        <v>0.763</v>
      </c>
      <c r="O23" s="154"/>
      <c r="P23" s="244"/>
      <c r="Q23" s="244"/>
      <c r="R23" s="244"/>
      <c r="S23" s="244"/>
      <c r="T23" s="197"/>
    </row>
    <row r="24" spans="1:19" ht="12.75">
      <c r="A24" s="1028" t="s">
        <v>370</v>
      </c>
      <c r="B24" s="1214">
        <v>200</v>
      </c>
      <c r="C24" s="205" t="s">
        <v>5</v>
      </c>
      <c r="D24" s="1031"/>
      <c r="E24" s="433"/>
      <c r="J24" s="168" t="s">
        <v>337</v>
      </c>
      <c r="K24" s="164">
        <v>11010</v>
      </c>
      <c r="O24" s="154"/>
      <c r="P24" s="244"/>
      <c r="Q24" s="244"/>
      <c r="R24" s="244"/>
      <c r="S24" s="244"/>
    </row>
    <row r="25" spans="10:19" ht="12.75">
      <c r="J25" s="856"/>
      <c r="K25" s="857"/>
      <c r="O25" s="154"/>
      <c r="P25" s="244"/>
      <c r="Q25" s="244"/>
      <c r="R25" s="244"/>
      <c r="S25" s="244"/>
    </row>
    <row r="26" spans="1:19" ht="12.75">
      <c r="A26" s="1413" t="str">
        <f>"Total Capital Cost"</f>
        <v>Total Capital Cost</v>
      </c>
      <c r="B26" s="771" t="e">
        <f>C39+C58</f>
        <v>#VALUE!</v>
      </c>
      <c r="C26" s="450"/>
      <c r="J26" s="855" t="s">
        <v>333</v>
      </c>
      <c r="K26" s="164"/>
      <c r="O26" s="154"/>
      <c r="P26" s="244"/>
      <c r="Q26" s="244"/>
      <c r="R26" s="244"/>
      <c r="S26" s="244"/>
    </row>
    <row r="27" spans="1:11" ht="12.75">
      <c r="A27" s="1413" t="str">
        <f>"Total O&amp;M Cost"</f>
        <v>Total O&amp;M Cost</v>
      </c>
      <c r="B27" s="771">
        <f>C46+C65</f>
        <v>57885.48972818793</v>
      </c>
      <c r="C27" s="450"/>
      <c r="J27" s="168" t="s">
        <v>335</v>
      </c>
      <c r="K27" s="164">
        <v>47.6</v>
      </c>
    </row>
    <row r="28" spans="1:11" ht="12.75">
      <c r="A28" s="158"/>
      <c r="D28" s="775"/>
      <c r="J28" s="168" t="s">
        <v>336</v>
      </c>
      <c r="K28" s="164">
        <v>0.89</v>
      </c>
    </row>
    <row r="29" spans="8:11" ht="13.5" thickBot="1">
      <c r="H29"/>
      <c r="I29"/>
      <c r="J29" s="169" t="s">
        <v>337</v>
      </c>
      <c r="K29" s="167">
        <v>6000</v>
      </c>
    </row>
    <row r="30" spans="1:11" ht="15.75">
      <c r="A30" s="772" t="s">
        <v>193</v>
      </c>
      <c r="B30" s="773"/>
      <c r="C30" s="774"/>
      <c r="E30"/>
      <c r="F30"/>
      <c r="G30"/>
      <c r="H30"/>
      <c r="I30"/>
      <c r="J30" s="1759" t="s">
        <v>1798</v>
      </c>
      <c r="K30" s="1744"/>
    </row>
    <row r="31" spans="1:9" ht="13.5" thickBot="1">
      <c r="A31" s="163"/>
      <c r="C31" s="132"/>
      <c r="E31"/>
      <c r="F31"/>
      <c r="G31"/>
      <c r="H31"/>
      <c r="I31"/>
    </row>
    <row r="32" spans="1:9" ht="13.5" thickBot="1">
      <c r="A32" s="778" t="s">
        <v>187</v>
      </c>
      <c r="B32" s="781" t="s">
        <v>132</v>
      </c>
      <c r="C32" s="1205">
        <f>$K$22*B19^$K$23+$K$24</f>
        <v>12230.016817176258</v>
      </c>
      <c r="E32"/>
      <c r="F32"/>
      <c r="G32"/>
      <c r="H32"/>
      <c r="I32"/>
    </row>
    <row r="33" spans="1:11" ht="13.5" thickTop="1">
      <c r="A33" s="1134" t="s">
        <v>1072</v>
      </c>
      <c r="B33" s="1135">
        <f>0.47+0.05</f>
        <v>0.52</v>
      </c>
      <c r="C33" s="1184">
        <f>C$32*$B33*'{d}Cost Index'!$D13</f>
        <v>16488.580683160548</v>
      </c>
      <c r="E33"/>
      <c r="F33"/>
      <c r="G33"/>
      <c r="H33"/>
      <c r="I33"/>
      <c r="J33" s="815" t="s">
        <v>1797</v>
      </c>
      <c r="K33" s="816"/>
    </row>
    <row r="34" spans="1:11" ht="12.75">
      <c r="A34" s="1045" t="s">
        <v>1063</v>
      </c>
      <c r="B34" s="1136">
        <v>0.38</v>
      </c>
      <c r="C34" s="1186">
        <f>C$32*$B34*'{d}Cost Index'!$D21</f>
        <v>10843.94824456295</v>
      </c>
      <c r="E34" s="1"/>
      <c r="F34"/>
      <c r="G34"/>
      <c r="H34"/>
      <c r="I34"/>
      <c r="J34" s="854" t="s">
        <v>371</v>
      </c>
      <c r="K34" s="164"/>
    </row>
    <row r="35" spans="1:15" ht="12.75">
      <c r="A35" s="1137" t="s">
        <v>1064</v>
      </c>
      <c r="B35" s="1136">
        <v>0.06</v>
      </c>
      <c r="C35" s="1186">
        <f>C$32*$B35*'{d}Cost Index'!$D10</f>
        <v>2036.356619256301</v>
      </c>
      <c r="E35"/>
      <c r="F35"/>
      <c r="G35"/>
      <c r="H35"/>
      <c r="I35"/>
      <c r="J35" s="854" t="s">
        <v>372</v>
      </c>
      <c r="K35" s="164"/>
      <c r="L35" s="199"/>
      <c r="M35" s="199"/>
      <c r="N35" s="199"/>
      <c r="O35" s="199"/>
    </row>
    <row r="36" spans="1:15" ht="12.75">
      <c r="A36" s="1045" t="s">
        <v>1073</v>
      </c>
      <c r="B36" s="1136">
        <v>0.04</v>
      </c>
      <c r="C36" s="1186">
        <f>C$32*$B36*'{d}Cost Index'!$D18</f>
        <v>956.9158383076712</v>
      </c>
      <c r="E36"/>
      <c r="F36"/>
      <c r="G36"/>
      <c r="H36"/>
      <c r="I36"/>
      <c r="J36" s="859"/>
      <c r="K36" s="857"/>
      <c r="L36" s="196"/>
      <c r="M36" s="196"/>
      <c r="N36" s="196"/>
      <c r="O36" s="196"/>
    </row>
    <row r="37" spans="1:11" ht="12.75">
      <c r="A37" s="1045" t="s">
        <v>1066</v>
      </c>
      <c r="B37" s="1136">
        <v>0</v>
      </c>
      <c r="C37" s="1186">
        <f>C$32*$B37*'{d}Cost Index'!$D16</f>
        <v>0</v>
      </c>
      <c r="E37"/>
      <c r="F37"/>
      <c r="G37"/>
      <c r="H37"/>
      <c r="I37"/>
      <c r="J37" s="855" t="s">
        <v>1769</v>
      </c>
      <c r="K37" s="164"/>
    </row>
    <row r="38" spans="1:15" ht="13.5" thickBot="1">
      <c r="A38" s="1138" t="s">
        <v>1067</v>
      </c>
      <c r="B38" s="1139">
        <v>0</v>
      </c>
      <c r="C38" s="1188">
        <f>C$32*$B38*'{d}Cost Index'!$D14</f>
        <v>0</v>
      </c>
      <c r="E38"/>
      <c r="F38"/>
      <c r="G38"/>
      <c r="H38"/>
      <c r="I38"/>
      <c r="J38" s="168" t="s">
        <v>373</v>
      </c>
      <c r="K38" s="164"/>
      <c r="L38" s="196"/>
      <c r="M38" s="196"/>
      <c r="N38" s="196"/>
      <c r="O38" s="196"/>
    </row>
    <row r="39" spans="1:11" ht="13.5" thickBot="1">
      <c r="A39" s="758" t="str">
        <f>TEXT(IndexDate,"mmmm, yyyy")&amp;" Capital Cost $:"</f>
        <v>November, 2006 Capital Cost $:</v>
      </c>
      <c r="B39" s="776">
        <f>SUM(B33:B38)</f>
        <v>1</v>
      </c>
      <c r="C39" s="1203">
        <f>SUM(C33:C38)</f>
        <v>30325.801385287472</v>
      </c>
      <c r="F39"/>
      <c r="G39"/>
      <c r="H39" s="123"/>
      <c r="I39" s="123"/>
      <c r="J39" s="168" t="s">
        <v>335</v>
      </c>
      <c r="K39" s="164">
        <v>3849.2</v>
      </c>
    </row>
    <row r="40" spans="1:11" ht="13.5" thickBot="1">
      <c r="A40" s="163"/>
      <c r="C40" s="132"/>
      <c r="F40" s="123"/>
      <c r="G40" s="123"/>
      <c r="H40" s="123"/>
      <c r="I40" s="123"/>
      <c r="J40" s="168" t="s">
        <v>336</v>
      </c>
      <c r="K40" s="164" t="s">
        <v>1692</v>
      </c>
    </row>
    <row r="41" spans="1:11" ht="13.5" thickBot="1">
      <c r="A41" s="778" t="s">
        <v>188</v>
      </c>
      <c r="B41" s="781" t="s">
        <v>132</v>
      </c>
      <c r="C41" s="1205"/>
      <c r="F41" s="123"/>
      <c r="G41" s="123"/>
      <c r="H41"/>
      <c r="I41"/>
      <c r="J41" s="168" t="s">
        <v>337</v>
      </c>
      <c r="K41" s="164">
        <v>-3.5E-05</v>
      </c>
    </row>
    <row r="42" spans="1:15" ht="13.5" thickTop="1">
      <c r="A42" s="1134" t="s">
        <v>1495</v>
      </c>
      <c r="B42" s="1135">
        <v>0.18</v>
      </c>
      <c r="C42" s="1184">
        <f>C$41*$B42*'{d}Cost Index'!D$17</f>
        <v>0</v>
      </c>
      <c r="E42"/>
      <c r="F42"/>
      <c r="G42"/>
      <c r="H42"/>
      <c r="I42"/>
      <c r="J42" s="856"/>
      <c r="K42" s="857"/>
      <c r="L42" s="200"/>
      <c r="M42" s="200"/>
      <c r="N42" s="200"/>
      <c r="O42" s="200"/>
    </row>
    <row r="43" spans="1:11" ht="12.75">
      <c r="A43" s="1045" t="s">
        <v>1494</v>
      </c>
      <c r="B43" s="1136">
        <v>0.18</v>
      </c>
      <c r="C43" s="1186">
        <f>C$41*$B43*'{d}Cost Index'!D$21</f>
        <v>0</v>
      </c>
      <c r="E43"/>
      <c r="F43"/>
      <c r="G43"/>
      <c r="H43"/>
      <c r="I43"/>
      <c r="J43" s="855" t="s">
        <v>88</v>
      </c>
      <c r="K43" s="164"/>
    </row>
    <row r="44" spans="1:15" ht="12.75">
      <c r="A44" s="1045" t="s">
        <v>210</v>
      </c>
      <c r="B44" s="1136">
        <v>0.64</v>
      </c>
      <c r="C44" s="1186">
        <f>C$41*$B44*'{d}Cost Index'!D$11</f>
        <v>0</v>
      </c>
      <c r="E44"/>
      <c r="F44"/>
      <c r="G44"/>
      <c r="H44"/>
      <c r="I44"/>
      <c r="J44" s="168" t="s">
        <v>334</v>
      </c>
      <c r="K44" s="164"/>
      <c r="L44" s="200"/>
      <c r="M44" s="200"/>
      <c r="N44" s="200"/>
      <c r="O44" s="200"/>
    </row>
    <row r="45" spans="1:15" ht="13.5" thickBot="1">
      <c r="A45" s="2541" t="s">
        <v>290</v>
      </c>
      <c r="B45" s="2542"/>
      <c r="C45" s="1206">
        <f>$B$19*365*'{b}Capacity'!C9*$B$20/907.185</f>
        <v>16.422228174129707</v>
      </c>
      <c r="E45"/>
      <c r="F45"/>
      <c r="G45"/>
      <c r="H45" s="200"/>
      <c r="I45" s="200"/>
      <c r="J45" s="168" t="s">
        <v>335</v>
      </c>
      <c r="K45" s="164">
        <v>-28063</v>
      </c>
      <c r="L45" s="200"/>
      <c r="M45" s="200"/>
      <c r="N45" s="200"/>
      <c r="O45" s="200"/>
    </row>
    <row r="46" spans="1:15" ht="13.5" thickBot="1">
      <c r="A46" s="127" t="str">
        <f>TEXT(IndexDate,"mmmm, yyyy")&amp;"  Operation &amp; Maintenance $:"</f>
        <v>November, 2006  Operation &amp; Maintenance $:</v>
      </c>
      <c r="B46" s="776">
        <f>SUM(B42:B44)</f>
        <v>1</v>
      </c>
      <c r="C46" s="1203">
        <f>SUM(C42:C45)</f>
        <v>16.422228174129707</v>
      </c>
      <c r="E46" s="200"/>
      <c r="F46" s="200"/>
      <c r="G46" s="200"/>
      <c r="H46"/>
      <c r="I46"/>
      <c r="J46" s="168" t="s">
        <v>336</v>
      </c>
      <c r="K46" s="858">
        <v>-0.000241</v>
      </c>
      <c r="L46" s="200"/>
      <c r="M46" s="200"/>
      <c r="N46" s="200"/>
      <c r="O46" s="200"/>
    </row>
    <row r="47" spans="1:15" ht="13.5" thickBot="1">
      <c r="A47" s="124"/>
      <c r="B47" s="198"/>
      <c r="C47" s="775"/>
      <c r="E47" s="200"/>
      <c r="F47" s="200"/>
      <c r="G47" s="200"/>
      <c r="H47"/>
      <c r="I47"/>
      <c r="J47" s="169" t="s">
        <v>337</v>
      </c>
      <c r="K47" s="167">
        <v>36160</v>
      </c>
      <c r="L47" s="200"/>
      <c r="M47" s="200"/>
      <c r="N47" s="200"/>
      <c r="O47" s="200"/>
    </row>
    <row r="48" spans="3:9" ht="13.5" thickBot="1">
      <c r="C48" s="123"/>
      <c r="E48"/>
      <c r="F48"/>
      <c r="G48"/>
      <c r="H48"/>
      <c r="I48"/>
    </row>
    <row r="49" spans="1:9" ht="15.75">
      <c r="A49" s="772" t="s">
        <v>194</v>
      </c>
      <c r="B49" s="773"/>
      <c r="C49" s="774"/>
      <c r="E49"/>
      <c r="F49"/>
      <c r="G49"/>
      <c r="H49"/>
      <c r="I49"/>
    </row>
    <row r="50" spans="1:9" ht="13.5" thickBot="1">
      <c r="A50" s="163"/>
      <c r="C50" s="132"/>
      <c r="E50"/>
      <c r="F50"/>
      <c r="G50"/>
      <c r="H50"/>
      <c r="I50"/>
    </row>
    <row r="51" spans="1:9" ht="13.5" thickBot="1">
      <c r="A51" s="777" t="s">
        <v>191</v>
      </c>
      <c r="B51" s="781" t="s">
        <v>132</v>
      </c>
      <c r="C51" s="1182" t="e">
        <f>$K$39*B23^$K$40*2.718^($K$41*B$21)</f>
        <v>#VALUE!</v>
      </c>
      <c r="E51"/>
      <c r="F51"/>
      <c r="G51"/>
      <c r="H51"/>
      <c r="I51"/>
    </row>
    <row r="52" spans="1:9" ht="13.5" thickTop="1">
      <c r="A52" s="1134" t="s">
        <v>1072</v>
      </c>
      <c r="B52" s="1135">
        <f>0.56+0.1</f>
        <v>0.66</v>
      </c>
      <c r="C52" s="1207" t="e">
        <f>C$51*$B52*'{d}Cost Index'!$D$10</f>
        <v>#VALUE!</v>
      </c>
      <c r="E52"/>
      <c r="F52"/>
      <c r="G52"/>
      <c r="H52"/>
      <c r="I52"/>
    </row>
    <row r="53" spans="1:15" ht="12.75">
      <c r="A53" s="1045" t="s">
        <v>1063</v>
      </c>
      <c r="B53" s="1136">
        <v>0.09</v>
      </c>
      <c r="C53" s="1208" t="e">
        <f>C$51*$B53*'{d}Cost Index'!D13</f>
        <v>#VALUE!</v>
      </c>
      <c r="E53" s="1"/>
      <c r="F53"/>
      <c r="G53"/>
      <c r="H53"/>
      <c r="I53"/>
      <c r="J53" s="198"/>
      <c r="K53" s="198"/>
      <c r="L53" s="198"/>
      <c r="M53" s="198"/>
      <c r="N53" s="198"/>
      <c r="O53" s="198"/>
    </row>
    <row r="54" spans="1:9" ht="12.75">
      <c r="A54" s="1137" t="s">
        <v>1064</v>
      </c>
      <c r="B54" s="1136">
        <v>0.15</v>
      </c>
      <c r="C54" s="1208" t="e">
        <f>C$51*$B54*'{d}Cost Index'!D14</f>
        <v>#VALUE!</v>
      </c>
      <c r="E54"/>
      <c r="F54"/>
      <c r="G54"/>
      <c r="H54"/>
      <c r="I54"/>
    </row>
    <row r="55" spans="1:15" ht="12.75">
      <c r="A55" s="1045" t="s">
        <v>1073</v>
      </c>
      <c r="B55" s="1136">
        <v>0.1</v>
      </c>
      <c r="C55" s="1208" t="e">
        <f>C$51*$B55*'{d}Cost Index'!D16</f>
        <v>#VALUE!</v>
      </c>
      <c r="E55"/>
      <c r="F55"/>
      <c r="G55"/>
      <c r="H55"/>
      <c r="I55"/>
      <c r="J55" s="198"/>
      <c r="K55" s="198"/>
      <c r="L55" s="198"/>
      <c r="M55" s="198"/>
      <c r="N55" s="198"/>
      <c r="O55" s="198"/>
    </row>
    <row r="56" spans="1:15" ht="12.75">
      <c r="A56" s="1045" t="s">
        <v>1066</v>
      </c>
      <c r="B56" s="1136">
        <v>0</v>
      </c>
      <c r="C56" s="1208" t="e">
        <f>C$51*$B56*'{d}Cost Index'!D19</f>
        <v>#VALUE!</v>
      </c>
      <c r="E56"/>
      <c r="F56"/>
      <c r="G56"/>
      <c r="H56" s="123"/>
      <c r="I56" s="123"/>
      <c r="J56" s="198"/>
      <c r="K56" s="198"/>
      <c r="L56" s="198"/>
      <c r="M56" s="198"/>
      <c r="N56" s="198"/>
      <c r="O56" s="198"/>
    </row>
    <row r="57" spans="1:15" ht="13.5" thickBot="1">
      <c r="A57" s="1138" t="s">
        <v>1067</v>
      </c>
      <c r="B57" s="1139">
        <v>0</v>
      </c>
      <c r="C57" s="1206" t="e">
        <f>C$51*$B57*'{d}Cost Index'!D18</f>
        <v>#VALUE!</v>
      </c>
      <c r="E57"/>
      <c r="F57"/>
      <c r="G57"/>
      <c r="H57"/>
      <c r="I57"/>
      <c r="J57"/>
      <c r="K57" s="198"/>
      <c r="L57" s="198"/>
      <c r="M57" s="198"/>
      <c r="N57" s="198"/>
      <c r="O57" s="198"/>
    </row>
    <row r="58" spans="1:15" ht="13.5" thickBot="1">
      <c r="A58" s="758" t="str">
        <f>TEXT(IndexDate,"mmmm, yyyy")&amp;" Capital Cost $:"</f>
        <v>November, 2006 Capital Cost $:</v>
      </c>
      <c r="B58" s="776">
        <f>SUM(B52:B57)</f>
        <v>1</v>
      </c>
      <c r="C58" s="1209" t="e">
        <f>SUM(C52:C57)</f>
        <v>#VALUE!</v>
      </c>
      <c r="F58" s="123"/>
      <c r="G58" s="123"/>
      <c r="H58"/>
      <c r="I58"/>
      <c r="J58"/>
      <c r="K58" s="198"/>
      <c r="L58" s="198"/>
      <c r="M58" s="198"/>
      <c r="N58" s="198"/>
      <c r="O58" s="198"/>
    </row>
    <row r="59" spans="1:15" ht="13.5" thickBot="1">
      <c r="A59" s="163"/>
      <c r="C59" s="132"/>
      <c r="E59"/>
      <c r="F59"/>
      <c r="G59"/>
      <c r="H59"/>
      <c r="I59"/>
      <c r="J59"/>
      <c r="K59" s="198"/>
      <c r="L59" s="198"/>
      <c r="M59" s="198"/>
      <c r="N59" s="198"/>
      <c r="O59" s="198"/>
    </row>
    <row r="60" spans="1:10" ht="13.5" thickBot="1">
      <c r="A60" s="778" t="s">
        <v>188</v>
      </c>
      <c r="B60" s="781" t="s">
        <v>132</v>
      </c>
      <c r="C60" s="1182">
        <f>$K$45*2.718^($K$46*B$23)+$K$47</f>
        <v>12776.423930443449</v>
      </c>
      <c r="E60"/>
      <c r="F60"/>
      <c r="G60"/>
      <c r="H60"/>
      <c r="I60"/>
      <c r="J60"/>
    </row>
    <row r="61" spans="1:15" ht="13.5" thickTop="1">
      <c r="A61" s="1134" t="s">
        <v>1495</v>
      </c>
      <c r="B61" s="1135">
        <v>0.4</v>
      </c>
      <c r="C61" s="1184">
        <f>C$41*$B61*'{d}Cost Index'!D$17</f>
        <v>0</v>
      </c>
      <c r="E61"/>
      <c r="F61"/>
      <c r="G61"/>
      <c r="H61"/>
      <c r="I61"/>
      <c r="J61"/>
      <c r="K61" s="198"/>
      <c r="L61" s="198"/>
      <c r="M61" s="198"/>
      <c r="N61" s="198"/>
      <c r="O61" s="198"/>
    </row>
    <row r="62" spans="1:10" ht="12.75">
      <c r="A62" s="1045" t="s">
        <v>1494</v>
      </c>
      <c r="B62" s="1136">
        <v>0.06</v>
      </c>
      <c r="C62" s="1186">
        <f>C$41*$B62*'{d}Cost Index'!D$21</f>
        <v>0</v>
      </c>
      <c r="E62"/>
      <c r="F62"/>
      <c r="G62"/>
      <c r="H62"/>
      <c r="I62"/>
      <c r="J62"/>
    </row>
    <row r="63" spans="1:15" ht="12.75">
      <c r="A63" s="1045" t="s">
        <v>210</v>
      </c>
      <c r="B63" s="1136">
        <v>0.54</v>
      </c>
      <c r="C63" s="1186">
        <f>C$41*$B63*'{d}Cost Index'!D$11</f>
        <v>0</v>
      </c>
      <c r="E63"/>
      <c r="F63"/>
      <c r="G63"/>
      <c r="H63"/>
      <c r="I63"/>
      <c r="J63"/>
      <c r="K63" s="198"/>
      <c r="L63" s="198"/>
      <c r="M63" s="198"/>
      <c r="N63" s="198"/>
      <c r="O63" s="198"/>
    </row>
    <row r="64" spans="1:7" ht="13.5" thickBot="1">
      <c r="A64" s="2490" t="s">
        <v>374</v>
      </c>
      <c r="B64" s="2491"/>
      <c r="C64" s="1206">
        <f>$B$23*365*$B$24*'{b}Capacity'!C9/907.185</f>
        <v>57869.0675000138</v>
      </c>
      <c r="E64"/>
      <c r="F64"/>
      <c r="G64"/>
    </row>
    <row r="65" spans="1:7" ht="13.5" thickBot="1">
      <c r="A65" s="127" t="str">
        <f>TEXT(IndexDate,"mmmm, yyyy")&amp;"  Operation &amp; Maintenance $:"</f>
        <v>November, 2006  Operation &amp; Maintenance $:</v>
      </c>
      <c r="B65" s="776">
        <f>SUM(B61:B63)</f>
        <v>1</v>
      </c>
      <c r="C65" s="1203">
        <f>SUM(C61:C64)</f>
        <v>57869.0675000138</v>
      </c>
      <c r="E65"/>
      <c r="F65"/>
      <c r="G65"/>
    </row>
  </sheetData>
  <mergeCells count="5">
    <mergeCell ref="A64:B64"/>
    <mergeCell ref="D6:E6"/>
    <mergeCell ref="G15:H15"/>
    <mergeCell ref="G19:H19"/>
    <mergeCell ref="A45:B45"/>
  </mergeCells>
  <printOptions gridLines="1"/>
  <pageMargins left="1.51" right="0.75" top="0.84" bottom="0.86" header="0.5" footer="0.5"/>
  <pageSetup fitToHeight="1" fitToWidth="1" horizontalDpi="300" verticalDpi="300" orientation="landscape" scale="59" r:id="rId2"/>
  <headerFooter alignWithMargins="0">
    <oddHeader>&amp;C&amp;13NHCL</oddHeader>
    <oddFooter>&amp;CWater Treatment Cost Estimation Program</oddFooter>
  </headerFooter>
  <drawing r:id="rId1"/>
</worksheet>
</file>

<file path=xl/worksheets/sheet23.xml><?xml version="1.0" encoding="utf-8"?>
<worksheet xmlns="http://schemas.openxmlformats.org/spreadsheetml/2006/main" xmlns:r="http://schemas.openxmlformats.org/officeDocument/2006/relationships">
  <sheetPr codeName="Sheet11">
    <pageSetUpPr fitToPage="1"/>
  </sheetPr>
  <dimension ref="A1:S57"/>
  <sheetViews>
    <sheetView workbookViewId="0" topLeftCell="A1">
      <selection activeCell="F36" sqref="F36"/>
    </sheetView>
  </sheetViews>
  <sheetFormatPr defaultColWidth="9.140625" defaultRowHeight="12.75"/>
  <cols>
    <col min="1" max="1" width="34.8515625" style="22" customWidth="1"/>
    <col min="2" max="2" width="12.28125" style="22" customWidth="1"/>
    <col min="3" max="3" width="9.7109375" style="22" bestFit="1" customWidth="1"/>
    <col min="4" max="4" width="6.57421875" style="22" bestFit="1" customWidth="1"/>
    <col min="5" max="5" width="10.421875" style="22" bestFit="1" customWidth="1"/>
    <col min="6" max="6" width="11.00390625" style="22" customWidth="1"/>
    <col min="7" max="7" width="8.7109375" style="22" customWidth="1"/>
    <col min="8" max="8" width="26.00390625" style="22" customWidth="1"/>
    <col min="9" max="9" width="7.00390625" style="22" bestFit="1" customWidth="1"/>
    <col min="10" max="10" width="8.7109375" style="22" bestFit="1" customWidth="1"/>
    <col min="11" max="11" width="7.421875" style="22" customWidth="1"/>
    <col min="12" max="12" width="8.7109375" style="22" customWidth="1"/>
    <col min="13" max="13" width="19.28125" style="22" customWidth="1"/>
    <col min="14" max="14" width="11.8515625" style="22" customWidth="1"/>
    <col min="15" max="15" width="14.57421875" style="22" customWidth="1"/>
    <col min="16" max="16" width="9.8515625" style="22" customWidth="1"/>
    <col min="17" max="17" width="12.8515625" style="22" customWidth="1"/>
    <col min="18" max="18" width="12.00390625" style="22" customWidth="1"/>
    <col min="19" max="19" width="13.00390625" style="22" customWidth="1"/>
    <col min="20" max="20" width="11.421875" style="22" customWidth="1"/>
    <col min="21" max="16384" width="8.7109375" style="22" customWidth="1"/>
  </cols>
  <sheetData>
    <row r="1" spans="1:6" ht="15.75">
      <c r="A1" s="381" t="s">
        <v>846</v>
      </c>
      <c r="B1" s="382" t="s">
        <v>847</v>
      </c>
      <c r="C1" s="383" t="s">
        <v>848</v>
      </c>
      <c r="D1" s="526"/>
      <c r="E1" s="526"/>
      <c r="F1" s="526"/>
    </row>
    <row r="2" spans="1:6" ht="18.75" thickBot="1">
      <c r="A2" s="396" t="str">
        <f>'{a}Project &amp; Stage Info'!C3</f>
        <v>Model Development</v>
      </c>
      <c r="B2" s="397">
        <f>'{a}Project &amp; Stage Info'!C5</f>
        <v>38145</v>
      </c>
      <c r="C2" s="398" t="str">
        <f>'{a}Project &amp; Stage Info'!C7</f>
        <v>A1</v>
      </c>
      <c r="D2" s="664"/>
      <c r="E2" s="664"/>
      <c r="F2" s="664"/>
    </row>
    <row r="3" ht="12.75"/>
    <row r="4" ht="18">
      <c r="A4" s="399" t="s">
        <v>428</v>
      </c>
    </row>
    <row r="5" spans="1:8" s="21" customFormat="1" ht="15.75">
      <c r="A5" s="201"/>
      <c r="B5" s="19"/>
      <c r="C5" s="20"/>
      <c r="D5" s="20"/>
      <c r="E5" s="20"/>
      <c r="F5" s="39"/>
      <c r="G5" s="7"/>
      <c r="H5" s="7"/>
    </row>
    <row r="6" spans="1:11" s="7" customFormat="1" ht="15.75" thickBot="1">
      <c r="A6" s="1066"/>
      <c r="B6" s="1067"/>
      <c r="C6" s="1062" t="s">
        <v>1682</v>
      </c>
      <c r="D6" s="2492" t="s">
        <v>766</v>
      </c>
      <c r="E6" s="2492"/>
      <c r="F6" s="157"/>
      <c r="H6" s="769"/>
      <c r="I6" s="769"/>
      <c r="J6" s="769"/>
      <c r="K6" s="769"/>
    </row>
    <row r="7" spans="1:11" ht="13.5" thickTop="1">
      <c r="A7" s="1063" t="s">
        <v>891</v>
      </c>
      <c r="B7" s="1033">
        <f>'{b}Capacity'!B18</f>
        <v>4380.787037037037</v>
      </c>
      <c r="C7" s="1064" t="s">
        <v>99</v>
      </c>
      <c r="D7" s="1065"/>
      <c r="E7" s="1064"/>
      <c r="F7" s="40"/>
      <c r="H7" s="793"/>
      <c r="I7" s="793"/>
      <c r="J7" s="793"/>
      <c r="K7" s="793"/>
    </row>
    <row r="8" spans="1:11" ht="12.75">
      <c r="A8" s="1063" t="s">
        <v>1418</v>
      </c>
      <c r="B8" s="1037">
        <f>B7*60</f>
        <v>262847.22222222225</v>
      </c>
      <c r="C8" s="1034" t="s">
        <v>379</v>
      </c>
      <c r="D8" s="1037">
        <f>B7*60/3.785</f>
        <v>69444.44444444445</v>
      </c>
      <c r="E8" s="1034" t="s">
        <v>100</v>
      </c>
      <c r="F8" s="40"/>
      <c r="H8" s="793"/>
      <c r="I8" s="793"/>
      <c r="J8" s="793"/>
      <c r="K8" s="793"/>
    </row>
    <row r="9" spans="1:11" ht="12.75">
      <c r="A9" s="1036" t="s">
        <v>1419</v>
      </c>
      <c r="B9" s="1034">
        <f>'{c}Report'!D130</f>
        <v>1</v>
      </c>
      <c r="C9" s="1035" t="s">
        <v>1692</v>
      </c>
      <c r="D9" s="1034"/>
      <c r="E9" s="1035"/>
      <c r="F9" s="795"/>
      <c r="H9" s="793"/>
      <c r="I9" s="793"/>
      <c r="J9" s="793"/>
      <c r="K9" s="793"/>
    </row>
    <row r="10" spans="1:19" ht="12.75">
      <c r="A10" s="1036" t="s">
        <v>380</v>
      </c>
      <c r="B10" s="1035">
        <f>B9*B8*((60*24)/1)/1000^2</f>
        <v>378.50000000000006</v>
      </c>
      <c r="C10" s="1035" t="s">
        <v>1771</v>
      </c>
      <c r="D10" s="1038">
        <f>B10*2.2</f>
        <v>832.7000000000002</v>
      </c>
      <c r="E10" s="1035" t="s">
        <v>661</v>
      </c>
      <c r="F10" s="795"/>
      <c r="H10" s="793"/>
      <c r="I10" s="793"/>
      <c r="J10" s="793"/>
      <c r="K10" s="793"/>
      <c r="M10" s="26"/>
      <c r="N10" s="255"/>
      <c r="O10" s="255"/>
      <c r="P10" s="255"/>
      <c r="Q10" s="255"/>
      <c r="R10" s="255"/>
      <c r="S10" s="255"/>
    </row>
    <row r="11" spans="1:19" ht="12.75">
      <c r="A11" s="1036" t="s">
        <v>1401</v>
      </c>
      <c r="B11" s="1034">
        <f>'{c}Report'!D131</f>
        <v>2</v>
      </c>
      <c r="C11" s="1035" t="s">
        <v>381</v>
      </c>
      <c r="D11" s="1035"/>
      <c r="E11" s="1035"/>
      <c r="F11" s="795"/>
      <c r="H11" s="793"/>
      <c r="I11" s="793"/>
      <c r="J11" s="793"/>
      <c r="K11" s="793"/>
      <c r="M11" s="26"/>
      <c r="N11" s="255"/>
      <c r="O11" s="255"/>
      <c r="P11" s="255"/>
      <c r="Q11" s="255"/>
      <c r="R11" s="255"/>
      <c r="S11" s="255"/>
    </row>
    <row r="12" spans="1:19" ht="14.25">
      <c r="A12" s="1036" t="s">
        <v>382</v>
      </c>
      <c r="B12" s="1038">
        <f>IF((B11*B8/1000)&lt;1.05,1.05,B11*B8/1000)</f>
        <v>525.6944444444445</v>
      </c>
      <c r="C12" s="1034" t="s">
        <v>662</v>
      </c>
      <c r="D12" s="1038">
        <f>B12*35.316</f>
        <v>18565.425000000003</v>
      </c>
      <c r="E12" s="1034" t="s">
        <v>663</v>
      </c>
      <c r="F12" s="40"/>
      <c r="H12" s="793"/>
      <c r="I12" s="793"/>
      <c r="J12" s="793"/>
      <c r="K12" s="793"/>
      <c r="M12" s="26"/>
      <c r="N12" s="255"/>
      <c r="O12" s="255"/>
      <c r="P12" s="255"/>
      <c r="Q12" s="255"/>
      <c r="R12" s="255"/>
      <c r="S12" s="255"/>
    </row>
    <row r="13" spans="1:19" ht="12.75">
      <c r="A13" s="1036" t="s">
        <v>664</v>
      </c>
      <c r="B13" s="1037">
        <f>26.5*D10</f>
        <v>22066.550000000003</v>
      </c>
      <c r="C13" s="1039" t="s">
        <v>218</v>
      </c>
      <c r="D13" s="1034"/>
      <c r="E13" s="1034"/>
      <c r="F13" s="1040"/>
      <c r="H13" s="793"/>
      <c r="I13" s="793"/>
      <c r="J13" s="793"/>
      <c r="K13" s="793"/>
      <c r="M13" s="26"/>
      <c r="N13" s="255"/>
      <c r="O13" s="255"/>
      <c r="P13" s="255"/>
      <c r="Q13" s="255"/>
      <c r="R13" s="255"/>
      <c r="S13" s="255"/>
    </row>
    <row r="14" spans="1:19" ht="12.75">
      <c r="A14" s="27"/>
      <c r="B14" s="793"/>
      <c r="C14" s="793"/>
      <c r="D14" s="793"/>
      <c r="E14" s="793"/>
      <c r="F14" s="40"/>
      <c r="G14" s="6"/>
      <c r="H14" s="793"/>
      <c r="I14" s="793"/>
      <c r="J14" s="793"/>
      <c r="K14" s="793"/>
      <c r="M14" s="26"/>
      <c r="N14" s="255"/>
      <c r="O14" s="255"/>
      <c r="P14" s="255"/>
      <c r="Q14" s="255"/>
      <c r="R14" s="255"/>
      <c r="S14" s="255"/>
    </row>
    <row r="15" spans="2:19" ht="13.5" thickBot="1">
      <c r="B15" s="40"/>
      <c r="C15" s="40"/>
      <c r="D15" s="40"/>
      <c r="E15" s="40"/>
      <c r="F15" s="40"/>
      <c r="G15" s="793"/>
      <c r="H15" s="793"/>
      <c r="I15" s="793"/>
      <c r="J15" s="793"/>
      <c r="K15" s="793"/>
      <c r="M15" s="26"/>
      <c r="N15" s="255"/>
      <c r="O15" s="255"/>
      <c r="P15" s="255"/>
      <c r="Q15" s="255"/>
      <c r="R15" s="255"/>
      <c r="S15" s="255"/>
    </row>
    <row r="16" spans="1:19" ht="13.5" thickBot="1">
      <c r="A16" s="45" t="s">
        <v>383</v>
      </c>
      <c r="B16" s="1210">
        <f>C36+J36</f>
        <v>2927245.377046288</v>
      </c>
      <c r="C16" s="796"/>
      <c r="D16" s="796"/>
      <c r="E16" s="796"/>
      <c r="F16" s="796"/>
      <c r="G16" s="793"/>
      <c r="H16" s="793"/>
      <c r="I16" s="793"/>
      <c r="J16" s="793"/>
      <c r="K16" s="793"/>
      <c r="M16" s="26"/>
      <c r="N16" s="255"/>
      <c r="O16" s="255"/>
      <c r="P16" s="255"/>
      <c r="Q16" s="255"/>
      <c r="R16" s="255"/>
      <c r="S16" s="255"/>
    </row>
    <row r="17" spans="1:19" ht="13.5" thickBot="1">
      <c r="A17" s="45"/>
      <c r="B17" s="40"/>
      <c r="C17" s="793"/>
      <c r="D17" s="793"/>
      <c r="E17" s="793"/>
      <c r="F17" s="793"/>
      <c r="G17" s="793"/>
      <c r="H17" s="793"/>
      <c r="I17" s="793"/>
      <c r="J17" s="793"/>
      <c r="K17" s="793"/>
      <c r="M17" s="26"/>
      <c r="N17" s="255"/>
      <c r="O17" s="255"/>
      <c r="P17" s="255"/>
      <c r="Q17" s="255"/>
      <c r="R17" s="255"/>
      <c r="S17" s="255"/>
    </row>
    <row r="18" spans="1:19" ht="13.5" thickBot="1">
      <c r="A18" s="45" t="s">
        <v>384</v>
      </c>
      <c r="B18" s="1210">
        <f>C42</f>
        <v>233063.88020386588</v>
      </c>
      <c r="C18" s="793"/>
      <c r="D18" s="793"/>
      <c r="E18" s="793"/>
      <c r="F18" s="793"/>
      <c r="G18" s="793"/>
      <c r="H18" s="793"/>
      <c r="I18" s="793"/>
      <c r="J18" s="793"/>
      <c r="K18" s="793"/>
      <c r="M18" s="26"/>
      <c r="N18" s="255"/>
      <c r="O18" s="255"/>
      <c r="P18" s="255"/>
      <c r="Q18" s="255"/>
      <c r="R18" s="255"/>
      <c r="S18" s="255"/>
    </row>
    <row r="19" spans="1:19" ht="12.75">
      <c r="A19" s="45"/>
      <c r="B19" s="1805"/>
      <c r="C19" s="793"/>
      <c r="D19" s="793"/>
      <c r="E19" s="793"/>
      <c r="F19" s="793"/>
      <c r="G19" s="793"/>
      <c r="H19" s="793"/>
      <c r="I19" s="793"/>
      <c r="J19" s="793"/>
      <c r="K19" s="793"/>
      <c r="M19" s="26"/>
      <c r="N19" s="255"/>
      <c r="O19" s="255"/>
      <c r="P19" s="255"/>
      <c r="Q19" s="255"/>
      <c r="R19" s="255"/>
      <c r="S19" s="255"/>
    </row>
    <row r="20" spans="1:19" ht="12.75">
      <c r="A20" s="1806" t="s">
        <v>1420</v>
      </c>
      <c r="B20" s="1805"/>
      <c r="C20" s="793"/>
      <c r="D20" s="793"/>
      <c r="E20" s="793"/>
      <c r="F20" s="793"/>
      <c r="G20" s="793"/>
      <c r="H20" s="793"/>
      <c r="I20" s="793"/>
      <c r="J20" s="793"/>
      <c r="K20" s="793"/>
      <c r="M20" s="26"/>
      <c r="N20" s="255"/>
      <c r="O20" s="255"/>
      <c r="P20" s="255"/>
      <c r="Q20" s="255"/>
      <c r="R20" s="255"/>
      <c r="S20" s="255"/>
    </row>
    <row r="21" spans="1:19" ht="12.75">
      <c r="A21" s="45"/>
      <c r="B21" s="1805"/>
      <c r="C21" s="793"/>
      <c r="D21" s="793"/>
      <c r="E21" s="793"/>
      <c r="F21" s="793"/>
      <c r="G21" s="793"/>
      <c r="H21" s="793"/>
      <c r="I21" s="793"/>
      <c r="J21" s="793"/>
      <c r="K21" s="793"/>
      <c r="M21" s="26"/>
      <c r="N21" s="255"/>
      <c r="O21" s="255"/>
      <c r="P21" s="255"/>
      <c r="Q21" s="255"/>
      <c r="R21" s="255"/>
      <c r="S21" s="255"/>
    </row>
    <row r="22" spans="1:19" ht="13.5" thickBot="1">
      <c r="A22" s="28"/>
      <c r="B22" s="797"/>
      <c r="C22" s="40"/>
      <c r="D22" s="40"/>
      <c r="E22" s="40"/>
      <c r="F22" s="40"/>
      <c r="G22" s="793"/>
      <c r="H22" s="793"/>
      <c r="I22" s="793"/>
      <c r="J22" s="793"/>
      <c r="K22" s="793"/>
      <c r="M22" s="26"/>
      <c r="P22" s="255"/>
      <c r="Q22" s="255"/>
      <c r="R22" s="255"/>
      <c r="S22" s="255"/>
    </row>
    <row r="23" spans="1:19" s="19" customFormat="1" ht="15.75">
      <c r="A23" s="788" t="s">
        <v>375</v>
      </c>
      <c r="B23" s="789"/>
      <c r="C23" s="789"/>
      <c r="D23" s="789"/>
      <c r="E23" s="789"/>
      <c r="F23" s="790"/>
      <c r="G23" s="798"/>
      <c r="H23" s="788" t="s">
        <v>376</v>
      </c>
      <c r="I23" s="789"/>
      <c r="J23" s="789"/>
      <c r="K23" s="790"/>
      <c r="M23" s="791"/>
      <c r="P23" s="792"/>
      <c r="Q23" s="792"/>
      <c r="R23" s="792"/>
      <c r="S23" s="792"/>
    </row>
    <row r="24" spans="1:19" ht="12.75">
      <c r="A24" s="784"/>
      <c r="B24" s="765"/>
      <c r="C24" s="765"/>
      <c r="D24" s="48"/>
      <c r="E24" s="2547" t="s">
        <v>1786</v>
      </c>
      <c r="F24" s="2548"/>
      <c r="G24" s="769"/>
      <c r="H24" s="799"/>
      <c r="I24" s="765"/>
      <c r="J24" s="765"/>
      <c r="K24" s="766"/>
      <c r="M24" s="26"/>
      <c r="N24" s="255"/>
      <c r="O24" s="255"/>
      <c r="P24" s="255"/>
      <c r="Q24" s="255"/>
      <c r="R24" s="255"/>
      <c r="S24" s="255"/>
    </row>
    <row r="25" spans="1:19" ht="13.5" thickBot="1">
      <c r="A25" s="784"/>
      <c r="B25" s="765"/>
      <c r="C25" s="765"/>
      <c r="D25" s="52"/>
      <c r="E25" s="834" t="s">
        <v>1785</v>
      </c>
      <c r="F25" s="865" t="s">
        <v>177</v>
      </c>
      <c r="G25" s="769"/>
      <c r="H25" s="799"/>
      <c r="I25" s="765"/>
      <c r="J25" s="765"/>
      <c r="K25" s="766"/>
      <c r="M25" s="26"/>
      <c r="N25" s="255"/>
      <c r="O25" s="255"/>
      <c r="P25" s="255"/>
      <c r="Q25" s="255"/>
      <c r="R25" s="255"/>
      <c r="S25" s="255"/>
    </row>
    <row r="26" spans="1:19" ht="14.25" thickBot="1" thickTop="1">
      <c r="A26" s="785" t="s">
        <v>378</v>
      </c>
      <c r="B26" s="800">
        <f>B10</f>
        <v>378.50000000000006</v>
      </c>
      <c r="C26" s="801" t="s">
        <v>1771</v>
      </c>
      <c r="D26" s="1004"/>
      <c r="E26" s="1132">
        <v>4</v>
      </c>
      <c r="F26" s="1133">
        <v>1800</v>
      </c>
      <c r="G26" s="802"/>
      <c r="H26" s="803"/>
      <c r="I26" s="40"/>
      <c r="J26" s="40"/>
      <c r="K26" s="794"/>
      <c r="M26" s="26"/>
      <c r="N26" s="255"/>
      <c r="O26" s="255"/>
      <c r="P26" s="255"/>
      <c r="Q26" s="255"/>
      <c r="R26" s="255"/>
      <c r="S26" s="255"/>
    </row>
    <row r="27" spans="1:11" ht="12.75">
      <c r="A27" s="786"/>
      <c r="B27" s="303"/>
      <c r="C27" s="303"/>
      <c r="D27" s="303"/>
      <c r="E27" s="1743" t="s">
        <v>1591</v>
      </c>
      <c r="F27" s="1766"/>
      <c r="G27" s="1767"/>
      <c r="H27" s="1768"/>
      <c r="I27" s="40"/>
      <c r="J27" s="40"/>
      <c r="K27" s="794"/>
    </row>
    <row r="28" spans="1:11" ht="13.5" thickBot="1">
      <c r="A28" s="41"/>
      <c r="B28" s="303"/>
      <c r="C28" s="40"/>
      <c r="D28" s="40"/>
      <c r="E28" s="40"/>
      <c r="F28" s="794"/>
      <c r="G28" s="804"/>
      <c r="H28" s="803"/>
      <c r="I28" s="303"/>
      <c r="J28" s="40"/>
      <c r="K28" s="794"/>
    </row>
    <row r="29" spans="1:11" ht="13.5" thickBot="1">
      <c r="A29" s="777" t="s">
        <v>187</v>
      </c>
      <c r="B29" s="781" t="s">
        <v>132</v>
      </c>
      <c r="C29" s="1198">
        <f>18631.2*B26^0.674*EXP(-0.000121*B26)</f>
        <v>972673.7549835724</v>
      </c>
      <c r="D29" s="311"/>
      <c r="E29" s="311"/>
      <c r="F29" s="763"/>
      <c r="G29" s="806"/>
      <c r="H29" s="808" t="s">
        <v>288</v>
      </c>
      <c r="I29" s="781" t="s">
        <v>132</v>
      </c>
      <c r="J29" s="1198">
        <f>I47*B12^I48-I49</f>
        <v>72735.18165977298</v>
      </c>
      <c r="K29" s="794"/>
    </row>
    <row r="30" spans="1:11" ht="13.5" thickTop="1">
      <c r="A30" s="1134" t="s">
        <v>1072</v>
      </c>
      <c r="B30" s="1294">
        <v>0.81</v>
      </c>
      <c r="C30" s="1199">
        <f>C$29*$B30*'{d}Cost Index'!$D10</f>
        <v>2186390.585620836</v>
      </c>
      <c r="D30" s="311"/>
      <c r="E30" s="311"/>
      <c r="F30" s="763"/>
      <c r="G30" s="805"/>
      <c r="H30" s="1148" t="s">
        <v>1757</v>
      </c>
      <c r="I30" s="1294">
        <v>0</v>
      </c>
      <c r="J30" s="1199">
        <f>J$29*$I30*'{d}Cost Index'!$D10</f>
        <v>0</v>
      </c>
      <c r="K30" s="794"/>
    </row>
    <row r="31" spans="1:11" ht="12.75">
      <c r="A31" s="1045" t="s">
        <v>1063</v>
      </c>
      <c r="B31" s="1295">
        <v>0.03</v>
      </c>
      <c r="C31" s="1200">
        <f>C$29*$B31*'{d}Cost Index'!D13</f>
        <v>75655.64328255727</v>
      </c>
      <c r="D31" s="311"/>
      <c r="E31" s="311"/>
      <c r="F31" s="763"/>
      <c r="G31" s="805"/>
      <c r="H31" s="1149" t="s">
        <v>1761</v>
      </c>
      <c r="I31" s="1295">
        <v>0</v>
      </c>
      <c r="J31" s="1200">
        <f>J$29*$I31*'{d}Cost Index'!$D13</f>
        <v>0</v>
      </c>
      <c r="K31" s="794"/>
    </row>
    <row r="32" spans="1:11" ht="12.75">
      <c r="A32" s="1137" t="s">
        <v>1064</v>
      </c>
      <c r="B32" s="1295">
        <v>0.16</v>
      </c>
      <c r="C32" s="1200">
        <f>C$29*$B32*'{d}Cost Index'!D14</f>
        <v>470344.4636658316</v>
      </c>
      <c r="D32" s="311"/>
      <c r="E32" s="311"/>
      <c r="F32" s="763"/>
      <c r="G32" s="805"/>
      <c r="H32" s="1149" t="s">
        <v>1756</v>
      </c>
      <c r="I32" s="1295">
        <f>0.06+0.44</f>
        <v>0.5</v>
      </c>
      <c r="J32" s="1200">
        <f>J$29*$I32*'{d}Cost Index'!$D14</f>
        <v>109911.56410397767</v>
      </c>
      <c r="K32" s="794"/>
    </row>
    <row r="33" spans="1:11" ht="12.75">
      <c r="A33" s="1045" t="s">
        <v>1073</v>
      </c>
      <c r="B33" s="1295">
        <v>0</v>
      </c>
      <c r="C33" s="1200">
        <f>C$29*$B33*'{d}Cost Index'!D16</f>
        <v>0</v>
      </c>
      <c r="D33" s="311"/>
      <c r="E33" s="311"/>
      <c r="F33" s="763"/>
      <c r="G33" s="805"/>
      <c r="H33" s="1149" t="s">
        <v>1760</v>
      </c>
      <c r="I33" s="1295">
        <v>0</v>
      </c>
      <c r="J33" s="1200">
        <f>J$29*$I33*'{d}Cost Index'!$D16</f>
        <v>0</v>
      </c>
      <c r="K33" s="794"/>
    </row>
    <row r="34" spans="1:11" ht="12.75">
      <c r="A34" s="1045" t="s">
        <v>1066</v>
      </c>
      <c r="B34" s="1295">
        <v>0</v>
      </c>
      <c r="C34" s="1200">
        <f>C$29*$B34*'{d}Cost Index'!D19</f>
        <v>0</v>
      </c>
      <c r="D34" s="311"/>
      <c r="E34" s="311"/>
      <c r="F34" s="763"/>
      <c r="G34" s="805"/>
      <c r="H34" s="1149" t="s">
        <v>1759</v>
      </c>
      <c r="I34" s="1295">
        <v>0.31</v>
      </c>
      <c r="J34" s="1200">
        <f>J$29*$I34*'{d}Cost Index'!$D19</f>
        <v>57910.70661837234</v>
      </c>
      <c r="K34" s="794"/>
    </row>
    <row r="35" spans="1:11" ht="13.5" thickBot="1">
      <c r="A35" s="1138" t="s">
        <v>1067</v>
      </c>
      <c r="B35" s="1296">
        <v>0</v>
      </c>
      <c r="C35" s="1201">
        <f>C$29*$B35*'{d}Cost Index'!D18</f>
        <v>0</v>
      </c>
      <c r="D35" s="311"/>
      <c r="E35" s="311"/>
      <c r="F35" s="763"/>
      <c r="G35" s="805"/>
      <c r="H35" s="1150" t="s">
        <v>1758</v>
      </c>
      <c r="I35" s="1296">
        <v>0.19</v>
      </c>
      <c r="J35" s="1201">
        <f>J$29*$I35*'{d}Cost Index'!$D18</f>
        <v>27032.413754712976</v>
      </c>
      <c r="K35" s="794"/>
    </row>
    <row r="36" spans="1:11" ht="13.5" thickBot="1">
      <c r="A36" s="758" t="str">
        <f>TEXT(IndexDate,"mmmm, yyyy")&amp;" Capital Cost $:"</f>
        <v>November, 2006 Capital Cost $:</v>
      </c>
      <c r="B36" s="782">
        <f>SUM(B30:B35)</f>
        <v>1</v>
      </c>
      <c r="C36" s="1203">
        <f>SUM(C30:C35)</f>
        <v>2732390.692569225</v>
      </c>
      <c r="D36" s="775"/>
      <c r="E36" s="775"/>
      <c r="F36" s="868"/>
      <c r="G36" s="805"/>
      <c r="H36" s="807" t="str">
        <f>$G$29&amp;"  Capital Cost:"</f>
        <v>  Capital Cost:</v>
      </c>
      <c r="I36" s="782">
        <f>SUM(I30:I35)</f>
        <v>1</v>
      </c>
      <c r="J36" s="1203">
        <f>SUM(J30:J35)</f>
        <v>194854.68447706295</v>
      </c>
      <c r="K36" s="794"/>
    </row>
    <row r="37" spans="1:11" ht="13.5" thickBot="1">
      <c r="A37" s="163"/>
      <c r="B37" s="40"/>
      <c r="C37" s="40"/>
      <c r="D37" s="40"/>
      <c r="E37" s="40"/>
      <c r="F37" s="794"/>
      <c r="G37" s="794"/>
      <c r="H37" s="803"/>
      <c r="I37" s="40"/>
      <c r="J37" s="40"/>
      <c r="K37" s="794"/>
    </row>
    <row r="38" spans="1:11" ht="13.5" thickBot="1">
      <c r="A38" s="778" t="s">
        <v>188</v>
      </c>
      <c r="B38" s="781" t="s">
        <v>132</v>
      </c>
      <c r="C38" s="1198">
        <f>392.4*B26^0.919+6800</f>
        <v>98627.24312645577</v>
      </c>
      <c r="D38" s="311"/>
      <c r="E38" s="311"/>
      <c r="F38" s="763"/>
      <c r="G38" s="805"/>
      <c r="H38" s="803"/>
      <c r="I38" s="40"/>
      <c r="J38" s="40"/>
      <c r="K38" s="794"/>
    </row>
    <row r="39" spans="1:11" ht="13.5" thickTop="1">
      <c r="A39" s="1134" t="s">
        <v>1495</v>
      </c>
      <c r="B39" s="1297">
        <v>0.11</v>
      </c>
      <c r="C39" s="1199">
        <f>C$38*$B39*'{d}Cost Index'!D17</f>
        <v>22580.485867581</v>
      </c>
      <c r="D39" s="311"/>
      <c r="E39" s="311"/>
      <c r="F39" s="763"/>
      <c r="G39" s="805"/>
      <c r="H39" s="803"/>
      <c r="I39" s="40"/>
      <c r="J39" s="40"/>
      <c r="K39" s="794"/>
    </row>
    <row r="40" spans="1:11" ht="12.75">
      <c r="A40" s="1045" t="s">
        <v>1494</v>
      </c>
      <c r="B40" s="1298">
        <v>0.77</v>
      </c>
      <c r="C40" s="1200">
        <f>C$38*$B40*'{d}Cost Index'!D21</f>
        <v>177200.28015053223</v>
      </c>
      <c r="D40" s="311"/>
      <c r="E40" s="311"/>
      <c r="F40" s="763"/>
      <c r="G40" s="805"/>
      <c r="H40" s="803"/>
      <c r="I40" s="40"/>
      <c r="J40" s="40"/>
      <c r="K40" s="794"/>
    </row>
    <row r="41" spans="1:11" ht="13.5" thickBot="1">
      <c r="A41" s="1138" t="s">
        <v>210</v>
      </c>
      <c r="B41" s="1296">
        <v>0.12</v>
      </c>
      <c r="C41" s="1201">
        <f>C$38*$B41*'{d}Cost Index'!D11</f>
        <v>33283.11418575264</v>
      </c>
      <c r="D41" s="311"/>
      <c r="E41" s="311"/>
      <c r="F41" s="763"/>
      <c r="G41" s="805"/>
      <c r="H41" s="803"/>
      <c r="I41" s="40"/>
      <c r="J41" s="40"/>
      <c r="K41" s="794"/>
    </row>
    <row r="42" spans="1:11" ht="13.5" thickBot="1">
      <c r="A42" s="127" t="str">
        <f>TEXT(IndexDate,"mmmm, yyyy")&amp;"  Operation &amp; Maintenance $:"</f>
        <v>November, 2006  Operation &amp; Maintenance $:</v>
      </c>
      <c r="B42" s="782">
        <f>SUM(B39:B41)</f>
        <v>1</v>
      </c>
      <c r="C42" s="1203">
        <f>SUM(C39:C41)</f>
        <v>233063.88020386588</v>
      </c>
      <c r="D42" s="775"/>
      <c r="E42" s="775"/>
      <c r="F42" s="868"/>
      <c r="G42" s="805"/>
      <c r="H42" s="803"/>
      <c r="I42" s="40"/>
      <c r="J42" s="40"/>
      <c r="K42" s="794"/>
    </row>
    <row r="43" spans="1:11" ht="13.5" thickBot="1">
      <c r="A43" s="41"/>
      <c r="B43" s="40"/>
      <c r="C43" s="40"/>
      <c r="D43" s="40"/>
      <c r="E43" s="40"/>
      <c r="F43" s="794"/>
      <c r="G43" s="793"/>
      <c r="H43" s="803"/>
      <c r="I43" s="40"/>
      <c r="J43" s="40"/>
      <c r="K43" s="794"/>
    </row>
    <row r="44" spans="1:11" ht="12.75">
      <c r="A44" s="844" t="s">
        <v>1794</v>
      </c>
      <c r="B44" s="845"/>
      <c r="C44" s="40"/>
      <c r="D44" s="40"/>
      <c r="E44" s="40"/>
      <c r="F44" s="794"/>
      <c r="G44" s="793"/>
      <c r="H44" s="844" t="s">
        <v>1795</v>
      </c>
      <c r="I44" s="845"/>
      <c r="J44" s="40"/>
      <c r="K44" s="794"/>
    </row>
    <row r="45" spans="1:11" ht="12.75">
      <c r="A45" s="841" t="s">
        <v>1767</v>
      </c>
      <c r="B45" s="794"/>
      <c r="C45" s="40"/>
      <c r="D45" s="40"/>
      <c r="E45" s="40"/>
      <c r="F45" s="794"/>
      <c r="G45" s="793"/>
      <c r="H45" s="182" t="s">
        <v>1767</v>
      </c>
      <c r="I45" s="794"/>
      <c r="J45" s="40"/>
      <c r="K45" s="794"/>
    </row>
    <row r="46" spans="1:11" ht="12.75">
      <c r="A46" s="41" t="s">
        <v>392</v>
      </c>
      <c r="B46" s="794"/>
      <c r="C46" s="40"/>
      <c r="D46" s="40"/>
      <c r="E46" s="40"/>
      <c r="F46" s="794"/>
      <c r="G46" s="793"/>
      <c r="H46" s="803" t="s">
        <v>393</v>
      </c>
      <c r="I46" s="794"/>
      <c r="J46" s="40"/>
      <c r="K46" s="794"/>
    </row>
    <row r="47" spans="1:11" ht="12.75">
      <c r="A47" s="41" t="s">
        <v>335</v>
      </c>
      <c r="B47" s="794">
        <v>18631.2</v>
      </c>
      <c r="C47" s="40"/>
      <c r="D47" s="40"/>
      <c r="E47" s="40"/>
      <c r="F47" s="794"/>
      <c r="G47" s="793"/>
      <c r="H47" s="41" t="s">
        <v>335</v>
      </c>
      <c r="I47" s="42">
        <v>1771.4</v>
      </c>
      <c r="J47" s="40"/>
      <c r="K47" s="794"/>
    </row>
    <row r="48" spans="1:11" ht="12.75">
      <c r="A48" s="41" t="s">
        <v>336</v>
      </c>
      <c r="B48" s="42">
        <v>0.674</v>
      </c>
      <c r="C48" s="27"/>
      <c r="D48" s="27"/>
      <c r="E48" s="27"/>
      <c r="F48" s="42"/>
      <c r="H48" s="41" t="s">
        <v>336</v>
      </c>
      <c r="I48" s="42">
        <v>0.5967</v>
      </c>
      <c r="J48" s="27"/>
      <c r="K48" s="42"/>
    </row>
    <row r="49" spans="1:11" ht="12.75">
      <c r="A49" s="41" t="s">
        <v>337</v>
      </c>
      <c r="B49" s="42">
        <v>-0.000121</v>
      </c>
      <c r="C49" s="27"/>
      <c r="D49" s="27"/>
      <c r="E49" s="27"/>
      <c r="F49" s="42"/>
      <c r="H49" s="41" t="s">
        <v>337</v>
      </c>
      <c r="I49" s="42">
        <v>1700</v>
      </c>
      <c r="J49" s="27"/>
      <c r="K49" s="42"/>
    </row>
    <row r="50" spans="1:11" ht="12.75">
      <c r="A50" s="787"/>
      <c r="B50" s="842"/>
      <c r="C50" s="27"/>
      <c r="D50" s="27"/>
      <c r="E50" s="27"/>
      <c r="F50" s="42"/>
      <c r="H50" s="787"/>
      <c r="I50" s="842"/>
      <c r="J50" s="27"/>
      <c r="K50" s="42"/>
    </row>
    <row r="51" spans="1:11" ht="12.75">
      <c r="A51" s="841" t="s">
        <v>394</v>
      </c>
      <c r="B51" s="42"/>
      <c r="C51" s="27"/>
      <c r="D51" s="27"/>
      <c r="E51" s="27"/>
      <c r="F51" s="42"/>
      <c r="H51" s="841" t="s">
        <v>1796</v>
      </c>
      <c r="I51" s="42"/>
      <c r="J51" s="27"/>
      <c r="K51" s="42"/>
    </row>
    <row r="52" spans="1:11" ht="12.75">
      <c r="A52" s="41" t="s">
        <v>395</v>
      </c>
      <c r="B52" s="42"/>
      <c r="C52" s="27"/>
      <c r="D52" s="27"/>
      <c r="E52" s="27"/>
      <c r="F52" s="42"/>
      <c r="H52" s="41"/>
      <c r="I52" s="42"/>
      <c r="J52" s="27"/>
      <c r="K52" s="42"/>
    </row>
    <row r="53" spans="1:11" ht="12.75">
      <c r="A53" s="41" t="s">
        <v>335</v>
      </c>
      <c r="B53" s="42">
        <v>392.4</v>
      </c>
      <c r="C53" s="27"/>
      <c r="D53" s="27"/>
      <c r="E53" s="27"/>
      <c r="F53" s="42"/>
      <c r="H53" s="41"/>
      <c r="I53" s="42"/>
      <c r="J53" s="27"/>
      <c r="K53" s="42"/>
    </row>
    <row r="54" spans="1:11" ht="12.75">
      <c r="A54" s="41" t="s">
        <v>336</v>
      </c>
      <c r="B54" s="42">
        <v>0.919</v>
      </c>
      <c r="C54" s="27"/>
      <c r="D54" s="27"/>
      <c r="E54" s="27"/>
      <c r="F54" s="42"/>
      <c r="H54" s="41"/>
      <c r="I54" s="42"/>
      <c r="J54" s="27"/>
      <c r="K54" s="42"/>
    </row>
    <row r="55" spans="1:11" ht="12.75">
      <c r="A55" s="41" t="s">
        <v>337</v>
      </c>
      <c r="B55" s="42">
        <v>6800</v>
      </c>
      <c r="C55" s="27"/>
      <c r="D55" s="27"/>
      <c r="E55" s="27"/>
      <c r="F55" s="42"/>
      <c r="H55" s="41"/>
      <c r="I55" s="42"/>
      <c r="J55" s="27"/>
      <c r="K55" s="42"/>
    </row>
    <row r="56" spans="1:11" ht="13.5" thickBot="1">
      <c r="A56" s="43"/>
      <c r="B56" s="44"/>
      <c r="C56" s="27"/>
      <c r="D56" s="27"/>
      <c r="E56" s="27"/>
      <c r="F56" s="42"/>
      <c r="H56" s="43"/>
      <c r="I56" s="44"/>
      <c r="J56" s="27"/>
      <c r="K56" s="42"/>
    </row>
    <row r="57" spans="1:11" ht="13.5" thickBot="1">
      <c r="A57" s="1761" t="s">
        <v>1793</v>
      </c>
      <c r="B57" s="1762"/>
      <c r="C57" s="25"/>
      <c r="D57" s="25"/>
      <c r="E57" s="25"/>
      <c r="F57" s="44"/>
      <c r="H57" s="1761" t="s">
        <v>1793</v>
      </c>
      <c r="I57" s="1762"/>
      <c r="J57" s="1762"/>
      <c r="K57" s="1763"/>
    </row>
  </sheetData>
  <mergeCells count="2">
    <mergeCell ref="D6:E6"/>
    <mergeCell ref="E24:F24"/>
  </mergeCells>
  <printOptions horizontalCentered="1" verticalCentered="1"/>
  <pageMargins left="1.51" right="0.75" top="1" bottom="1" header="0.5" footer="0.5"/>
  <pageSetup fitToHeight="1" fitToWidth="1" orientation="landscape" scale="67" r:id="rId3"/>
  <headerFooter alignWithMargins="0">
    <oddHeader>&amp;C&amp;A</oddHeader>
    <oddFooter>&amp;CWater Treatment Cost Estimation Program</oddFooter>
  </headerFooter>
  <colBreaks count="1" manualBreakCount="1">
    <brk id="6" max="65535" man="1"/>
  </colBreaks>
  <legacyDrawing r:id="rId2"/>
</worksheet>
</file>

<file path=xl/worksheets/sheet24.xml><?xml version="1.0" encoding="utf-8"?>
<worksheet xmlns="http://schemas.openxmlformats.org/spreadsheetml/2006/main" xmlns:r="http://schemas.openxmlformats.org/officeDocument/2006/relationships">
  <sheetPr codeName="Sheet18"/>
  <dimension ref="A1:AB64"/>
  <sheetViews>
    <sheetView workbookViewId="0" topLeftCell="L1">
      <selection activeCell="M44" sqref="M44"/>
    </sheetView>
  </sheetViews>
  <sheetFormatPr defaultColWidth="9.140625" defaultRowHeight="12.75"/>
  <cols>
    <col min="1" max="1" width="36.00390625" style="123" customWidth="1"/>
    <col min="2" max="2" width="13.00390625" style="123" customWidth="1"/>
    <col min="3" max="3" width="11.28125" style="123" bestFit="1" customWidth="1"/>
    <col min="4" max="4" width="5.140625" style="123" bestFit="1" customWidth="1"/>
    <col min="5" max="6" width="10.421875" style="123" bestFit="1" customWidth="1"/>
    <col min="7" max="7" width="7.00390625" style="123" customWidth="1"/>
    <col min="8" max="8" width="6.7109375" style="123" customWidth="1"/>
    <col min="9" max="9" width="7.140625" style="123" bestFit="1" customWidth="1"/>
    <col min="10" max="10" width="7.421875" style="123" customWidth="1"/>
    <col min="11" max="11" width="8.57421875" style="123" customWidth="1"/>
    <col min="12" max="12" width="5.28125" style="123" bestFit="1" customWidth="1"/>
    <col min="13" max="13" width="10.421875" style="123" bestFit="1" customWidth="1"/>
    <col min="14" max="14" width="9.140625" style="123" customWidth="1"/>
    <col min="15" max="15" width="11.00390625" style="123" customWidth="1"/>
    <col min="16" max="22" width="9.140625" style="123" customWidth="1"/>
    <col min="23" max="23" width="19.8515625" style="123" customWidth="1"/>
    <col min="24" max="24" width="20.00390625" style="123" customWidth="1"/>
    <col min="25" max="25" width="14.421875" style="123" customWidth="1"/>
    <col min="26" max="26" width="12.28125" style="123" customWidth="1"/>
    <col min="27" max="16384" width="9.140625" style="123" customWidth="1"/>
  </cols>
  <sheetData>
    <row r="1" spans="1:6" ht="15.75">
      <c r="A1" s="381" t="s">
        <v>846</v>
      </c>
      <c r="B1" s="382" t="s">
        <v>847</v>
      </c>
      <c r="C1" s="383" t="s">
        <v>848</v>
      </c>
      <c r="E1" s="526"/>
      <c r="F1" s="526"/>
    </row>
    <row r="2" spans="1:6" ht="18.75" thickBot="1">
      <c r="A2" s="396" t="str">
        <f>'{a}Project &amp; Stage Info'!C3</f>
        <v>Model Development</v>
      </c>
      <c r="B2" s="397">
        <f>'{a}Project &amp; Stage Info'!C5</f>
        <v>38145</v>
      </c>
      <c r="C2" s="398" t="str">
        <f>'{a}Project &amp; Stage Info'!C7</f>
        <v>A1</v>
      </c>
      <c r="E2" s="664"/>
      <c r="F2" s="664"/>
    </row>
    <row r="4" ht="18">
      <c r="A4" s="384" t="s">
        <v>429</v>
      </c>
    </row>
    <row r="5" ht="12.75" customHeight="1">
      <c r="A5" s="384"/>
    </row>
    <row r="6" spans="13:17" ht="12.75">
      <c r="M6" s="123" t="s">
        <v>498</v>
      </c>
      <c r="N6" s="123" t="s">
        <v>499</v>
      </c>
      <c r="O6" s="123" t="s">
        <v>500</v>
      </c>
      <c r="P6" s="123" t="s">
        <v>501</v>
      </c>
      <c r="Q6" s="123" t="s">
        <v>16</v>
      </c>
    </row>
    <row r="7" spans="1:16" ht="13.5" thickBot="1">
      <c r="A7" s="124"/>
      <c r="L7" s="205" t="s">
        <v>503</v>
      </c>
      <c r="M7" s="1136">
        <v>1</v>
      </c>
      <c r="N7" s="1136">
        <v>1</v>
      </c>
      <c r="O7" s="1136">
        <v>4</v>
      </c>
      <c r="P7" s="1136">
        <v>3</v>
      </c>
    </row>
    <row r="8" spans="1:16" ht="12.75" customHeight="1">
      <c r="A8" s="502" t="s">
        <v>1817</v>
      </c>
      <c r="B8" s="747">
        <f>'{b}Capacity'!B32</f>
        <v>5153.867102396514</v>
      </c>
      <c r="C8" s="747" t="s">
        <v>1</v>
      </c>
      <c r="G8" s="2553" t="s">
        <v>13</v>
      </c>
      <c r="H8" s="2554"/>
      <c r="I8" s="2553" t="s">
        <v>14</v>
      </c>
      <c r="J8" s="2554"/>
      <c r="L8" s="205" t="s">
        <v>504</v>
      </c>
      <c r="M8" s="380">
        <f>MIN(D$13,D$14,(D$15+D$16)/4)</f>
        <v>0</v>
      </c>
      <c r="N8" s="205"/>
      <c r="O8" s="205"/>
      <c r="P8" s="205"/>
    </row>
    <row r="9" spans="6:16" ht="12.75" customHeight="1" thickBot="1">
      <c r="F9" s="124"/>
      <c r="G9" s="2555"/>
      <c r="H9" s="2556"/>
      <c r="I9" s="2555"/>
      <c r="J9" s="2556"/>
      <c r="L9" s="205" t="s">
        <v>505</v>
      </c>
      <c r="M9" s="207">
        <f>M7*$M$8</f>
        <v>0</v>
      </c>
      <c r="N9" s="207">
        <f>N7*$M$8</f>
        <v>0</v>
      </c>
      <c r="O9" s="207">
        <f>O7*$M$8</f>
        <v>0</v>
      </c>
      <c r="P9" s="207">
        <f>P7*$M$8</f>
        <v>0</v>
      </c>
    </row>
    <row r="10" spans="2:16" ht="13.5" thickBot="1">
      <c r="B10" s="204"/>
      <c r="C10" s="204"/>
      <c r="E10" s="124"/>
      <c r="F10" s="1055" t="s">
        <v>1484</v>
      </c>
      <c r="G10" s="1053">
        <v>0.9</v>
      </c>
      <c r="H10" s="1054"/>
      <c r="I10" s="1053">
        <v>0.58</v>
      </c>
      <c r="J10" s="184"/>
      <c r="L10" s="205" t="s">
        <v>1692</v>
      </c>
      <c r="M10" s="208">
        <f>M9*24.3</f>
        <v>0</v>
      </c>
      <c r="N10" s="208">
        <f>40*N9</f>
        <v>0</v>
      </c>
      <c r="O10" s="208">
        <f>O9*61</f>
        <v>0</v>
      </c>
      <c r="P10" s="208">
        <f>P9*74</f>
        <v>0</v>
      </c>
    </row>
    <row r="11" spans="6:10" ht="12.75">
      <c r="F11" s="1484"/>
      <c r="G11" s="1485"/>
      <c r="H11" s="1486"/>
      <c r="I11" s="1485"/>
      <c r="J11" s="876"/>
    </row>
    <row r="12" spans="1:28" ht="13.5" thickBot="1">
      <c r="A12" s="1061" t="s">
        <v>444</v>
      </c>
      <c r="B12" s="819"/>
      <c r="C12" s="1062" t="s">
        <v>1682</v>
      </c>
      <c r="D12" s="2492" t="s">
        <v>766</v>
      </c>
      <c r="E12" s="2492"/>
      <c r="F12" s="1480"/>
      <c r="G12" s="1481"/>
      <c r="H12" s="1482"/>
      <c r="I12" s="1481"/>
      <c r="J12" s="1483"/>
      <c r="M12" s="123" t="s">
        <v>498</v>
      </c>
      <c r="N12" s="123" t="s">
        <v>499</v>
      </c>
      <c r="O12" s="123" t="s">
        <v>500</v>
      </c>
      <c r="P12" s="123" t="s">
        <v>501</v>
      </c>
      <c r="Q12" s="123" t="s">
        <v>508</v>
      </c>
      <c r="V12" s="133"/>
      <c r="W12" s="133"/>
      <c r="X12" s="177"/>
      <c r="Y12" s="177"/>
      <c r="Z12" s="176"/>
      <c r="AA12" s="176"/>
      <c r="AB12" s="133"/>
    </row>
    <row r="13" spans="1:28" ht="13.5" thickTop="1">
      <c r="A13" s="1060" t="s">
        <v>494</v>
      </c>
      <c r="B13" s="1041">
        <f>'{e}H20 Analysis'!$C$16</f>
        <v>2.1</v>
      </c>
      <c r="C13" s="1041" t="s">
        <v>1692</v>
      </c>
      <c r="D13" s="1041">
        <f>B13/40</f>
        <v>0.052500000000000005</v>
      </c>
      <c r="E13" s="1060" t="s">
        <v>401</v>
      </c>
      <c r="F13" s="1477"/>
      <c r="G13" s="1478"/>
      <c r="H13" s="1479"/>
      <c r="I13" s="1478">
        <f>O20</f>
        <v>0</v>
      </c>
      <c r="J13" s="1479" t="s">
        <v>1692</v>
      </c>
      <c r="L13" s="205" t="s">
        <v>503</v>
      </c>
      <c r="M13" s="1136">
        <v>1</v>
      </c>
      <c r="N13" s="1136">
        <v>1</v>
      </c>
      <c r="O13" s="1136">
        <v>2</v>
      </c>
      <c r="P13" s="1136">
        <f>IF(O14=0,0,IF(M14=0,1,2))</f>
        <v>1</v>
      </c>
      <c r="V13" s="133"/>
      <c r="X13" s="133"/>
      <c r="Y13" s="133"/>
      <c r="Z13" s="176"/>
      <c r="AA13" s="176"/>
      <c r="AB13" s="133"/>
    </row>
    <row r="14" spans="1:28" ht="12.75">
      <c r="A14" s="502" t="s">
        <v>495</v>
      </c>
      <c r="B14" s="1042">
        <f>'{e}H20 Analysis'!$C$21</f>
        <v>0</v>
      </c>
      <c r="C14" s="1042" t="s">
        <v>1692</v>
      </c>
      <c r="D14" s="1042">
        <f>B14/24.3</f>
        <v>0</v>
      </c>
      <c r="E14" s="502" t="s">
        <v>401</v>
      </c>
      <c r="F14" s="1056"/>
      <c r="G14" s="1046">
        <f>P10</f>
        <v>0</v>
      </c>
      <c r="H14" s="1047" t="s">
        <v>1692</v>
      </c>
      <c r="I14" s="1046"/>
      <c r="J14" s="1047"/>
      <c r="L14" s="205" t="s">
        <v>505</v>
      </c>
      <c r="M14" s="207">
        <f>M13*(D14-$M$8)</f>
        <v>0</v>
      </c>
      <c r="N14" s="207">
        <f>N13*(D13-$M$8)</f>
        <v>0.052500000000000005</v>
      </c>
      <c r="O14" s="207">
        <f>O13*(D15+D16-$M$8)</f>
        <v>5.935730253353205</v>
      </c>
      <c r="P14" s="207">
        <f>P13*$M$8</f>
        <v>0</v>
      </c>
      <c r="V14" s="133"/>
      <c r="X14" s="133"/>
      <c r="Y14" s="133"/>
      <c r="Z14" s="176"/>
      <c r="AA14" s="176"/>
      <c r="AB14" s="133"/>
    </row>
    <row r="15" spans="1:28" ht="12.75">
      <c r="A15" s="502" t="s">
        <v>496</v>
      </c>
      <c r="B15" s="1042">
        <f>'{e}H20 Analysis'!$C$31</f>
        <v>180</v>
      </c>
      <c r="C15" s="1042" t="s">
        <v>1692</v>
      </c>
      <c r="D15" s="1042">
        <f>B15/61</f>
        <v>2.9508196721311477</v>
      </c>
      <c r="E15" s="502" t="s">
        <v>401</v>
      </c>
      <c r="F15" s="1056"/>
      <c r="G15" s="1046">
        <f>P15</f>
        <v>0</v>
      </c>
      <c r="H15" s="1047" t="s">
        <v>1692</v>
      </c>
      <c r="I15" s="1046"/>
      <c r="J15" s="1047"/>
      <c r="L15" s="205" t="s">
        <v>1692</v>
      </c>
      <c r="M15" s="208">
        <f>M14*24.3</f>
        <v>0</v>
      </c>
      <c r="N15" s="208">
        <f>40*N14</f>
        <v>2.1</v>
      </c>
      <c r="O15" s="208">
        <f>O14*61</f>
        <v>362.0795454545455</v>
      </c>
      <c r="P15" s="208">
        <f>P14*74</f>
        <v>0</v>
      </c>
      <c r="V15" s="133"/>
      <c r="X15" s="133"/>
      <c r="Y15" s="133"/>
      <c r="Z15" s="176"/>
      <c r="AA15" s="176"/>
      <c r="AB15" s="133"/>
    </row>
    <row r="16" spans="1:28" ht="12.75">
      <c r="A16" s="502" t="s">
        <v>497</v>
      </c>
      <c r="B16" s="1042">
        <f>'{e}H20 Analysis'!$C$32</f>
        <v>0.75</v>
      </c>
      <c r="C16" s="1042" t="s">
        <v>1692</v>
      </c>
      <c r="D16" s="1042">
        <f>B16/44</f>
        <v>0.017045454545454544</v>
      </c>
      <c r="E16" s="502" t="s">
        <v>401</v>
      </c>
      <c r="F16" s="1056"/>
      <c r="G16" s="1048">
        <f>D16*0.75*56</f>
        <v>0.7159090909090908</v>
      </c>
      <c r="H16" s="1047" t="s">
        <v>1692</v>
      </c>
      <c r="I16" s="1046"/>
      <c r="J16" s="1047"/>
      <c r="M16" s="131"/>
      <c r="N16" s="131"/>
      <c r="O16" s="131"/>
      <c r="P16" s="131"/>
      <c r="V16" s="133"/>
      <c r="X16" s="133"/>
      <c r="Y16" s="133"/>
      <c r="Z16" s="176"/>
      <c r="AA16" s="176"/>
      <c r="AB16" s="133"/>
    </row>
    <row r="17" spans="1:28" ht="12.75">
      <c r="A17" s="502" t="s">
        <v>502</v>
      </c>
      <c r="B17" s="1042"/>
      <c r="C17" s="1042"/>
      <c r="D17" s="1042"/>
      <c r="E17" s="1042"/>
      <c r="F17" s="1057"/>
      <c r="G17" s="1300">
        <v>5</v>
      </c>
      <c r="H17" s="1047" t="s">
        <v>1692</v>
      </c>
      <c r="I17" s="1046"/>
      <c r="J17" s="1047"/>
      <c r="M17" s="123" t="s">
        <v>498</v>
      </c>
      <c r="N17" s="123" t="s">
        <v>499</v>
      </c>
      <c r="O17" s="123" t="s">
        <v>509</v>
      </c>
      <c r="P17" s="123" t="s">
        <v>501</v>
      </c>
      <c r="Q17" s="123" t="s">
        <v>510</v>
      </c>
      <c r="V17" s="133"/>
      <c r="X17" s="133"/>
      <c r="Y17" s="133"/>
      <c r="Z17" s="176"/>
      <c r="AA17" s="176"/>
      <c r="AB17" s="133"/>
    </row>
    <row r="18" spans="1:28" ht="12.75">
      <c r="A18" s="502" t="s">
        <v>1805</v>
      </c>
      <c r="B18" s="1042"/>
      <c r="C18" s="1042"/>
      <c r="D18" s="1042"/>
      <c r="E18" s="1042"/>
      <c r="F18" s="1057"/>
      <c r="G18" s="1046">
        <f>SUM(G13:G17)/G10</f>
        <v>6.3510101010101</v>
      </c>
      <c r="H18" s="1047" t="s">
        <v>1692</v>
      </c>
      <c r="I18" s="1046">
        <f>SUM(I13:I17)/I10</f>
        <v>0</v>
      </c>
      <c r="J18" s="1047" t="s">
        <v>1692</v>
      </c>
      <c r="L18" s="205" t="s">
        <v>503</v>
      </c>
      <c r="M18" s="1136">
        <v>1</v>
      </c>
      <c r="N18" s="1136">
        <v>1</v>
      </c>
      <c r="O18" s="1136" t="s">
        <v>511</v>
      </c>
      <c r="P18" s="1136" t="s">
        <v>512</v>
      </c>
      <c r="V18" s="133"/>
      <c r="X18" s="133"/>
      <c r="Y18" s="133"/>
      <c r="Z18" s="176"/>
      <c r="AA18" s="176"/>
      <c r="AB18" s="133"/>
    </row>
    <row r="19" spans="1:28" ht="14.25">
      <c r="A19" s="502" t="s">
        <v>65</v>
      </c>
      <c r="B19" s="1043">
        <f>B8*3600/1000</f>
        <v>18553.92156862745</v>
      </c>
      <c r="C19" s="1042" t="s">
        <v>12</v>
      </c>
      <c r="D19" s="1042"/>
      <c r="E19" s="1042"/>
      <c r="F19" s="1057"/>
      <c r="G19" s="1046"/>
      <c r="H19" s="1047"/>
      <c r="I19" s="1046"/>
      <c r="J19" s="1047"/>
      <c r="L19" s="205" t="s">
        <v>505</v>
      </c>
      <c r="M19" s="206">
        <f>D14-M8</f>
        <v>0</v>
      </c>
      <c r="N19" s="206">
        <f>D13-M8-N14</f>
        <v>0</v>
      </c>
      <c r="O19" s="206">
        <f>N19+M19</f>
        <v>0</v>
      </c>
      <c r="P19" s="206">
        <f>M19</f>
        <v>0</v>
      </c>
      <c r="V19" s="133"/>
      <c r="X19" s="133"/>
      <c r="Y19" s="133"/>
      <c r="Z19" s="176"/>
      <c r="AA19" s="176"/>
      <c r="AB19" s="133"/>
    </row>
    <row r="20" spans="1:28" ht="13.5" thickBot="1">
      <c r="A20" s="502" t="str">
        <f>IF('{c}Report'!D173="N","Lime+Soda Ash Dose:","Lime Dose:")</f>
        <v>Lime Dose:</v>
      </c>
      <c r="B20" s="1042"/>
      <c r="C20" s="1042"/>
      <c r="D20" s="1042"/>
      <c r="E20" s="1042"/>
      <c r="F20" s="1044"/>
      <c r="G20" s="1049">
        <f>$G$18*B19/1000</f>
        <v>117.8361432957021</v>
      </c>
      <c r="H20" s="1050" t="s">
        <v>1692</v>
      </c>
      <c r="I20" s="1049">
        <f>$I$18*B19/1000</f>
        <v>0</v>
      </c>
      <c r="J20" s="1050" t="s">
        <v>1692</v>
      </c>
      <c r="L20" s="205" t="s">
        <v>1692</v>
      </c>
      <c r="M20" s="208">
        <f>M19*24.3</f>
        <v>0</v>
      </c>
      <c r="N20" s="208">
        <f>N19*40</f>
        <v>0</v>
      </c>
      <c r="O20" s="208">
        <f>106*O19</f>
        <v>0</v>
      </c>
      <c r="P20" s="208">
        <f>P19*74</f>
        <v>0</v>
      </c>
      <c r="V20" s="133"/>
      <c r="X20" s="133"/>
      <c r="Y20" s="133"/>
      <c r="Z20" s="176"/>
      <c r="AA20" s="176"/>
      <c r="AB20" s="133"/>
    </row>
    <row r="21" spans="1:28" ht="12.75">
      <c r="A21" s="502" t="s">
        <v>506</v>
      </c>
      <c r="B21" s="1299">
        <v>60</v>
      </c>
      <c r="C21" s="1042" t="s">
        <v>1692</v>
      </c>
      <c r="I21" s="140"/>
      <c r="V21" s="133"/>
      <c r="X21" s="133"/>
      <c r="Y21" s="133"/>
      <c r="Z21" s="176"/>
      <c r="AA21" s="176"/>
      <c r="AB21" s="133"/>
    </row>
    <row r="22" spans="1:28" ht="12.75">
      <c r="A22" s="502" t="s">
        <v>507</v>
      </c>
      <c r="B22" s="1299">
        <f>0.08*2000</f>
        <v>160</v>
      </c>
      <c r="C22" s="1042" t="s">
        <v>5</v>
      </c>
      <c r="G22" s="140"/>
      <c r="H22" s="140"/>
      <c r="I22" s="140"/>
      <c r="K22" s="203"/>
      <c r="V22" s="133"/>
      <c r="X22" s="133"/>
      <c r="Y22" s="133"/>
      <c r="Z22" s="176"/>
      <c r="AA22" s="176"/>
      <c r="AB22" s="133"/>
    </row>
    <row r="23" spans="1:28" ht="12.75">
      <c r="A23" s="502" t="s">
        <v>66</v>
      </c>
      <c r="B23" s="1042">
        <f>'{c}Report'!D176*B19/1000</f>
        <v>0</v>
      </c>
      <c r="C23" s="1042" t="s">
        <v>1815</v>
      </c>
      <c r="L23"/>
      <c r="M23"/>
      <c r="N23"/>
      <c r="O23"/>
      <c r="Z23" s="133"/>
      <c r="AA23" s="133"/>
      <c r="AB23" s="133"/>
    </row>
    <row r="24" spans="1:28" ht="12.75">
      <c r="A24" s="502" t="s">
        <v>67</v>
      </c>
      <c r="B24" s="1042">
        <f>'{c}Report'!D177*B19/1000</f>
        <v>0</v>
      </c>
      <c r="C24" s="1042" t="s">
        <v>1815</v>
      </c>
      <c r="D24" s="48"/>
      <c r="E24" s="2547" t="s">
        <v>1786</v>
      </c>
      <c r="F24" s="2549"/>
      <c r="L24"/>
      <c r="M24"/>
      <c r="N24"/>
      <c r="O24"/>
      <c r="W24" s="133"/>
      <c r="Z24" s="133"/>
      <c r="AA24" s="133"/>
      <c r="AB24" s="133"/>
    </row>
    <row r="25" spans="4:28" ht="13.5" thickBot="1">
      <c r="D25" s="52"/>
      <c r="E25" s="834" t="s">
        <v>1785</v>
      </c>
      <c r="F25" s="834" t="s">
        <v>177</v>
      </c>
      <c r="I25"/>
      <c r="J25"/>
      <c r="L25"/>
      <c r="M25"/>
      <c r="N25"/>
      <c r="O25"/>
      <c r="W25" s="133"/>
      <c r="Z25" s="133"/>
      <c r="AA25" s="133"/>
      <c r="AB25" s="133"/>
    </row>
    <row r="26" spans="1:28" ht="13.5" thickTop="1">
      <c r="A26" s="205" t="s">
        <v>724</v>
      </c>
      <c r="B26" s="1042">
        <f>IF(AND(B23=0,B24=0),G20,B23)</f>
        <v>117.8361432957021</v>
      </c>
      <c r="C26" s="205" t="s">
        <v>400</v>
      </c>
      <c r="D26" s="1004"/>
      <c r="E26" s="1132">
        <v>4</v>
      </c>
      <c r="F26" s="1286">
        <v>4500</v>
      </c>
      <c r="G26" s="1743" t="s">
        <v>1593</v>
      </c>
      <c r="H26" s="1750"/>
      <c r="I26" s="1750"/>
      <c r="J26" s="1750"/>
      <c r="K26" s="1750"/>
      <c r="L26"/>
      <c r="M26">
        <f>40+12+3*16</f>
        <v>100</v>
      </c>
      <c r="N26"/>
      <c r="O26"/>
      <c r="W26" s="133"/>
      <c r="Z26" s="133"/>
      <c r="AA26" s="133"/>
      <c r="AB26" s="133"/>
    </row>
    <row r="27" spans="1:28" ht="12.75">
      <c r="A27" s="205" t="s">
        <v>725</v>
      </c>
      <c r="B27" s="1042">
        <f>IF(AND(B23=0,B24=0),IF('{c}Report'!D173="N",I20,0),B24)</f>
        <v>0</v>
      </c>
      <c r="C27" s="205" t="s">
        <v>400</v>
      </c>
      <c r="D27" s="1004"/>
      <c r="E27" s="1132">
        <v>4</v>
      </c>
      <c r="F27" s="1286">
        <v>4500</v>
      </c>
      <c r="I27"/>
      <c r="J27"/>
      <c r="L27"/>
      <c r="M27" s="296">
        <f>G18/74</f>
        <v>0.08582446082446081</v>
      </c>
      <c r="N27" t="s">
        <v>950</v>
      </c>
      <c r="O27"/>
      <c r="W27" s="133"/>
      <c r="Z27" s="133"/>
      <c r="AA27" s="133"/>
      <c r="AB27" s="133"/>
    </row>
    <row r="28" spans="9:23" ht="12.75">
      <c r="I28"/>
      <c r="J28"/>
      <c r="L28"/>
      <c r="M28">
        <v>100</v>
      </c>
      <c r="N28" t="s">
        <v>951</v>
      </c>
      <c r="O28"/>
      <c r="W28" s="133"/>
    </row>
    <row r="29" spans="9:23" ht="13.5" thickBot="1">
      <c r="I29"/>
      <c r="J29"/>
      <c r="L29" s="296">
        <f>M29/G18</f>
        <v>1.8018018018018016</v>
      </c>
      <c r="M29" s="354">
        <f>M28*M27*4/3</f>
        <v>11.443261443261441</v>
      </c>
      <c r="N29" t="s">
        <v>952</v>
      </c>
      <c r="O29"/>
      <c r="W29" s="133"/>
    </row>
    <row r="30" spans="1:23" ht="13.5" thickBot="1">
      <c r="A30" s="777" t="s">
        <v>187</v>
      </c>
      <c r="B30" s="781" t="s">
        <v>132</v>
      </c>
      <c r="C30" s="1182">
        <f>$B$57+$B$58*LN((B26+B27)*2.205)</f>
        <v>88610.72806144533</v>
      </c>
      <c r="E30" s="135"/>
      <c r="F30" s="135"/>
      <c r="I30"/>
      <c r="J30"/>
      <c r="L30"/>
      <c r="M30" s="3">
        <f>M29/0.6</f>
        <v>19.072102405435736</v>
      </c>
      <c r="N30" t="s">
        <v>953</v>
      </c>
      <c r="O30"/>
      <c r="W30" s="133"/>
    </row>
    <row r="31" spans="1:23" ht="13.5" thickTop="1">
      <c r="A31" s="1134" t="s">
        <v>1072</v>
      </c>
      <c r="B31" s="1141">
        <f>0.63+0.07</f>
        <v>0.7</v>
      </c>
      <c r="C31" s="1211">
        <f>B31*C$30*'{d}Cost Index'!D10</f>
        <v>172131.3111907536</v>
      </c>
      <c r="E31" s="57"/>
      <c r="F31" s="57"/>
      <c r="G31" s="135"/>
      <c r="H31" s="135"/>
      <c r="I31"/>
      <c r="J31"/>
      <c r="L31"/>
      <c r="M31" s="5">
        <f>M30*86400*B8/1000/1000</f>
        <v>8492.695012302855</v>
      </c>
      <c r="N31" t="s">
        <v>955</v>
      </c>
      <c r="O31"/>
      <c r="W31" s="133"/>
    </row>
    <row r="32" spans="1:23" ht="12.75">
      <c r="A32" s="1045" t="s">
        <v>1063</v>
      </c>
      <c r="B32" s="1142">
        <v>0.25</v>
      </c>
      <c r="C32" s="1212">
        <f>B32*C$30*'{d}Cost Index'!D13</f>
        <v>57435.3390921709</v>
      </c>
      <c r="E32" s="57"/>
      <c r="F32" s="57"/>
      <c r="G32" s="135"/>
      <c r="H32" s="135"/>
      <c r="I32"/>
      <c r="J32"/>
      <c r="L32"/>
      <c r="M32" s="5">
        <f>M31*2.2</f>
        <v>18683.929027066282</v>
      </c>
      <c r="N32" t="s">
        <v>954</v>
      </c>
      <c r="O32"/>
      <c r="W32" s="133"/>
    </row>
    <row r="33" spans="1:23" ht="12.75">
      <c r="A33" s="1137" t="s">
        <v>1064</v>
      </c>
      <c r="B33" s="1142">
        <v>0.02</v>
      </c>
      <c r="C33" s="1212">
        <f>B33*C$30*'{d}Cost Index'!D14</f>
        <v>5356.056585206626</v>
      </c>
      <c r="E33" s="57"/>
      <c r="F33" s="57"/>
      <c r="G33" s="135"/>
      <c r="H33" s="135"/>
      <c r="I33"/>
      <c r="J33"/>
      <c r="L33"/>
      <c r="M33"/>
      <c r="N33"/>
      <c r="O33"/>
      <c r="W33" s="133"/>
    </row>
    <row r="34" spans="1:15" ht="12.75">
      <c r="A34" s="1045" t="s">
        <v>1073</v>
      </c>
      <c r="B34" s="1143">
        <v>0.03</v>
      </c>
      <c r="C34" s="1192">
        <f>B34*C$30*'{d}Cost Index'!D16</f>
        <v>5532.880154556261</v>
      </c>
      <c r="E34" s="307"/>
      <c r="F34" s="307"/>
      <c r="G34" s="135"/>
      <c r="H34" s="135"/>
      <c r="I34"/>
      <c r="J34"/>
      <c r="L34"/>
      <c r="M34"/>
      <c r="N34"/>
      <c r="O34"/>
    </row>
    <row r="35" spans="1:15" ht="12.75">
      <c r="A35" s="1045" t="s">
        <v>1066</v>
      </c>
      <c r="B35" s="1142">
        <v>0</v>
      </c>
      <c r="C35" s="1192">
        <f>B35*C$30*'{d}Cost Index'!D19</f>
        <v>0</v>
      </c>
      <c r="E35" s="307"/>
      <c r="F35" s="307"/>
      <c r="G35" s="135"/>
      <c r="H35" s="135"/>
      <c r="I35"/>
      <c r="J35"/>
      <c r="L35"/>
      <c r="M35"/>
      <c r="N35"/>
      <c r="O35"/>
    </row>
    <row r="36" spans="1:10" ht="13.5" thickBot="1">
      <c r="A36" s="1138" t="s">
        <v>1067</v>
      </c>
      <c r="B36" s="1144">
        <v>0</v>
      </c>
      <c r="C36" s="1193">
        <f>B36*C$30*'{d}Cost Index'!D18</f>
        <v>0</v>
      </c>
      <c r="E36" s="307"/>
      <c r="F36" s="307"/>
      <c r="G36" s="135"/>
      <c r="H36" s="135"/>
      <c r="I36"/>
      <c r="J36"/>
    </row>
    <row r="37" spans="1:10" ht="13.5" thickBot="1">
      <c r="A37" s="758" t="str">
        <f>TEXT(IndexDate,"mmmm, yyyy")&amp;" Capital Cost $:"</f>
        <v>November, 2006 Capital Cost $:</v>
      </c>
      <c r="B37" s="783">
        <f>SUM(B31:B36)</f>
        <v>1</v>
      </c>
      <c r="C37" s="1203">
        <f>SUM(C31:C36)</f>
        <v>240455.5870226874</v>
      </c>
      <c r="E37" s="775"/>
      <c r="F37" s="775"/>
      <c r="G37" s="135"/>
      <c r="H37" s="135"/>
      <c r="I37"/>
      <c r="J37"/>
    </row>
    <row r="38" spans="1:10" ht="13.5" thickBot="1">
      <c r="A38"/>
      <c r="B38"/>
      <c r="C38" s="6"/>
      <c r="E38" s="6"/>
      <c r="F38" s="6"/>
      <c r="G38"/>
      <c r="H38"/>
      <c r="I38"/>
      <c r="J38"/>
    </row>
    <row r="39" spans="1:10" ht="13.5" thickBot="1">
      <c r="A39" s="777" t="s">
        <v>188</v>
      </c>
      <c r="B39" s="781" t="s">
        <v>132</v>
      </c>
      <c r="C39" s="1182">
        <f>$B$63*((B26+B27)*2.205)^$B$64</f>
        <v>15123.808450836683</v>
      </c>
      <c r="E39" s="135"/>
      <c r="F39" s="135"/>
      <c r="G39"/>
      <c r="H39"/>
      <c r="I39"/>
      <c r="J39"/>
    </row>
    <row r="40" spans="1:10" ht="13.5" thickTop="1">
      <c r="A40" s="1134" t="s">
        <v>1495</v>
      </c>
      <c r="B40" s="1145">
        <v>0.06</v>
      </c>
      <c r="C40" s="1195">
        <f>C$39*$B40*'{d}Cost Index'!D17</f>
        <v>1888.6701750361326</v>
      </c>
      <c r="E40" s="31"/>
      <c r="F40" s="31"/>
      <c r="G40"/>
      <c r="H40"/>
      <c r="I40"/>
      <c r="J40"/>
    </row>
    <row r="41" spans="1:11" ht="12.75">
      <c r="A41" s="1045" t="s">
        <v>1494</v>
      </c>
      <c r="B41" s="1143">
        <v>0.09</v>
      </c>
      <c r="C41" s="1196">
        <f>C$39*$B41*'{d}Cost Index'!D21</f>
        <v>3175.9997746757035</v>
      </c>
      <c r="E41" s="31"/>
      <c r="F41" s="31"/>
      <c r="G41"/>
      <c r="H41"/>
      <c r="I41"/>
      <c r="J41"/>
      <c r="K41" s="191"/>
    </row>
    <row r="42" spans="1:10" ht="12.75">
      <c r="A42" s="1045" t="s">
        <v>210</v>
      </c>
      <c r="B42" s="1143">
        <v>0.85</v>
      </c>
      <c r="C42" s="1196">
        <f>C$39*$B42*'{d}Cost Index'!D11</f>
        <v>36151.465650753606</v>
      </c>
      <c r="E42" s="31"/>
      <c r="F42" s="31"/>
      <c r="G42"/>
      <c r="H42"/>
      <c r="I42"/>
      <c r="J42"/>
    </row>
    <row r="43" spans="1:10" ht="13.5" thickBot="1">
      <c r="A43" s="2541" t="str">
        <f>IF('{c}Report'!D173="N","Lime+Soda Ash Cost:","Lime Cost:")</f>
        <v>Lime Cost:</v>
      </c>
      <c r="B43" s="2542"/>
      <c r="C43" s="1213">
        <f>IF('{c}Report'!D173="Y",((B26*B21*0.0005*24*365)/(0.001*454)),((B27*B22*0.0005*24*365)/(0.001*454))+((B26*B21*0.0005*24*365)/(0.001*454)))*'{b}Capacity'!C9</f>
        <v>64799.49677357927</v>
      </c>
      <c r="E43" s="308"/>
      <c r="F43" s="308"/>
      <c r="G43"/>
      <c r="H43"/>
      <c r="I43"/>
      <c r="J43"/>
    </row>
    <row r="44" spans="1:10" ht="13.5" thickBot="1">
      <c r="A44" s="127" t="str">
        <f>TEXT(IndexDate,"mmmm, yyyy")&amp;"  Operation &amp; Maintenance $:"</f>
        <v>November, 2006  Operation &amp; Maintenance $:</v>
      </c>
      <c r="B44" s="780">
        <f>SUM(B40:B42)</f>
        <v>1</v>
      </c>
      <c r="C44" s="1203">
        <f>SUM(C40:C43)</f>
        <v>106015.63237404471</v>
      </c>
      <c r="E44" s="775"/>
      <c r="F44" s="775"/>
      <c r="G44"/>
      <c r="H44"/>
      <c r="I44"/>
      <c r="J44"/>
    </row>
    <row r="45" spans="1:10" ht="12.75">
      <c r="A45" s="124"/>
      <c r="B45" s="138"/>
      <c r="C45" s="138"/>
      <c r="G45"/>
      <c r="H45"/>
      <c r="I45"/>
      <c r="J45"/>
    </row>
    <row r="46" spans="1:8" ht="12.75">
      <c r="A46" s="124"/>
      <c r="B46" s="138"/>
      <c r="C46" s="138"/>
      <c r="G46" s="135"/>
      <c r="H46" s="135"/>
    </row>
    <row r="47" ht="12.75">
      <c r="A47" s="1744" t="s">
        <v>513</v>
      </c>
    </row>
    <row r="48" ht="12.75">
      <c r="A48" s="1744" t="s">
        <v>514</v>
      </c>
    </row>
    <row r="49" ht="12.75">
      <c r="A49" s="1764" t="s">
        <v>517</v>
      </c>
    </row>
    <row r="50" ht="12.75">
      <c r="A50" s="1744" t="s">
        <v>519</v>
      </c>
    </row>
    <row r="51" ht="12.75">
      <c r="A51" s="1744" t="s">
        <v>520</v>
      </c>
    </row>
    <row r="52" ht="13.5" thickBot="1"/>
    <row r="53" spans="1:2" ht="12.75">
      <c r="A53" s="815" t="s">
        <v>1774</v>
      </c>
      <c r="B53" s="816"/>
    </row>
    <row r="54" spans="1:2" ht="12.75">
      <c r="A54" s="182" t="s">
        <v>332</v>
      </c>
      <c r="B54" s="132"/>
    </row>
    <row r="55" spans="1:2" ht="12.75">
      <c r="A55" s="139" t="s">
        <v>515</v>
      </c>
      <c r="B55" s="132"/>
    </row>
    <row r="56" spans="1:2" ht="12.75">
      <c r="A56" s="139" t="s">
        <v>518</v>
      </c>
      <c r="B56" s="132"/>
    </row>
    <row r="57" spans="1:2" ht="12.75">
      <c r="A57" s="139" t="s">
        <v>335</v>
      </c>
      <c r="B57" s="132">
        <v>-24950.92</v>
      </c>
    </row>
    <row r="58" spans="1:2" ht="12.75">
      <c r="A58" s="139" t="s">
        <v>336</v>
      </c>
      <c r="B58" s="132">
        <v>20424.674</v>
      </c>
    </row>
    <row r="59" spans="1:2" ht="12.75">
      <c r="A59" s="813"/>
      <c r="B59" s="814"/>
    </row>
    <row r="60" spans="1:2" ht="12.75">
      <c r="A60" s="810" t="s">
        <v>1770</v>
      </c>
      <c r="B60" s="132"/>
    </row>
    <row r="61" spans="1:2" ht="12.75">
      <c r="A61" s="811" t="s">
        <v>516</v>
      </c>
      <c r="B61" s="132"/>
    </row>
    <row r="62" spans="1:3" ht="12.75">
      <c r="A62" s="139" t="s">
        <v>518</v>
      </c>
      <c r="B62" s="188"/>
      <c r="C62" s="134"/>
    </row>
    <row r="63" spans="1:3" ht="12.75">
      <c r="A63" s="139" t="s">
        <v>335</v>
      </c>
      <c r="B63" s="829">
        <v>866.28504</v>
      </c>
      <c r="C63" s="175"/>
    </row>
    <row r="64" spans="1:2" ht="13.5" thickBot="1">
      <c r="A64" s="127" t="s">
        <v>336</v>
      </c>
      <c r="B64" s="129">
        <v>0.5143525</v>
      </c>
    </row>
  </sheetData>
  <mergeCells count="5">
    <mergeCell ref="A43:B43"/>
    <mergeCell ref="G8:H9"/>
    <mergeCell ref="I8:J9"/>
    <mergeCell ref="D12:E12"/>
    <mergeCell ref="E24:F24"/>
  </mergeCells>
  <printOptions/>
  <pageMargins left="1.18" right="0.75" top="1.33" bottom="1" header="0.5" footer="0.5"/>
  <pageSetup fitToWidth="2" horizontalDpi="300" verticalDpi="300" orientation="portrait" scale="72" r:id="rId1"/>
  <headerFooter alignWithMargins="0">
    <oddHeader>&amp;C&amp;A</oddHeader>
    <oddFooter>&amp;CWater Treatment Cost Estimation Program</oddFooter>
  </headerFooter>
</worksheet>
</file>

<file path=xl/worksheets/sheet25.xml><?xml version="1.0" encoding="utf-8"?>
<worksheet xmlns="http://schemas.openxmlformats.org/spreadsheetml/2006/main" xmlns:r="http://schemas.openxmlformats.org/officeDocument/2006/relationships">
  <sheetPr codeName="Sheet1612"/>
  <dimension ref="A1:M54"/>
  <sheetViews>
    <sheetView workbookViewId="0" topLeftCell="A1">
      <selection activeCell="G20" sqref="G20"/>
    </sheetView>
  </sheetViews>
  <sheetFormatPr defaultColWidth="9.140625" defaultRowHeight="12.75"/>
  <cols>
    <col min="1" max="1" width="38.00390625" style="123" customWidth="1"/>
    <col min="2" max="2" width="12.00390625" style="123" customWidth="1"/>
    <col min="3" max="3" width="10.57421875" style="123" customWidth="1"/>
    <col min="4" max="4" width="7.57421875" style="123" bestFit="1" customWidth="1"/>
    <col min="5" max="5" width="7.140625" style="123" bestFit="1" customWidth="1"/>
    <col min="6" max="6" width="8.7109375" style="123" customWidth="1"/>
    <col min="7" max="8" width="10.421875" style="123" bestFit="1" customWidth="1"/>
    <col min="9" max="9" width="11.7109375" style="123" customWidth="1"/>
    <col min="10" max="10" width="13.28125" style="123" customWidth="1"/>
    <col min="11" max="11" width="12.7109375" style="123" customWidth="1"/>
    <col min="12" max="12" width="13.28125" style="123" customWidth="1"/>
    <col min="13" max="16384" width="8.7109375" style="12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384" t="s">
        <v>430</v>
      </c>
    </row>
    <row r="7" spans="1:5" ht="13.5" thickBot="1">
      <c r="A7" s="1469"/>
      <c r="B7" s="819"/>
      <c r="C7" s="1062" t="s">
        <v>1682</v>
      </c>
      <c r="D7" s="2492" t="s">
        <v>766</v>
      </c>
      <c r="E7" s="2492"/>
    </row>
    <row r="8" spans="1:8" ht="15" thickTop="1">
      <c r="A8" s="1060" t="s">
        <v>1817</v>
      </c>
      <c r="B8" s="1079">
        <f>'{b}Capacity'!$B$32</f>
        <v>5153.867102396514</v>
      </c>
      <c r="C8" s="943" t="s">
        <v>1</v>
      </c>
      <c r="D8" s="1079">
        <f>B8*86400/1000</f>
        <v>445294.11764705885</v>
      </c>
      <c r="E8" s="943" t="s">
        <v>1497</v>
      </c>
      <c r="F8" s="48"/>
      <c r="G8" s="2547" t="s">
        <v>1786</v>
      </c>
      <c r="H8" s="2549"/>
    </row>
    <row r="9" spans="1:8" ht="13.5" thickBot="1">
      <c r="A9" s="205" t="s">
        <v>421</v>
      </c>
      <c r="B9" s="205">
        <f>'{c}Report'!D183</f>
        <v>0</v>
      </c>
      <c r="C9" s="205" t="s">
        <v>1692</v>
      </c>
      <c r="D9" s="205"/>
      <c r="E9" s="205"/>
      <c r="F9" s="52"/>
      <c r="G9" s="834" t="s">
        <v>1785</v>
      </c>
      <c r="H9" s="834" t="s">
        <v>177</v>
      </c>
    </row>
    <row r="10" spans="1:13" ht="13.5" thickTop="1">
      <c r="A10" s="1058" t="s">
        <v>18</v>
      </c>
      <c r="B10" s="208">
        <f>IF(B9=0,D8*0.5/1000,D8*B9/1000)</f>
        <v>222.64705882352942</v>
      </c>
      <c r="C10" s="205" t="s">
        <v>1771</v>
      </c>
      <c r="D10" s="205"/>
      <c r="E10" s="205"/>
      <c r="F10" s="1004"/>
      <c r="G10" s="1132">
        <v>0.4</v>
      </c>
      <c r="H10" s="1286">
        <v>100</v>
      </c>
      <c r="I10" s="1743" t="s">
        <v>1592</v>
      </c>
      <c r="J10" s="1750"/>
      <c r="K10" s="1750"/>
      <c r="L10" s="1750"/>
      <c r="M10" s="1750"/>
    </row>
    <row r="11" spans="1:12" ht="12.75">
      <c r="A11" s="502" t="s">
        <v>1465</v>
      </c>
      <c r="B11" s="1214">
        <v>500</v>
      </c>
      <c r="C11" s="205" t="s">
        <v>17</v>
      </c>
      <c r="D11" s="205"/>
      <c r="E11" s="205"/>
      <c r="H11" s="133"/>
      <c r="I11" s="177"/>
      <c r="J11" s="177"/>
      <c r="K11" s="177"/>
      <c r="L11" s="177"/>
    </row>
    <row r="12" spans="8:12" ht="12.75">
      <c r="H12" s="133"/>
      <c r="I12" s="177"/>
      <c r="J12" s="177"/>
      <c r="K12" s="177"/>
      <c r="L12" s="177"/>
    </row>
    <row r="13" spans="4:12" ht="13.5" thickBot="1">
      <c r="D13" s="124"/>
      <c r="E13" s="124"/>
      <c r="H13" s="133"/>
      <c r="I13" s="177"/>
      <c r="J13" s="177"/>
      <c r="K13" s="177"/>
      <c r="L13" s="177"/>
    </row>
    <row r="14" spans="1:12" ht="13.5" thickBot="1">
      <c r="A14" s="777" t="s">
        <v>187</v>
      </c>
      <c r="B14" s="781" t="s">
        <v>132</v>
      </c>
      <c r="C14" s="1182">
        <f>$B$34*EXP(B10*$B$35)+$B$36</f>
        <v>59895.320041401836</v>
      </c>
      <c r="D14" s="124"/>
      <c r="E14" s="124"/>
      <c r="H14" s="133"/>
      <c r="I14" s="177"/>
      <c r="J14" s="177"/>
      <c r="K14" s="177"/>
      <c r="L14" s="177"/>
    </row>
    <row r="15" spans="1:12" ht="13.5" thickTop="1">
      <c r="A15" s="1134" t="s">
        <v>1072</v>
      </c>
      <c r="B15" s="1283">
        <v>0.76</v>
      </c>
      <c r="C15" s="1199">
        <f>B15*C$14*'{d}Cost Index'!D10</f>
        <v>126322.87874383785</v>
      </c>
      <c r="H15" s="133"/>
      <c r="I15" s="177"/>
      <c r="J15" s="177"/>
      <c r="K15" s="177"/>
      <c r="L15" s="177"/>
    </row>
    <row r="16" spans="1:12" ht="12.75">
      <c r="A16" s="1045" t="s">
        <v>1063</v>
      </c>
      <c r="B16" s="1284">
        <v>0.19</v>
      </c>
      <c r="C16" s="1200">
        <f>B16*C$14*'{d}Cost Index'!D13</f>
        <v>29505.254609940348</v>
      </c>
      <c r="F16" s="124"/>
      <c r="G16" s="309"/>
      <c r="H16" s="46"/>
      <c r="I16" s="177"/>
      <c r="J16" s="177"/>
      <c r="K16" s="177"/>
      <c r="L16" s="177"/>
    </row>
    <row r="17" spans="1:12" ht="12.75">
      <c r="A17" s="1137" t="s">
        <v>1064</v>
      </c>
      <c r="B17" s="1284">
        <v>0.04</v>
      </c>
      <c r="C17" s="1200">
        <f>B17*C$14*'{d}Cost Index'!D14</f>
        <v>7240.7197265855775</v>
      </c>
      <c r="F17" s="124"/>
      <c r="G17" s="309"/>
      <c r="H17" s="46"/>
      <c r="I17" s="177"/>
      <c r="J17" s="177"/>
      <c r="K17" s="177"/>
      <c r="L17" s="177"/>
    </row>
    <row r="18" spans="1:12" ht="12.75">
      <c r="A18" s="1045" t="s">
        <v>1073</v>
      </c>
      <c r="B18" s="1284">
        <v>0.01</v>
      </c>
      <c r="C18" s="1200">
        <f>B18*C$14*'{d}Cost Index'!D16</f>
        <v>1246.627185585888</v>
      </c>
      <c r="F18" s="301"/>
      <c r="G18" s="309"/>
      <c r="H18" s="46"/>
      <c r="I18" s="177"/>
      <c r="J18" s="177"/>
      <c r="K18" s="177"/>
      <c r="L18" s="177"/>
    </row>
    <row r="19" spans="1:12" ht="12.75">
      <c r="A19" s="1045" t="s">
        <v>1066</v>
      </c>
      <c r="B19" s="1284">
        <v>0</v>
      </c>
      <c r="C19" s="1200">
        <f>B19*C$14*'{d}Cost Index'!D19</f>
        <v>0</v>
      </c>
      <c r="F19" s="124"/>
      <c r="G19" s="310"/>
      <c r="H19" s="46"/>
      <c r="I19" s="177"/>
      <c r="J19" s="177"/>
      <c r="K19" s="177"/>
      <c r="L19" s="177"/>
    </row>
    <row r="20" spans="1:12" ht="13.5" thickBot="1">
      <c r="A20" s="1138" t="s">
        <v>1067</v>
      </c>
      <c r="B20" s="1285">
        <v>0</v>
      </c>
      <c r="C20" s="1201">
        <f>B20*C$14*'{d}Cost Index'!D18</f>
        <v>0</v>
      </c>
      <c r="F20" s="124"/>
      <c r="G20" s="309"/>
      <c r="H20" s="311"/>
      <c r="I20" s="177"/>
      <c r="J20" s="177"/>
      <c r="K20" s="177"/>
      <c r="L20" s="177"/>
    </row>
    <row r="21" spans="1:12" ht="13.5" thickBot="1">
      <c r="A21" s="758" t="str">
        <f>TEXT(IndexDate,"mmmm, yyyy")&amp;" Capital Cost $:"</f>
        <v>November, 2006 Capital Cost $:</v>
      </c>
      <c r="B21" s="782">
        <f>SUM(B15:B20)</f>
        <v>1</v>
      </c>
      <c r="C21" s="1203">
        <f>SUM(C15:C20)</f>
        <v>164315.48026594965</v>
      </c>
      <c r="F21" s="124"/>
      <c r="G21" s="309"/>
      <c r="H21" s="311"/>
      <c r="K21" s="177"/>
      <c r="L21" s="177"/>
    </row>
    <row r="22" spans="6:11" ht="13.5" thickBot="1">
      <c r="F22" s="232"/>
      <c r="G22" s="312"/>
      <c r="H22" s="311"/>
      <c r="I22" s="135"/>
      <c r="J22" s="135"/>
      <c r="K22" s="135"/>
    </row>
    <row r="23" spans="1:11" ht="13.5" thickBot="1">
      <c r="A23" s="777" t="s">
        <v>188</v>
      </c>
      <c r="B23" s="781" t="s">
        <v>132</v>
      </c>
      <c r="C23" s="1182">
        <f>$B$40*EXP($B$41*B10)</f>
        <v>4757.671327139934</v>
      </c>
      <c r="F23" s="1"/>
      <c r="G23" s="1"/>
      <c r="H23" s="295"/>
      <c r="I23" s="135"/>
      <c r="J23" s="135"/>
      <c r="K23" s="135"/>
    </row>
    <row r="24" spans="1:11" ht="13.5" thickTop="1">
      <c r="A24" s="1134" t="s">
        <v>1495</v>
      </c>
      <c r="B24" s="1283">
        <v>0.1</v>
      </c>
      <c r="C24" s="1199">
        <f>C$23*B24*'{d}Cost Index'!D17</f>
        <v>990.234698202694</v>
      </c>
      <c r="F24" s="124"/>
      <c r="H24" s="135"/>
      <c r="I24" s="135"/>
      <c r="J24" s="135"/>
      <c r="K24" s="135"/>
    </row>
    <row r="25" spans="1:11" ht="12.75">
      <c r="A25" s="1045" t="s">
        <v>1494</v>
      </c>
      <c r="B25" s="1284">
        <v>0.24</v>
      </c>
      <c r="C25" s="1200">
        <f>C$23*B25*'{d}Cost Index'!D21</f>
        <v>2664.295943198363</v>
      </c>
      <c r="F25" s="124"/>
      <c r="G25" s="310"/>
      <c r="H25" s="311"/>
      <c r="I25" s="135"/>
      <c r="J25" s="135"/>
      <c r="K25" s="135"/>
    </row>
    <row r="26" spans="1:11" ht="12.75">
      <c r="A26" s="1045" t="s">
        <v>210</v>
      </c>
      <c r="B26" s="1284">
        <v>0.66</v>
      </c>
      <c r="C26" s="1200">
        <f>C$23*B26*'{d}Cost Index'!D11</f>
        <v>8830.477478727391</v>
      </c>
      <c r="F26" s="124"/>
      <c r="G26" s="310"/>
      <c r="H26" s="311"/>
      <c r="I26" s="135"/>
      <c r="J26" s="135"/>
      <c r="K26" s="135"/>
    </row>
    <row r="27" spans="1:11" ht="13.5" thickBot="1">
      <c r="A27" s="2541" t="s">
        <v>1490</v>
      </c>
      <c r="B27" s="2542"/>
      <c r="C27" s="1213">
        <f>(B10*365*'{b}Capacity'!C9*B11*2.205/500)</f>
        <v>170232.3231617647</v>
      </c>
      <c r="F27" s="124"/>
      <c r="G27" s="310"/>
      <c r="H27" s="311"/>
      <c r="I27" s="135"/>
      <c r="J27" s="135"/>
      <c r="K27" s="135"/>
    </row>
    <row r="28" spans="1:11" ht="13.5" thickBot="1">
      <c r="A28" s="127" t="str">
        <f>TEXT(IndexDate,"mmmm, yyyy")&amp;"  Operation &amp; Maintenance $:"</f>
        <v>November, 2006  Operation &amp; Maintenance $:</v>
      </c>
      <c r="B28" s="780">
        <f>SUM(B24:B26)</f>
        <v>1</v>
      </c>
      <c r="C28" s="1203">
        <f>SUM(C24:C27)</f>
        <v>182717.33128189316</v>
      </c>
      <c r="D28" s="135"/>
      <c r="E28" s="135"/>
      <c r="F28" s="124"/>
      <c r="H28" s="308"/>
      <c r="I28" s="135"/>
      <c r="J28" s="135"/>
      <c r="K28" s="135"/>
    </row>
    <row r="29" spans="6:11" ht="12.75">
      <c r="F29" s="124"/>
      <c r="G29" s="138"/>
      <c r="H29" s="311"/>
      <c r="I29" s="135"/>
      <c r="J29" s="135"/>
      <c r="K29" s="135"/>
    </row>
    <row r="30" spans="6:11" ht="13.5" thickBot="1">
      <c r="F30" s="135"/>
      <c r="H30" s="135"/>
      <c r="I30" s="135"/>
      <c r="J30" s="135"/>
      <c r="K30" s="135"/>
    </row>
    <row r="31" spans="1:11" ht="12.75">
      <c r="A31" s="815" t="s">
        <v>1775</v>
      </c>
      <c r="B31" s="817"/>
      <c r="F31" s="135"/>
      <c r="H31" s="135"/>
      <c r="I31" s="135"/>
      <c r="J31" s="135"/>
      <c r="K31" s="135"/>
    </row>
    <row r="32" spans="1:11" ht="12.75">
      <c r="A32" s="130" t="s">
        <v>332</v>
      </c>
      <c r="B32" s="132"/>
      <c r="F32" s="135"/>
      <c r="H32" s="135"/>
      <c r="I32" s="135"/>
      <c r="J32" s="135"/>
      <c r="K32" s="135"/>
    </row>
    <row r="33" spans="1:11" ht="12.75">
      <c r="A33" s="139" t="s">
        <v>407</v>
      </c>
      <c r="B33" s="132"/>
      <c r="F33" s="135"/>
      <c r="H33" s="135"/>
      <c r="I33" s="135"/>
      <c r="J33" s="135"/>
      <c r="K33" s="135"/>
    </row>
    <row r="34" spans="1:11" ht="12.75">
      <c r="A34" s="139" t="s">
        <v>403</v>
      </c>
      <c r="B34" s="132">
        <v>11760.71</v>
      </c>
      <c r="F34" s="135"/>
      <c r="H34" s="135"/>
      <c r="I34" s="135"/>
      <c r="J34" s="135"/>
      <c r="K34" s="135"/>
    </row>
    <row r="35" spans="1:11" ht="12.75">
      <c r="A35" s="139" t="s">
        <v>404</v>
      </c>
      <c r="B35" s="132">
        <v>0.0066500000000000005</v>
      </c>
      <c r="F35" s="135"/>
      <c r="H35" s="135"/>
      <c r="I35" s="135"/>
      <c r="J35" s="135"/>
      <c r="K35" s="135"/>
    </row>
    <row r="36" spans="1:11" ht="12.75">
      <c r="A36" s="139" t="s">
        <v>406</v>
      </c>
      <c r="B36" s="132">
        <v>8200</v>
      </c>
      <c r="F36" s="135"/>
      <c r="H36" s="135"/>
      <c r="I36" s="135"/>
      <c r="J36" s="135"/>
      <c r="K36" s="135"/>
    </row>
    <row r="37" spans="1:11" ht="12.75">
      <c r="A37" s="813"/>
      <c r="B37" s="814"/>
      <c r="F37" s="135"/>
      <c r="H37" s="135"/>
      <c r="I37" s="135"/>
      <c r="J37" s="135"/>
      <c r="K37" s="135"/>
    </row>
    <row r="38" spans="1:11" ht="12.75">
      <c r="A38" s="130" t="s">
        <v>333</v>
      </c>
      <c r="B38" s="132"/>
      <c r="F38" s="135"/>
      <c r="H38" s="135"/>
      <c r="I38" s="135"/>
      <c r="J38" s="135"/>
      <c r="K38" s="135"/>
    </row>
    <row r="39" spans="1:11" ht="12.75">
      <c r="A39" s="139" t="s">
        <v>422</v>
      </c>
      <c r="B39" s="132"/>
      <c r="C39" s="140"/>
      <c r="D39" s="140"/>
      <c r="E39" s="140"/>
      <c r="F39" s="135"/>
      <c r="H39" s="135"/>
      <c r="I39" s="135"/>
      <c r="J39" s="135"/>
      <c r="K39" s="135"/>
    </row>
    <row r="40" spans="1:5" ht="12.75">
      <c r="A40" s="139" t="s">
        <v>403</v>
      </c>
      <c r="B40" s="132">
        <v>3000.8</v>
      </c>
      <c r="C40" s="140"/>
      <c r="D40" s="140"/>
      <c r="E40" s="140"/>
    </row>
    <row r="41" spans="1:5" ht="12.75">
      <c r="A41" s="141" t="s">
        <v>336</v>
      </c>
      <c r="B41" s="132">
        <f>0.00207</f>
        <v>0.00207</v>
      </c>
      <c r="C41" s="140"/>
      <c r="D41" s="140"/>
      <c r="E41" s="140"/>
    </row>
    <row r="42" spans="1:2" ht="13.5" thickBot="1">
      <c r="A42" s="180"/>
      <c r="B42" s="129"/>
    </row>
    <row r="43" spans="1:2" ht="13.5" thickBot="1">
      <c r="A43" s="1761" t="s">
        <v>1793</v>
      </c>
      <c r="B43" s="1762"/>
    </row>
    <row r="44" ht="12.75">
      <c r="A44" s="122" t="s">
        <v>408</v>
      </c>
    </row>
    <row r="45" ht="12.75">
      <c r="A45" s="122"/>
    </row>
    <row r="47" ht="12.75">
      <c r="A47" s="124" t="s">
        <v>409</v>
      </c>
    </row>
    <row r="48" ht="12.75">
      <c r="A48" s="124" t="s">
        <v>410</v>
      </c>
    </row>
    <row r="49" ht="12.75">
      <c r="A49" s="124" t="s">
        <v>411</v>
      </c>
    </row>
    <row r="50" ht="12.75">
      <c r="A50" s="124" t="s">
        <v>412</v>
      </c>
    </row>
    <row r="51" ht="12.75">
      <c r="A51" s="124" t="s">
        <v>414</v>
      </c>
    </row>
    <row r="53" ht="12.75">
      <c r="A53" s="124" t="s">
        <v>416</v>
      </c>
    </row>
    <row r="54" ht="12.75">
      <c r="A54" s="124" t="s">
        <v>417</v>
      </c>
    </row>
  </sheetData>
  <mergeCells count="3">
    <mergeCell ref="D7:E7"/>
    <mergeCell ref="G8:H8"/>
    <mergeCell ref="A27:B27"/>
  </mergeCells>
  <printOptions gridLines="1"/>
  <pageMargins left="1.18" right="0.75" top="1" bottom="1" header="0.5" footer="0.5"/>
  <pageSetup horizontalDpi="300" verticalDpi="300" orientation="portrait" scale="88" r:id="rId1"/>
  <headerFooter alignWithMargins="0">
    <oddHeader>&amp;C&amp;A</oddHeader>
    <oddFooter>&amp;CWater Treatment Cost Estimation Program</oddFooter>
  </headerFooter>
</worksheet>
</file>

<file path=xl/worksheets/sheet26.xml><?xml version="1.0" encoding="utf-8"?>
<worksheet xmlns="http://schemas.openxmlformats.org/spreadsheetml/2006/main" xmlns:r="http://schemas.openxmlformats.org/officeDocument/2006/relationships">
  <sheetPr codeName="Sheet161"/>
  <dimension ref="A1:L56"/>
  <sheetViews>
    <sheetView workbookViewId="0" topLeftCell="A19">
      <selection activeCell="D23" sqref="D23"/>
    </sheetView>
  </sheetViews>
  <sheetFormatPr defaultColWidth="9.140625" defaultRowHeight="12.75"/>
  <cols>
    <col min="1" max="1" width="38.00390625" style="123" customWidth="1"/>
    <col min="2" max="2" width="12.00390625" style="123" customWidth="1"/>
    <col min="3" max="3" width="10.7109375" style="123" bestFit="1" customWidth="1"/>
    <col min="4" max="4" width="8.421875" style="123" customWidth="1"/>
    <col min="5" max="5" width="7.8515625" style="123" customWidth="1"/>
    <col min="6" max="6" width="9.57421875" style="123" customWidth="1"/>
    <col min="7" max="8" width="10.421875" style="123" bestFit="1" customWidth="1"/>
    <col min="9" max="9" width="11.7109375" style="123" customWidth="1"/>
    <col min="10" max="10" width="13.28125" style="123" customWidth="1"/>
    <col min="11" max="11" width="12.7109375" style="123" customWidth="1"/>
    <col min="12" max="12" width="13.28125" style="123" customWidth="1"/>
    <col min="13" max="16384" width="8.7109375" style="12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384" t="s">
        <v>433</v>
      </c>
    </row>
    <row r="7" spans="1:5" ht="13.5" thickBot="1">
      <c r="A7" s="1469"/>
      <c r="B7" s="1080"/>
      <c r="C7" s="1062" t="s">
        <v>1682</v>
      </c>
      <c r="D7" s="2492" t="s">
        <v>766</v>
      </c>
      <c r="E7" s="2492"/>
    </row>
    <row r="8" spans="1:8" ht="15" thickTop="1">
      <c r="A8" s="1060" t="s">
        <v>1817</v>
      </c>
      <c r="B8" s="1081">
        <f>'{b}Capacity'!$B$32</f>
        <v>5153.867102396514</v>
      </c>
      <c r="C8" s="943" t="s">
        <v>1</v>
      </c>
      <c r="D8" s="1079">
        <f>B8*86400/1000</f>
        <v>445294.11764705885</v>
      </c>
      <c r="E8" s="943" t="s">
        <v>1497</v>
      </c>
      <c r="F8" s="48"/>
      <c r="G8" s="2547" t="s">
        <v>1786</v>
      </c>
      <c r="H8" s="2549"/>
    </row>
    <row r="9" spans="1:8" ht="13.5" thickBot="1">
      <c r="A9" s="205" t="s">
        <v>421</v>
      </c>
      <c r="B9" s="205">
        <f>'{c}Report'!D189</f>
        <v>0</v>
      </c>
      <c r="C9" s="205" t="s">
        <v>1692</v>
      </c>
      <c r="D9" s="205"/>
      <c r="E9" s="205"/>
      <c r="F9" s="52"/>
      <c r="G9" s="834" t="s">
        <v>1785</v>
      </c>
      <c r="H9" s="834" t="s">
        <v>177</v>
      </c>
    </row>
    <row r="10" spans="1:8" ht="13.5" thickTop="1">
      <c r="A10" s="1058" t="s">
        <v>18</v>
      </c>
      <c r="B10" s="208">
        <f>IF(B9=0,D8*0.5/1000,D8*B9/1000)</f>
        <v>222.64705882352942</v>
      </c>
      <c r="C10" s="205" t="s">
        <v>1771</v>
      </c>
      <c r="D10" s="205"/>
      <c r="E10" s="205"/>
      <c r="F10" s="1004"/>
      <c r="G10" s="1132">
        <v>0.5</v>
      </c>
      <c r="H10" s="1286">
        <v>100</v>
      </c>
    </row>
    <row r="11" spans="1:5" ht="12.75">
      <c r="A11" s="502" t="s">
        <v>1465</v>
      </c>
      <c r="B11" s="1214">
        <v>500</v>
      </c>
      <c r="C11" s="205" t="s">
        <v>17</v>
      </c>
      <c r="D11" s="205"/>
      <c r="E11" s="205"/>
    </row>
    <row r="12" spans="8:12" ht="12.75">
      <c r="H12" s="133"/>
      <c r="I12" s="177"/>
      <c r="J12" s="177"/>
      <c r="K12" s="177"/>
      <c r="L12" s="177"/>
    </row>
    <row r="13" spans="4:12" ht="12.75">
      <c r="D13" s="124"/>
      <c r="E13" s="124"/>
      <c r="H13" s="133"/>
      <c r="I13" s="177"/>
      <c r="J13" s="177"/>
      <c r="K13" s="177"/>
      <c r="L13" s="177"/>
    </row>
    <row r="14" spans="4:12" ht="13.5" thickBot="1">
      <c r="D14" s="124"/>
      <c r="E14" s="124"/>
      <c r="H14" s="133"/>
      <c r="I14" s="177"/>
      <c r="J14" s="177"/>
      <c r="K14" s="177"/>
      <c r="L14" s="177"/>
    </row>
    <row r="15" spans="1:12" ht="13.5" thickBot="1">
      <c r="A15" s="777" t="s">
        <v>187</v>
      </c>
      <c r="B15" s="781" t="s">
        <v>132</v>
      </c>
      <c r="C15" s="1182">
        <f>$B$35*EXP(B10*$B$36)+$B$37</f>
        <v>59895.320041401836</v>
      </c>
      <c r="D15" s="124"/>
      <c r="E15" s="124"/>
      <c r="H15" s="133"/>
      <c r="I15" s="177"/>
      <c r="J15" s="177"/>
      <c r="K15" s="177"/>
      <c r="L15" s="177"/>
    </row>
    <row r="16" spans="1:12" ht="13.5" thickTop="1">
      <c r="A16" s="1134" t="s">
        <v>1072</v>
      </c>
      <c r="B16" s="1283">
        <v>0.76</v>
      </c>
      <c r="C16" s="1199">
        <f>B16*C$15*'{d}Cost Index'!D10</f>
        <v>126322.87874383785</v>
      </c>
      <c r="H16" s="133"/>
      <c r="I16" s="177"/>
      <c r="J16" s="177"/>
      <c r="K16" s="177"/>
      <c r="L16" s="177"/>
    </row>
    <row r="17" spans="1:12" ht="12.75">
      <c r="A17" s="1045" t="s">
        <v>1063</v>
      </c>
      <c r="B17" s="1284">
        <v>0.19</v>
      </c>
      <c r="C17" s="1200">
        <f>B17*C$15*'{d}Cost Index'!D13</f>
        <v>29505.254609940348</v>
      </c>
      <c r="H17" s="133"/>
      <c r="I17" s="177"/>
      <c r="J17" s="177"/>
      <c r="K17" s="177"/>
      <c r="L17" s="177"/>
    </row>
    <row r="18" spans="1:12" ht="12.75">
      <c r="A18" s="1137" t="s">
        <v>1064</v>
      </c>
      <c r="B18" s="1284">
        <v>0.04</v>
      </c>
      <c r="C18" s="1200">
        <f>B18*C$15*'{d}Cost Index'!D14</f>
        <v>7240.7197265855775</v>
      </c>
      <c r="F18" s="124"/>
      <c r="G18" s="52"/>
      <c r="H18" s="57"/>
      <c r="I18" s="177"/>
      <c r="J18" s="177"/>
      <c r="K18" s="177"/>
      <c r="L18" s="177"/>
    </row>
    <row r="19" spans="1:12" ht="12.75">
      <c r="A19" s="1045" t="s">
        <v>1073</v>
      </c>
      <c r="B19" s="1284">
        <v>0.01</v>
      </c>
      <c r="C19" s="1200">
        <f>B19*C$15*'{d}Cost Index'!D16</f>
        <v>1246.627185585888</v>
      </c>
      <c r="F19" s="124"/>
      <c r="G19" s="52"/>
      <c r="H19" s="57"/>
      <c r="I19" s="177"/>
      <c r="J19" s="177"/>
      <c r="K19" s="177"/>
      <c r="L19" s="177"/>
    </row>
    <row r="20" spans="1:12" ht="12.75">
      <c r="A20" s="1045" t="s">
        <v>1066</v>
      </c>
      <c r="B20" s="1284">
        <v>0</v>
      </c>
      <c r="C20" s="1200">
        <f>B20*C$15*'{d}Cost Index'!D19</f>
        <v>0</v>
      </c>
      <c r="F20" s="301"/>
      <c r="G20" s="52"/>
      <c r="H20" s="57"/>
      <c r="I20" s="177"/>
      <c r="J20" s="177"/>
      <c r="K20" s="177"/>
      <c r="L20" s="177"/>
    </row>
    <row r="21" spans="1:12" ht="13.5" thickBot="1">
      <c r="A21" s="1138" t="s">
        <v>1067</v>
      </c>
      <c r="B21" s="1285">
        <v>0</v>
      </c>
      <c r="C21" s="1201">
        <f>B21*C$15*'{d}Cost Index'!D18</f>
        <v>0</v>
      </c>
      <c r="F21" s="124"/>
      <c r="G21" s="30"/>
      <c r="H21" s="57"/>
      <c r="I21" s="177"/>
      <c r="J21" s="177"/>
      <c r="K21" s="177"/>
      <c r="L21" s="177"/>
    </row>
    <row r="22" spans="1:12" ht="13.5" thickBot="1">
      <c r="A22" s="758" t="str">
        <f>TEXT(IndexDate,"mmmm, yyyy")&amp;" Capital Cost $:"</f>
        <v>November, 2006 Capital Cost $:</v>
      </c>
      <c r="B22" s="782">
        <f>SUM(B16:B21)</f>
        <v>1</v>
      </c>
      <c r="C22" s="1203">
        <f>SUM(C16:C21)</f>
        <v>164315.48026594965</v>
      </c>
      <c r="F22" s="124"/>
      <c r="G22" s="52"/>
      <c r="H22" s="307"/>
      <c r="I22" s="177"/>
      <c r="J22" s="177"/>
      <c r="K22" s="177"/>
      <c r="L22" s="177"/>
    </row>
    <row r="23" spans="6:12" ht="13.5" thickBot="1">
      <c r="F23" s="124"/>
      <c r="G23" s="52"/>
      <c r="H23" s="307"/>
      <c r="K23" s="177"/>
      <c r="L23" s="177"/>
    </row>
    <row r="24" spans="1:11" ht="13.5" thickBot="1">
      <c r="A24" s="777" t="s">
        <v>188</v>
      </c>
      <c r="B24" s="781" t="s">
        <v>132</v>
      </c>
      <c r="C24" s="1182">
        <f>$B$41*EXP($B$42*B10)</f>
        <v>4757.671327139934</v>
      </c>
      <c r="F24" s="232"/>
      <c r="G24" s="32"/>
      <c r="H24" s="31"/>
      <c r="I24" s="135"/>
      <c r="J24" s="135"/>
      <c r="K24" s="135"/>
    </row>
    <row r="25" spans="1:11" ht="13.5" thickTop="1">
      <c r="A25" s="1134" t="s">
        <v>1495</v>
      </c>
      <c r="B25" s="1145">
        <v>0.1</v>
      </c>
      <c r="C25" s="1195">
        <f>C$24*B25*'{d}Cost Index'!D17</f>
        <v>990.234698202694</v>
      </c>
      <c r="F25" s="1"/>
      <c r="G25" s="1"/>
      <c r="H25" s="295"/>
      <c r="I25" s="135"/>
      <c r="J25" s="135"/>
      <c r="K25" s="135"/>
    </row>
    <row r="26" spans="1:11" ht="12.75">
      <c r="A26" s="1045" t="s">
        <v>1494</v>
      </c>
      <c r="B26" s="1143">
        <v>0.24</v>
      </c>
      <c r="C26" s="1196">
        <f>C$24*B26*'{d}Cost Index'!D21</f>
        <v>2664.295943198363</v>
      </c>
      <c r="F26" s="124"/>
      <c r="H26" s="135"/>
      <c r="I26" s="135"/>
      <c r="J26" s="135"/>
      <c r="K26" s="135"/>
    </row>
    <row r="27" spans="1:11" ht="12.75">
      <c r="A27" s="1045" t="s">
        <v>210</v>
      </c>
      <c r="B27" s="1143">
        <v>0.66</v>
      </c>
      <c r="C27" s="1196">
        <f>C$24*B27*'{d}Cost Index'!D11</f>
        <v>8830.477478727391</v>
      </c>
      <c r="F27" s="124"/>
      <c r="G27" s="30"/>
      <c r="H27" s="31"/>
      <c r="I27" s="135"/>
      <c r="J27" s="135"/>
      <c r="K27" s="135"/>
    </row>
    <row r="28" spans="1:11" ht="13.5" thickBot="1">
      <c r="A28" s="2541" t="s">
        <v>1489</v>
      </c>
      <c r="B28" s="2542"/>
      <c r="C28" s="1213">
        <f>(B10*365*'{b}Capacity'!C9*B11*2.205/500)</f>
        <v>170232.3231617647</v>
      </c>
      <c r="F28" s="124"/>
      <c r="G28" s="30"/>
      <c r="H28" s="31"/>
      <c r="I28" s="135"/>
      <c r="J28" s="135"/>
      <c r="K28" s="135"/>
    </row>
    <row r="29" spans="1:11" ht="13.5" thickBot="1">
      <c r="A29" s="127" t="str">
        <f>TEXT(IndexDate,"mmmm, yyyy")&amp;"  Operation &amp; Maintenance $:"</f>
        <v>November, 2006  Operation &amp; Maintenance $:</v>
      </c>
      <c r="B29" s="780">
        <f>SUM(B25:B27)</f>
        <v>1</v>
      </c>
      <c r="C29" s="1203">
        <f>SUM(C25:C28)</f>
        <v>182717.33128189316</v>
      </c>
      <c r="D29" s="135"/>
      <c r="E29" s="135"/>
      <c r="F29" s="124"/>
      <c r="G29" s="30"/>
      <c r="H29" s="31"/>
      <c r="I29" s="135"/>
      <c r="J29" s="135"/>
      <c r="K29" s="135"/>
    </row>
    <row r="30" spans="6:11" ht="12.75">
      <c r="F30" s="124"/>
      <c r="H30" s="308"/>
      <c r="I30" s="135"/>
      <c r="J30" s="135"/>
      <c r="K30" s="135"/>
    </row>
    <row r="31" spans="6:11" ht="13.5" thickBot="1">
      <c r="F31" s="124"/>
      <c r="G31" s="138"/>
      <c r="H31" s="31"/>
      <c r="I31" s="135"/>
      <c r="J31" s="135"/>
      <c r="K31" s="135"/>
    </row>
    <row r="32" spans="1:11" ht="12.75">
      <c r="A32" s="815" t="s">
        <v>1777</v>
      </c>
      <c r="B32" s="816"/>
      <c r="F32" s="135"/>
      <c r="H32" s="135"/>
      <c r="I32" s="135"/>
      <c r="J32" s="135"/>
      <c r="K32" s="135"/>
    </row>
    <row r="33" spans="1:11" ht="12.75">
      <c r="A33" s="823" t="s">
        <v>332</v>
      </c>
      <c r="B33" s="820"/>
      <c r="F33" s="135"/>
      <c r="H33" s="135"/>
      <c r="I33" s="135"/>
      <c r="J33" s="135"/>
      <c r="K33" s="135"/>
    </row>
    <row r="34" spans="1:11" ht="12.75">
      <c r="A34" s="139" t="s">
        <v>407</v>
      </c>
      <c r="B34" s="132"/>
      <c r="F34" s="135"/>
      <c r="H34" s="135"/>
      <c r="I34" s="135"/>
      <c r="J34" s="135"/>
      <c r="K34" s="135"/>
    </row>
    <row r="35" spans="1:11" ht="12.75">
      <c r="A35" s="139" t="s">
        <v>403</v>
      </c>
      <c r="B35" s="132">
        <v>11760.71</v>
      </c>
      <c r="F35" s="135"/>
      <c r="H35" s="135"/>
      <c r="I35" s="135"/>
      <c r="J35" s="135"/>
      <c r="K35" s="135"/>
    </row>
    <row r="36" spans="1:11" ht="12.75">
      <c r="A36" s="139" t="s">
        <v>404</v>
      </c>
      <c r="B36" s="132">
        <v>0.0066500000000000005</v>
      </c>
      <c r="F36" s="135"/>
      <c r="H36" s="135"/>
      <c r="I36" s="135"/>
      <c r="J36" s="135"/>
      <c r="K36" s="135"/>
    </row>
    <row r="37" spans="1:11" ht="12.75">
      <c r="A37" s="139" t="s">
        <v>406</v>
      </c>
      <c r="B37" s="132">
        <v>8200</v>
      </c>
      <c r="F37" s="135"/>
      <c r="H37" s="135"/>
      <c r="I37" s="135"/>
      <c r="J37" s="135"/>
      <c r="K37" s="135"/>
    </row>
    <row r="38" spans="1:11" ht="12.75">
      <c r="A38" s="141"/>
      <c r="B38" s="132"/>
      <c r="F38" s="135"/>
      <c r="H38" s="135"/>
      <c r="I38" s="135"/>
      <c r="J38" s="135"/>
      <c r="K38" s="135"/>
    </row>
    <row r="39" spans="1:11" ht="12.75">
      <c r="A39" s="823" t="s">
        <v>333</v>
      </c>
      <c r="B39" s="820"/>
      <c r="F39" s="135"/>
      <c r="H39" s="135"/>
      <c r="I39" s="135"/>
      <c r="J39" s="135"/>
      <c r="K39" s="135"/>
    </row>
    <row r="40" spans="1:11" ht="12.75">
      <c r="A40" s="139" t="s">
        <v>422</v>
      </c>
      <c r="B40" s="132"/>
      <c r="C40" s="140"/>
      <c r="D40" s="140"/>
      <c r="E40" s="140"/>
      <c r="F40" s="135"/>
      <c r="H40" s="135"/>
      <c r="I40" s="135"/>
      <c r="J40" s="135"/>
      <c r="K40" s="135"/>
    </row>
    <row r="41" spans="1:11" ht="12.75">
      <c r="A41" s="139" t="s">
        <v>403</v>
      </c>
      <c r="B41" s="132">
        <v>3000.8</v>
      </c>
      <c r="C41" s="140"/>
      <c r="D41" s="140"/>
      <c r="E41" s="140"/>
      <c r="F41" s="135"/>
      <c r="H41" s="135"/>
      <c r="I41" s="135"/>
      <c r="J41" s="135"/>
      <c r="K41" s="135"/>
    </row>
    <row r="42" spans="1:5" ht="12.75">
      <c r="A42" s="141" t="s">
        <v>336</v>
      </c>
      <c r="B42" s="132">
        <f>0.00207</f>
        <v>0.00207</v>
      </c>
      <c r="C42" s="140"/>
      <c r="D42" s="140"/>
      <c r="E42" s="140"/>
    </row>
    <row r="43" spans="1:2" ht="13.5" thickBot="1">
      <c r="A43" s="180"/>
      <c r="B43" s="129"/>
    </row>
    <row r="46" ht="12.75">
      <c r="A46" s="122" t="s">
        <v>408</v>
      </c>
    </row>
    <row r="47" ht="12.75">
      <c r="A47" s="122"/>
    </row>
    <row r="49" ht="12.75">
      <c r="A49" s="124" t="s">
        <v>409</v>
      </c>
    </row>
    <row r="50" ht="12.75">
      <c r="A50" s="124" t="s">
        <v>410</v>
      </c>
    </row>
    <row r="51" ht="12.75">
      <c r="A51" s="124" t="s">
        <v>411</v>
      </c>
    </row>
    <row r="52" ht="12.75">
      <c r="A52" s="124" t="s">
        <v>412</v>
      </c>
    </row>
    <row r="53" ht="12.75">
      <c r="A53" s="124" t="s">
        <v>414</v>
      </c>
    </row>
    <row r="55" ht="12.75">
      <c r="A55" s="124" t="s">
        <v>416</v>
      </c>
    </row>
    <row r="56" ht="12.75">
      <c r="A56" s="124" t="s">
        <v>417</v>
      </c>
    </row>
  </sheetData>
  <mergeCells count="3">
    <mergeCell ref="D7:E7"/>
    <mergeCell ref="G8:H8"/>
    <mergeCell ref="A28:B28"/>
  </mergeCells>
  <printOptions gridLines="1"/>
  <pageMargins left="1.18" right="0.75" top="1" bottom="1" header="0.5" footer="0.5"/>
  <pageSetup horizontalDpi="300" verticalDpi="300" orientation="portrait" scale="88" r:id="rId1"/>
  <headerFooter alignWithMargins="0">
    <oddHeader>&amp;C&amp;A</oddHeader>
    <oddFooter>&amp;CWater Treatment Cost Estimation Program</oddFooter>
  </headerFooter>
</worksheet>
</file>

<file path=xl/worksheets/sheet27.xml><?xml version="1.0" encoding="utf-8"?>
<worksheet xmlns="http://schemas.openxmlformats.org/spreadsheetml/2006/main" xmlns:r="http://schemas.openxmlformats.org/officeDocument/2006/relationships">
  <sheetPr codeName="Sheet17"/>
  <dimension ref="A1:W55"/>
  <sheetViews>
    <sheetView workbookViewId="0" topLeftCell="A1">
      <selection activeCell="I20" sqref="I20"/>
    </sheetView>
  </sheetViews>
  <sheetFormatPr defaultColWidth="9.140625" defaultRowHeight="12.75"/>
  <cols>
    <col min="1" max="1" width="35.7109375" style="123" customWidth="1"/>
    <col min="2" max="2" width="11.8515625" style="123" customWidth="1"/>
    <col min="3" max="3" width="10.00390625" style="123" customWidth="1"/>
    <col min="4" max="4" width="8.140625" style="123" bestFit="1" customWidth="1"/>
    <col min="5" max="5" width="6.8515625" style="123" bestFit="1" customWidth="1"/>
    <col min="6" max="6" width="6.7109375" style="123" customWidth="1"/>
    <col min="7" max="7" width="8.140625" style="123" customWidth="1"/>
    <col min="8" max="8" width="6.28125" style="123" customWidth="1"/>
    <col min="9" max="9" width="9.7109375" style="123" customWidth="1"/>
    <col min="10" max="10" width="12.7109375" style="123" customWidth="1"/>
    <col min="11" max="11" width="28.421875" style="123" bestFit="1" customWidth="1"/>
    <col min="12" max="12" width="8.7109375" style="1864" customWidth="1"/>
    <col min="13" max="13" width="36.421875" style="123" bestFit="1" customWidth="1"/>
    <col min="14" max="15" width="8.7109375" style="123" customWidth="1"/>
    <col min="16" max="16" width="7.140625" style="123" bestFit="1" customWidth="1"/>
    <col min="17" max="17" width="7.57421875" style="123" customWidth="1"/>
    <col min="18" max="18" width="6.7109375" style="123" customWidth="1"/>
    <col min="19" max="20" width="10.421875" style="123" bestFit="1" customWidth="1"/>
    <col min="21" max="21" width="11.28125" style="123" customWidth="1"/>
    <col min="22" max="22" width="10.421875" style="123" bestFit="1" customWidth="1"/>
    <col min="23" max="23" width="29.00390625" style="123" bestFit="1" customWidth="1"/>
    <col min="24" max="16384" width="8.7109375" style="123" customWidth="1"/>
  </cols>
  <sheetData>
    <row r="1" spans="1:12" ht="15.75">
      <c r="A1" s="381" t="s">
        <v>846</v>
      </c>
      <c r="B1" s="382" t="s">
        <v>847</v>
      </c>
      <c r="C1" s="383" t="s">
        <v>848</v>
      </c>
      <c r="L1" s="123"/>
    </row>
    <row r="2" spans="1:12" ht="18.75" thickBot="1">
      <c r="A2" s="396" t="str">
        <f>'{a}Project &amp; Stage Info'!C3</f>
        <v>Model Development</v>
      </c>
      <c r="B2" s="397">
        <f>'{a}Project &amp; Stage Info'!C5</f>
        <v>38145</v>
      </c>
      <c r="C2" s="398" t="str">
        <f>'{a}Project &amp; Stage Info'!C7</f>
        <v>A1</v>
      </c>
      <c r="L2" s="123"/>
    </row>
    <row r="3" ht="12.75">
      <c r="L3" s="123"/>
    </row>
    <row r="4" spans="1:12" ht="18">
      <c r="A4" s="384" t="s">
        <v>438</v>
      </c>
      <c r="L4" s="123"/>
    </row>
    <row r="5" spans="1:12" ht="14.25" customHeight="1">
      <c r="A5" s="1863"/>
      <c r="L5" s="123"/>
    </row>
    <row r="6" spans="1:13" s="1865" customFormat="1" ht="15.75">
      <c r="A6" s="1866" t="s">
        <v>463</v>
      </c>
      <c r="M6" s="1866" t="s">
        <v>464</v>
      </c>
    </row>
    <row r="7" spans="8:23" ht="12.75">
      <c r="H7" s="48"/>
      <c r="I7" s="2547" t="s">
        <v>1786</v>
      </c>
      <c r="J7" s="2549"/>
      <c r="K7" s="177"/>
      <c r="T7" s="48"/>
      <c r="U7" s="2547" t="s">
        <v>1786</v>
      </c>
      <c r="V7" s="2549"/>
      <c r="W7" s="177"/>
    </row>
    <row r="8" spans="1:23" ht="13.5" thickBot="1">
      <c r="A8" s="1469"/>
      <c r="B8" s="1080"/>
      <c r="C8" s="1062" t="s">
        <v>1682</v>
      </c>
      <c r="D8" s="2492" t="s">
        <v>766</v>
      </c>
      <c r="E8" s="2492"/>
      <c r="F8" s="2492" t="s">
        <v>766</v>
      </c>
      <c r="G8" s="2492"/>
      <c r="H8" s="52"/>
      <c r="I8" s="834" t="s">
        <v>1785</v>
      </c>
      <c r="J8" s="834" t="s">
        <v>177</v>
      </c>
      <c r="K8" s="177"/>
      <c r="M8" s="1469"/>
      <c r="N8" s="1080"/>
      <c r="O8" s="1062" t="s">
        <v>1682</v>
      </c>
      <c r="P8" s="2492" t="s">
        <v>766</v>
      </c>
      <c r="Q8" s="2492"/>
      <c r="R8" s="2492" t="s">
        <v>766</v>
      </c>
      <c r="S8" s="2492"/>
      <c r="T8" s="52"/>
      <c r="U8" s="834" t="s">
        <v>1785</v>
      </c>
      <c r="V8" s="834" t="s">
        <v>177</v>
      </c>
      <c r="W8" s="177"/>
    </row>
    <row r="9" spans="1:23" ht="15" thickTop="1">
      <c r="A9" s="1060" t="s">
        <v>477</v>
      </c>
      <c r="B9" s="1081">
        <f>'{b}Capacity'!$B$32</f>
        <v>5153.867102396514</v>
      </c>
      <c r="C9" s="205" t="s">
        <v>1</v>
      </c>
      <c r="D9" s="1082">
        <f>B9*86400/1000</f>
        <v>445294.11764705885</v>
      </c>
      <c r="E9" s="943" t="s">
        <v>1497</v>
      </c>
      <c r="F9" s="1871">
        <f>B9/3.785*60</f>
        <v>81699.34640522876</v>
      </c>
      <c r="G9" s="943" t="s">
        <v>103</v>
      </c>
      <c r="H9" s="1004"/>
      <c r="I9" s="1872">
        <v>1000000</v>
      </c>
      <c r="J9" s="1873">
        <v>200000000</v>
      </c>
      <c r="K9" s="1755" t="s">
        <v>475</v>
      </c>
      <c r="M9" s="1060" t="s">
        <v>477</v>
      </c>
      <c r="N9" s="1081">
        <f>'{b}Capacity'!$B$32</f>
        <v>5153.867102396514</v>
      </c>
      <c r="O9" s="205" t="s">
        <v>1</v>
      </c>
      <c r="P9" s="1082">
        <f>N9*86400/1000</f>
        <v>445294.11764705885</v>
      </c>
      <c r="Q9" s="943" t="s">
        <v>1497</v>
      </c>
      <c r="R9" s="1871">
        <f>N9/3.785*60</f>
        <v>81699.34640522876</v>
      </c>
      <c r="S9" s="943" t="s">
        <v>103</v>
      </c>
      <c r="T9" s="1004"/>
      <c r="U9" s="1132">
        <v>2500</v>
      </c>
      <c r="V9" s="1286">
        <v>1000000</v>
      </c>
      <c r="W9" s="1755" t="s">
        <v>465</v>
      </c>
    </row>
    <row r="10" spans="1:22" ht="12.75">
      <c r="A10" s="502" t="s">
        <v>68</v>
      </c>
      <c r="B10" s="207">
        <f>'{e}H20 Analysis'!C22</f>
        <v>0</v>
      </c>
      <c r="C10" s="205" t="s">
        <v>1692</v>
      </c>
      <c r="D10" s="205"/>
      <c r="E10" s="205"/>
      <c r="F10" s="205"/>
      <c r="G10" s="205"/>
      <c r="I10" s="753"/>
      <c r="J10" s="753"/>
      <c r="M10" s="502" t="s">
        <v>68</v>
      </c>
      <c r="N10" s="207">
        <f>'{e}H20 Analysis'!C22</f>
        <v>0</v>
      </c>
      <c r="O10" s="205" t="s">
        <v>1692</v>
      </c>
      <c r="P10" s="205"/>
      <c r="Q10" s="205"/>
      <c r="R10" s="205"/>
      <c r="S10" s="205"/>
      <c r="U10" s="1883"/>
      <c r="V10" s="1883"/>
    </row>
    <row r="11" spans="1:22" ht="12.75">
      <c r="A11" s="502" t="s">
        <v>69</v>
      </c>
      <c r="B11" s="207">
        <f>'{e}H20 Analysis'!C19</f>
        <v>0</v>
      </c>
      <c r="C11" s="205" t="s">
        <v>1692</v>
      </c>
      <c r="D11" s="205"/>
      <c r="E11" s="205"/>
      <c r="F11" s="205"/>
      <c r="G11" s="747"/>
      <c r="H11" s="176"/>
      <c r="I11" s="1878"/>
      <c r="J11" s="1878"/>
      <c r="K11" s="176"/>
      <c r="M11" s="502" t="s">
        <v>69</v>
      </c>
      <c r="N11" s="207">
        <f>'{e}H20 Analysis'!C19</f>
        <v>0</v>
      </c>
      <c r="O11" s="205" t="s">
        <v>1692</v>
      </c>
      <c r="P11" s="205"/>
      <c r="Q11" s="205"/>
      <c r="R11" s="205"/>
      <c r="S11" s="747"/>
      <c r="T11" s="176"/>
      <c r="U11" s="1884"/>
      <c r="V11" s="1884"/>
    </row>
    <row r="12" spans="1:23" ht="12.75">
      <c r="A12" s="205" t="s">
        <v>717</v>
      </c>
      <c r="B12" s="756">
        <f>B10*1.92+B11*0.94</f>
        <v>0</v>
      </c>
      <c r="C12" s="205" t="s">
        <v>1692</v>
      </c>
      <c r="D12" s="205"/>
      <c r="E12" s="205"/>
      <c r="F12" s="1000"/>
      <c r="G12" s="1882"/>
      <c r="H12" s="626"/>
      <c r="I12" s="1879"/>
      <c r="J12" s="1878"/>
      <c r="K12" s="176"/>
      <c r="M12" s="205" t="s">
        <v>717</v>
      </c>
      <c r="N12" s="756">
        <f>N10*1.92+N11*0.94</f>
        <v>0</v>
      </c>
      <c r="O12" s="205" t="s">
        <v>1692</v>
      </c>
      <c r="P12" s="205"/>
      <c r="Q12" s="205"/>
      <c r="R12" s="1000"/>
      <c r="S12" s="205"/>
      <c r="U12" s="1884"/>
      <c r="V12" s="1884"/>
      <c r="W12" s="177"/>
    </row>
    <row r="13" spans="1:23" ht="12.75">
      <c r="A13" s="205" t="s">
        <v>0</v>
      </c>
      <c r="B13" s="205">
        <f>'{c}Report'!D195</f>
        <v>2</v>
      </c>
      <c r="C13" s="205" t="s">
        <v>1692</v>
      </c>
      <c r="D13" s="205"/>
      <c r="E13" s="205"/>
      <c r="F13" s="1003"/>
      <c r="G13" s="1861"/>
      <c r="H13" s="204"/>
      <c r="I13" s="1880"/>
      <c r="J13" s="1878"/>
      <c r="K13" s="176"/>
      <c r="M13" s="205" t="s">
        <v>0</v>
      </c>
      <c r="N13" s="205">
        <f>'{c}Report'!D195</f>
        <v>2</v>
      </c>
      <c r="O13" s="205" t="s">
        <v>1692</v>
      </c>
      <c r="P13" s="205"/>
      <c r="Q13" s="205"/>
      <c r="R13" s="1003"/>
      <c r="S13" s="205"/>
      <c r="U13" s="1884"/>
      <c r="V13" s="1884"/>
      <c r="W13" s="177"/>
    </row>
    <row r="14" spans="1:23" ht="12.75">
      <c r="A14" s="1058" t="s">
        <v>70</v>
      </c>
      <c r="B14" s="208">
        <f>IF(B13=0,D9*B12/1000,D9*B13/1000)</f>
        <v>890.5882352941177</v>
      </c>
      <c r="C14" s="205" t="s">
        <v>1771</v>
      </c>
      <c r="D14" s="205"/>
      <c r="E14" s="205"/>
      <c r="F14" s="1003"/>
      <c r="G14" s="205"/>
      <c r="H14" s="1881"/>
      <c r="I14" s="1660">
        <v>0.4</v>
      </c>
      <c r="J14" s="1573">
        <v>220</v>
      </c>
      <c r="K14" s="1744" t="s">
        <v>474</v>
      </c>
      <c r="M14" s="1058" t="s">
        <v>70</v>
      </c>
      <c r="N14" s="208">
        <f>IF(N13=0,P9*N12/1000,P9*N13/1000)</f>
        <v>890.5882352941177</v>
      </c>
      <c r="O14" s="205" t="s">
        <v>1771</v>
      </c>
      <c r="P14" s="205"/>
      <c r="Q14" s="205"/>
      <c r="R14" s="1003"/>
      <c r="S14" s="205"/>
      <c r="T14" s="205"/>
      <c r="U14" s="1660">
        <v>0.4</v>
      </c>
      <c r="V14" s="1573">
        <v>220</v>
      </c>
      <c r="W14" s="1744" t="s">
        <v>473</v>
      </c>
    </row>
    <row r="15" spans="1:21" ht="12.75">
      <c r="A15" s="502" t="s">
        <v>443</v>
      </c>
      <c r="B15" s="1215">
        <v>1.9</v>
      </c>
      <c r="C15" s="205" t="s">
        <v>71</v>
      </c>
      <c r="D15" s="205"/>
      <c r="E15" s="205"/>
      <c r="F15" s="205"/>
      <c r="G15" s="747"/>
      <c r="H15" s="177"/>
      <c r="I15" s="177"/>
      <c r="J15" s="176"/>
      <c r="K15" s="176"/>
      <c r="M15" s="502" t="s">
        <v>443</v>
      </c>
      <c r="N15" s="1215">
        <v>1.9</v>
      </c>
      <c r="O15" s="205" t="s">
        <v>71</v>
      </c>
      <c r="P15" s="205"/>
      <c r="Q15" s="205"/>
      <c r="R15" s="205"/>
      <c r="S15" s="747"/>
      <c r="T15" s="177"/>
      <c r="U15" s="177"/>
    </row>
    <row r="16" spans="8:21" ht="12.75">
      <c r="H16" s="133"/>
      <c r="I16" s="177"/>
      <c r="J16" s="177"/>
      <c r="K16" s="176"/>
      <c r="T16" s="133"/>
      <c r="U16" s="177"/>
    </row>
    <row r="17" spans="4:21" ht="12.75">
      <c r="D17" s="124"/>
      <c r="E17" s="124"/>
      <c r="H17" s="133"/>
      <c r="I17" s="177"/>
      <c r="J17" s="177"/>
      <c r="K17" s="176"/>
      <c r="P17" s="124"/>
      <c r="Q17" s="124"/>
      <c r="T17" s="133"/>
      <c r="U17" s="177"/>
    </row>
    <row r="18" spans="4:21" ht="13.5" thickBot="1">
      <c r="D18" s="124"/>
      <c r="E18" s="124"/>
      <c r="H18" s="133"/>
      <c r="I18" s="177"/>
      <c r="J18" s="177"/>
      <c r="K18" s="176"/>
      <c r="P18" s="124"/>
      <c r="Q18" s="124"/>
      <c r="T18" s="133"/>
      <c r="U18" s="177"/>
    </row>
    <row r="19" spans="1:21" ht="13.5" thickBot="1">
      <c r="A19" s="777" t="s">
        <v>288</v>
      </c>
      <c r="B19" s="781" t="s">
        <v>132</v>
      </c>
      <c r="C19" s="1182">
        <f>$B$39*B14^$B$40*EXP(B14*$B$41)</f>
        <v>35276.90043484738</v>
      </c>
      <c r="D19" s="124"/>
      <c r="E19" s="1"/>
      <c r="F19" s="1"/>
      <c r="G19" s="1"/>
      <c r="H19"/>
      <c r="I19" s="177"/>
      <c r="J19" s="177"/>
      <c r="K19" s="176"/>
      <c r="M19" s="777" t="s">
        <v>288</v>
      </c>
      <c r="N19" s="781" t="s">
        <v>132</v>
      </c>
      <c r="O19" s="1182">
        <f>$N$39*N14^$N$40*EXP(N14*$N$41)</f>
        <v>6400</v>
      </c>
      <c r="P19" s="124"/>
      <c r="Q19" s="1"/>
      <c r="R19" s="1"/>
      <c r="S19" s="1"/>
      <c r="T19"/>
      <c r="U19" s="177"/>
    </row>
    <row r="20" spans="1:21" ht="13.5" thickTop="1">
      <c r="A20" s="1134" t="s">
        <v>1072</v>
      </c>
      <c r="B20" s="1283">
        <v>0.66</v>
      </c>
      <c r="C20" s="1199">
        <f>B20*C$19*'{d}Cost Index'!D10</f>
        <v>64611.50941927018</v>
      </c>
      <c r="E20" s="1"/>
      <c r="F20" s="1"/>
      <c r="G20" s="1"/>
      <c r="H20"/>
      <c r="I20" s="177"/>
      <c r="J20" s="177"/>
      <c r="K20" s="176"/>
      <c r="M20" s="1134" t="s">
        <v>1072</v>
      </c>
      <c r="N20" s="1283">
        <f>(1380+220)/6400</f>
        <v>0.25</v>
      </c>
      <c r="O20" s="1199">
        <f>N20*O$19*'{d}Cost Index'!R10</f>
        <v>163680</v>
      </c>
      <c r="Q20" s="1"/>
      <c r="R20" s="1"/>
      <c r="S20" s="1"/>
      <c r="T20"/>
      <c r="U20" s="177"/>
    </row>
    <row r="21" spans="1:21" ht="12.75">
      <c r="A21" s="1045" t="s">
        <v>1063</v>
      </c>
      <c r="B21" s="1284">
        <v>0.19</v>
      </c>
      <c r="C21" s="1200">
        <f>B21*C$19*'{d}Cost Index'!D13</f>
        <v>17377.884089444902</v>
      </c>
      <c r="E21"/>
      <c r="F21"/>
      <c r="G21"/>
      <c r="H21"/>
      <c r="I21" s="177"/>
      <c r="J21" s="177"/>
      <c r="K21" s="177"/>
      <c r="M21" s="1045" t="s">
        <v>1063</v>
      </c>
      <c r="N21" s="1284">
        <f>4200/6400</f>
        <v>0.65625</v>
      </c>
      <c r="O21" s="1200">
        <f>N21*O$19*'{d}Cost Index'!R13</f>
        <v>463680</v>
      </c>
      <c r="Q21"/>
      <c r="R21"/>
      <c r="S21"/>
      <c r="T21"/>
      <c r="U21" s="177"/>
    </row>
    <row r="22" spans="1:20" ht="12.75">
      <c r="A22" s="1137" t="s">
        <v>1064</v>
      </c>
      <c r="B22" s="1284">
        <v>0.05</v>
      </c>
      <c r="C22" s="1200">
        <f>B22*C$19*'{d}Cost Index'!D14</f>
        <v>5330.761833621394</v>
      </c>
      <c r="E22"/>
      <c r="F22"/>
      <c r="G22"/>
      <c r="H22"/>
      <c r="K22" s="177"/>
      <c r="M22" s="1137" t="s">
        <v>1064</v>
      </c>
      <c r="N22" s="1284">
        <f>300/6400</f>
        <v>0.046875</v>
      </c>
      <c r="O22" s="1200">
        <f>N22*O$19*'{d}Cost Index'!R14</f>
        <v>33660</v>
      </c>
      <c r="Q22"/>
      <c r="R22"/>
      <c r="S22"/>
      <c r="T22"/>
    </row>
    <row r="23" spans="1:21" ht="12.75">
      <c r="A23" s="1045" t="s">
        <v>1073</v>
      </c>
      <c r="B23" s="1284">
        <v>0.1</v>
      </c>
      <c r="C23" s="1200">
        <f>B23*C$19*'{d}Cost Index'!D16</f>
        <v>7342.33377080025</v>
      </c>
      <c r="E23"/>
      <c r="F23"/>
      <c r="G23"/>
      <c r="H23"/>
      <c r="I23" s="177"/>
      <c r="J23" s="177"/>
      <c r="K23" s="177"/>
      <c r="M23" s="1045" t="s">
        <v>1073</v>
      </c>
      <c r="N23" s="1284">
        <f>300/6400</f>
        <v>0.046875</v>
      </c>
      <c r="O23" s="1200">
        <f>N23*O$19*'{d}Cost Index'!R16</f>
        <v>34920</v>
      </c>
      <c r="Q23"/>
      <c r="R23"/>
      <c r="S23"/>
      <c r="T23"/>
      <c r="U23" s="177"/>
    </row>
    <row r="24" spans="1:20" ht="12.75">
      <c r="A24" s="1045" t="s">
        <v>1066</v>
      </c>
      <c r="B24" s="1284">
        <v>0</v>
      </c>
      <c r="C24" s="1200">
        <f>B24*C$19*'{d}Cost Index'!D19</f>
        <v>0</v>
      </c>
      <c r="E24"/>
      <c r="F24"/>
      <c r="G24"/>
      <c r="H24"/>
      <c r="M24" s="1045" t="s">
        <v>1066</v>
      </c>
      <c r="N24" s="1284">
        <v>0</v>
      </c>
      <c r="O24" s="1200">
        <f>N24*O$19*'{d}Cost Index'!R19</f>
        <v>0</v>
      </c>
      <c r="Q24"/>
      <c r="R24"/>
      <c r="S24"/>
      <c r="T24"/>
    </row>
    <row r="25" spans="1:20" ht="13.5" thickBot="1">
      <c r="A25" s="1138" t="s">
        <v>1067</v>
      </c>
      <c r="B25" s="1285">
        <v>0</v>
      </c>
      <c r="C25" s="1201">
        <f>B25*C$19*'{d}Cost Index'!D18</f>
        <v>0</v>
      </c>
      <c r="E25"/>
      <c r="F25"/>
      <c r="G25"/>
      <c r="H25"/>
      <c r="M25" s="1138" t="s">
        <v>1067</v>
      </c>
      <c r="N25" s="1285">
        <v>0</v>
      </c>
      <c r="O25" s="1201">
        <f>N25*O$19*'{d}Cost Index'!R18</f>
        <v>0</v>
      </c>
      <c r="Q25"/>
      <c r="R25"/>
      <c r="S25"/>
      <c r="T25"/>
    </row>
    <row r="26" spans="1:20" ht="13.5" thickBot="1">
      <c r="A26" s="758" t="str">
        <f>TEXT(IndexDate,"mmmm, yyyy")&amp;" Capital Cost $:"</f>
        <v>November, 2006 Capital Cost $:</v>
      </c>
      <c r="B26" s="782">
        <f>SUM(B20:B25)</f>
        <v>1.0000000000000002</v>
      </c>
      <c r="C26" s="1203">
        <f>SUM(C20:C25)</f>
        <v>94662.48911313673</v>
      </c>
      <c r="E26"/>
      <c r="F26"/>
      <c r="G26"/>
      <c r="H26"/>
      <c r="M26" s="758" t="str">
        <f>TEXT(IndexDate,"mmmm, yyyy")&amp;" Capital Cost $:"</f>
        <v>November, 2006 Capital Cost $:</v>
      </c>
      <c r="N26" s="782">
        <f>SUM(N20:N25)</f>
        <v>1</v>
      </c>
      <c r="O26" s="1203">
        <f>SUM(O20:O25)</f>
        <v>695940</v>
      </c>
      <c r="Q26"/>
      <c r="R26"/>
      <c r="S26"/>
      <c r="T26"/>
    </row>
    <row r="27" spans="5:20" ht="13.5" thickBot="1">
      <c r="E27"/>
      <c r="F27"/>
      <c r="G27"/>
      <c r="H27"/>
      <c r="Q27"/>
      <c r="R27"/>
      <c r="S27"/>
      <c r="T27"/>
    </row>
    <row r="28" spans="1:20" ht="13.5" thickBot="1">
      <c r="A28" s="777" t="s">
        <v>289</v>
      </c>
      <c r="B28" s="781" t="s">
        <v>132</v>
      </c>
      <c r="C28" s="1182">
        <f>$B$45*EXP($B$46*B14)+$B$47</f>
        <v>5599.999376451976</v>
      </c>
      <c r="E28"/>
      <c r="F28"/>
      <c r="G28"/>
      <c r="H28"/>
      <c r="M28" s="777" t="s">
        <v>289</v>
      </c>
      <c r="N28" s="781" t="s">
        <v>132</v>
      </c>
      <c r="O28" s="1182">
        <f>$N$45*EXP($N$46*N14)+$N$47</f>
        <v>1180</v>
      </c>
      <c r="Q28"/>
      <c r="R28"/>
      <c r="S28"/>
      <c r="T28"/>
    </row>
    <row r="29" spans="1:20" ht="13.5" thickTop="1">
      <c r="A29" s="1134" t="s">
        <v>1495</v>
      </c>
      <c r="B29" s="1145">
        <v>0.03</v>
      </c>
      <c r="C29" s="1195">
        <f>C$28*B29*'{d}Cost Index'!D17</f>
        <v>349.66562281277334</v>
      </c>
      <c r="E29"/>
      <c r="F29"/>
      <c r="G29"/>
      <c r="H29"/>
      <c r="M29" s="1134" t="s">
        <v>1495</v>
      </c>
      <c r="N29" s="1869">
        <f>50/1180</f>
        <v>0.0423728813559322</v>
      </c>
      <c r="O29" s="1195">
        <f>O$28*N29*'{d}Cost Index'!R17</f>
        <v>5920</v>
      </c>
      <c r="Q29"/>
      <c r="R29"/>
      <c r="S29"/>
      <c r="T29"/>
    </row>
    <row r="30" spans="1:20" ht="12.75">
      <c r="A30" s="1045" t="s">
        <v>1494</v>
      </c>
      <c r="B30" s="1143">
        <v>0.05</v>
      </c>
      <c r="C30" s="1196">
        <f>C$28*B30*'{d}Cost Index'!D21</f>
        <v>653.333260586064</v>
      </c>
      <c r="E30"/>
      <c r="F30"/>
      <c r="G30"/>
      <c r="H30"/>
      <c r="M30" s="1045" t="s">
        <v>1494</v>
      </c>
      <c r="N30" s="1870">
        <f>115.5/1180</f>
        <v>0.09788135593220339</v>
      </c>
      <c r="O30" s="1196">
        <f>O$28*N30*'{d}Cost Index'!R21</f>
        <v>0</v>
      </c>
      <c r="Q30"/>
      <c r="R30"/>
      <c r="S30"/>
      <c r="T30"/>
    </row>
    <row r="31" spans="1:20" ht="12.75">
      <c r="A31" s="1045" t="s">
        <v>210</v>
      </c>
      <c r="B31" s="1143">
        <v>0.92</v>
      </c>
      <c r="C31" s="1196">
        <f>C$28*B31*'{d}Cost Index'!D11</f>
        <v>14488.439819463261</v>
      </c>
      <c r="E31"/>
      <c r="F31"/>
      <c r="G31"/>
      <c r="H31"/>
      <c r="M31" s="1045" t="s">
        <v>210</v>
      </c>
      <c r="N31" s="1870">
        <f>1010/1180</f>
        <v>0.8559322033898306</v>
      </c>
      <c r="O31" s="1196">
        <f>O$28*N31*'{d}Cost Index'!R11</f>
        <v>106959.00000000001</v>
      </c>
      <c r="Q31"/>
      <c r="R31"/>
      <c r="S31"/>
      <c r="T31"/>
    </row>
    <row r="32" spans="1:20" ht="13.5" thickBot="1">
      <c r="A32" s="2541" t="s">
        <v>1491</v>
      </c>
      <c r="B32" s="2542"/>
      <c r="C32" s="1213">
        <f>B14*365*2.205*B15*'{b}Capacity'!C9</f>
        <v>1293765.6560294118</v>
      </c>
      <c r="E32"/>
      <c r="F32"/>
      <c r="G32"/>
      <c r="H32"/>
      <c r="M32" s="2541" t="s">
        <v>1491</v>
      </c>
      <c r="N32" s="2542"/>
      <c r="O32" s="1213">
        <f>N14*365*2.205*N15*'{b}Capacity'!U7*'{b}Capacity'!U8</f>
        <v>0</v>
      </c>
      <c r="Q32"/>
      <c r="R32"/>
      <c r="S32"/>
      <c r="T32"/>
    </row>
    <row r="33" spans="1:20" ht="13.5" thickBot="1">
      <c r="A33" s="127" t="str">
        <f>TEXT(IndexDate,"mmmm, yyyy")&amp;"  Operation &amp; Maintenance $:"</f>
        <v>November, 2006  Operation &amp; Maintenance $:</v>
      </c>
      <c r="B33" s="780">
        <f>SUM(B29:B31)</f>
        <v>1</v>
      </c>
      <c r="C33" s="1203">
        <f>SUM(C29:C32)</f>
        <v>1309257.0947322738</v>
      </c>
      <c r="E33"/>
      <c r="F33"/>
      <c r="G33"/>
      <c r="H33"/>
      <c r="M33" s="127" t="str">
        <f>TEXT(IndexDate,"mmmm, yyyy")&amp;"  Operation &amp; Maintenance $:"</f>
        <v>November, 2006  Operation &amp; Maintenance $:</v>
      </c>
      <c r="N33" s="780">
        <f>SUM(N29:N31)</f>
        <v>0.9961864406779661</v>
      </c>
      <c r="O33" s="1203">
        <f>SUM(O29:O32)</f>
        <v>112879.00000000001</v>
      </c>
      <c r="Q33"/>
      <c r="R33"/>
      <c r="S33"/>
      <c r="T33"/>
    </row>
    <row r="34" spans="5:20" ht="12.75">
      <c r="E34"/>
      <c r="F34"/>
      <c r="G34"/>
      <c r="H34"/>
      <c r="Q34"/>
      <c r="R34"/>
      <c r="S34"/>
      <c r="T34"/>
    </row>
    <row r="35" spans="4:17" ht="13.5" thickBot="1">
      <c r="D35" s="135"/>
      <c r="E35" s="135"/>
      <c r="P35" s="135"/>
      <c r="Q35" s="135"/>
    </row>
    <row r="36" spans="1:14" ht="12.75">
      <c r="A36" s="815" t="s">
        <v>1776</v>
      </c>
      <c r="B36" s="816"/>
      <c r="M36" s="815" t="s">
        <v>1776</v>
      </c>
      <c r="N36" s="816"/>
    </row>
    <row r="37" spans="1:14" ht="12.75">
      <c r="A37" s="823" t="s">
        <v>332</v>
      </c>
      <c r="B37" s="820"/>
      <c r="M37" s="1291" t="s">
        <v>332</v>
      </c>
      <c r="N37" s="1051"/>
    </row>
    <row r="38" spans="1:14" ht="12.75">
      <c r="A38" s="139" t="s">
        <v>420</v>
      </c>
      <c r="B38" s="132"/>
      <c r="M38" s="1045" t="s">
        <v>420</v>
      </c>
      <c r="N38" s="1051"/>
    </row>
    <row r="39" spans="1:14" ht="12.75">
      <c r="A39" s="139" t="s">
        <v>403</v>
      </c>
      <c r="B39" s="132">
        <v>9681.7</v>
      </c>
      <c r="M39" s="1045" t="s">
        <v>403</v>
      </c>
      <c r="N39" s="1874">
        <v>6400</v>
      </c>
    </row>
    <row r="40" spans="1:15" ht="12.75">
      <c r="A40" s="139" t="s">
        <v>404</v>
      </c>
      <c r="B40" s="132">
        <v>0.0304</v>
      </c>
      <c r="M40" s="1045" t="s">
        <v>404</v>
      </c>
      <c r="N40" s="1366">
        <v>0</v>
      </c>
      <c r="O40" s="1876"/>
    </row>
    <row r="41" spans="1:15" ht="12.75">
      <c r="A41" s="139" t="s">
        <v>406</v>
      </c>
      <c r="B41" s="132">
        <v>0.00122</v>
      </c>
      <c r="M41" s="1045" t="s">
        <v>406</v>
      </c>
      <c r="N41" s="1366">
        <v>0</v>
      </c>
      <c r="O41" s="1876"/>
    </row>
    <row r="42" spans="1:14" ht="13.5" thickBot="1">
      <c r="A42" s="141"/>
      <c r="B42" s="132"/>
      <c r="M42" s="1123"/>
      <c r="N42" s="752"/>
    </row>
    <row r="43" spans="1:14" ht="12.75">
      <c r="A43" s="823" t="s">
        <v>333</v>
      </c>
      <c r="B43" s="820"/>
      <c r="M43" s="1875" t="s">
        <v>333</v>
      </c>
      <c r="N43" s="1052"/>
    </row>
    <row r="44" spans="1:15" ht="12.75">
      <c r="A44" s="139" t="s">
        <v>407</v>
      </c>
      <c r="B44" s="132"/>
      <c r="C44" s="140"/>
      <c r="M44" s="1045" t="s">
        <v>407</v>
      </c>
      <c r="N44" s="1051"/>
      <c r="O44" s="140"/>
    </row>
    <row r="45" spans="1:15" ht="12.75">
      <c r="A45" s="139" t="s">
        <v>403</v>
      </c>
      <c r="B45" s="132">
        <v>-2125.9</v>
      </c>
      <c r="C45" s="140"/>
      <c r="M45" s="1045" t="s">
        <v>403</v>
      </c>
      <c r="N45" s="1874">
        <v>1180</v>
      </c>
      <c r="O45" s="140"/>
    </row>
    <row r="46" spans="1:17" ht="12.75">
      <c r="A46" s="141" t="s">
        <v>336</v>
      </c>
      <c r="B46" s="132">
        <v>-0.01689</v>
      </c>
      <c r="C46" s="140"/>
      <c r="D46" s="140"/>
      <c r="E46" s="140"/>
      <c r="M46" s="1011" t="s">
        <v>336</v>
      </c>
      <c r="N46" s="1366">
        <v>0</v>
      </c>
      <c r="O46" s="1877"/>
      <c r="P46" s="140"/>
      <c r="Q46" s="140"/>
    </row>
    <row r="47" spans="1:17" ht="12.75">
      <c r="A47" s="141" t="s">
        <v>337</v>
      </c>
      <c r="B47" s="132">
        <v>5600</v>
      </c>
      <c r="D47" s="140"/>
      <c r="E47" s="140"/>
      <c r="M47" s="1011" t="s">
        <v>337</v>
      </c>
      <c r="N47" s="1366">
        <v>0</v>
      </c>
      <c r="O47" s="1876"/>
      <c r="P47" s="140"/>
      <c r="Q47" s="140"/>
    </row>
    <row r="48" spans="1:17" ht="13.5" thickBot="1">
      <c r="A48" s="180"/>
      <c r="B48" s="129"/>
      <c r="D48" s="140"/>
      <c r="E48" s="140"/>
      <c r="M48" s="1123"/>
      <c r="N48" s="752"/>
      <c r="P48" s="140"/>
      <c r="Q48" s="140"/>
    </row>
    <row r="49" spans="1:13" ht="12.75">
      <c r="A49" s="1749" t="s">
        <v>1793</v>
      </c>
      <c r="M49" s="1755" t="s">
        <v>1790</v>
      </c>
    </row>
    <row r="53" ht="12.75">
      <c r="M53" s="1867" t="s">
        <v>470</v>
      </c>
    </row>
    <row r="54" ht="12.75">
      <c r="M54" s="1868" t="s">
        <v>471</v>
      </c>
    </row>
    <row r="55" ht="12.75">
      <c r="M55" s="1868" t="s">
        <v>472</v>
      </c>
    </row>
  </sheetData>
  <mergeCells count="8">
    <mergeCell ref="A32:B32"/>
    <mergeCell ref="U7:V7"/>
    <mergeCell ref="I7:J7"/>
    <mergeCell ref="D8:E8"/>
    <mergeCell ref="P8:Q8"/>
    <mergeCell ref="F8:G8"/>
    <mergeCell ref="R8:S8"/>
    <mergeCell ref="M32:N32"/>
  </mergeCells>
  <conditionalFormatting sqref="I9">
    <cfRule type="cellIs" priority="1" dxfId="0" operator="greaterThan" stopIfTrue="1">
      <formula>$F$9</formula>
    </cfRule>
  </conditionalFormatting>
  <conditionalFormatting sqref="J9">
    <cfRule type="cellIs" priority="2" dxfId="0" operator="lessThan" stopIfTrue="1">
      <formula>$F$9</formula>
    </cfRule>
  </conditionalFormatting>
  <conditionalFormatting sqref="U9">
    <cfRule type="cellIs" priority="3" dxfId="0" operator="greaterThan" stopIfTrue="1">
      <formula>$R$9</formula>
    </cfRule>
  </conditionalFormatting>
  <conditionalFormatting sqref="V9">
    <cfRule type="cellIs" priority="4" dxfId="0" operator="lessThan" stopIfTrue="1">
      <formula>$R$9</formula>
    </cfRule>
  </conditionalFormatting>
  <printOptions gridLines="1"/>
  <pageMargins left="0.75" right="0.75" top="1" bottom="1" header="0.5" footer="0.5"/>
  <pageSetup horizontalDpi="300" verticalDpi="300" orientation="portrait" r:id="rId1"/>
  <headerFooter alignWithMargins="0">
    <oddHeader>&amp;C&amp;A</oddHeader>
    <oddFooter>&amp;CWater Treatment Cost Estimation Program</oddFooter>
  </headerFooter>
</worksheet>
</file>

<file path=xl/worksheets/sheet28.xml><?xml version="1.0" encoding="utf-8"?>
<worksheet xmlns="http://schemas.openxmlformats.org/spreadsheetml/2006/main" xmlns:r="http://schemas.openxmlformats.org/officeDocument/2006/relationships">
  <sheetPr codeName="Sheet25"/>
  <dimension ref="A1:AW44"/>
  <sheetViews>
    <sheetView workbookViewId="0" topLeftCell="A1">
      <selection activeCell="C38" sqref="C38"/>
    </sheetView>
  </sheetViews>
  <sheetFormatPr defaultColWidth="9.140625" defaultRowHeight="12.75"/>
  <cols>
    <col min="1" max="1" width="32.140625" style="159" customWidth="1"/>
    <col min="2" max="2" width="13.28125" style="159" customWidth="1"/>
    <col min="3" max="3" width="15.421875" style="159" customWidth="1"/>
    <col min="4" max="4" width="9.421875" style="159" customWidth="1"/>
    <col min="5" max="5" width="6.28125" style="159" customWidth="1"/>
    <col min="6" max="6" width="32.421875" style="159" bestFit="1" customWidth="1"/>
    <col min="7" max="7" width="8.00390625" style="159" bestFit="1" customWidth="1"/>
    <col min="8" max="9" width="12.140625" style="159" customWidth="1"/>
    <col min="10" max="10" width="8.7109375" style="159" customWidth="1"/>
    <col min="11" max="11" width="14.421875" style="159" customWidth="1"/>
    <col min="12" max="12" width="19.421875" style="159" customWidth="1"/>
    <col min="13" max="13" width="18.140625" style="431" customWidth="1"/>
    <col min="14" max="14" width="19.00390625" style="159" customWidth="1"/>
    <col min="15" max="15" width="16.00390625" style="159" customWidth="1"/>
    <col min="16" max="16384" width="8.7109375" style="159"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399" t="s">
        <v>1609</v>
      </c>
    </row>
    <row r="6" ht="15.75">
      <c r="A6" s="193" t="s">
        <v>653</v>
      </c>
    </row>
    <row r="7" spans="10:49" ht="12.75">
      <c r="J7" s="508"/>
      <c r="K7" s="508"/>
      <c r="AW7" s="431"/>
    </row>
    <row r="8" spans="1:14" s="226" customFormat="1" ht="15.75">
      <c r="A8" s="860" t="s">
        <v>654</v>
      </c>
      <c r="F8" s="860" t="s">
        <v>659</v>
      </c>
      <c r="J8" s="861"/>
      <c r="K8" s="861"/>
      <c r="L8" s="862"/>
      <c r="M8" s="863"/>
      <c r="N8" s="863"/>
    </row>
    <row r="9" spans="1:14" ht="12.75">
      <c r="A9" s="1085" t="s">
        <v>79</v>
      </c>
      <c r="B9" s="1086">
        <f>B10/3.785</f>
        <v>15852.047556142668</v>
      </c>
      <c r="C9" s="433" t="s">
        <v>1675</v>
      </c>
      <c r="F9" s="1085" t="s">
        <v>79</v>
      </c>
      <c r="G9" s="1086">
        <f>G10/3.785</f>
        <v>14531.043593130778</v>
      </c>
      <c r="H9" s="433" t="s">
        <v>1675</v>
      </c>
      <c r="I9" s="153"/>
      <c r="L9" s="509"/>
      <c r="M9" s="510"/>
      <c r="N9" s="510"/>
    </row>
    <row r="10" spans="1:15" ht="14.25">
      <c r="A10" s="1087"/>
      <c r="B10" s="1085">
        <f>'{c}Report'!D214</f>
        <v>60000</v>
      </c>
      <c r="C10" s="433" t="s">
        <v>662</v>
      </c>
      <c r="F10" s="1087"/>
      <c r="G10" s="1086">
        <f>'{c}Report'!D215</f>
        <v>55000</v>
      </c>
      <c r="H10" s="433" t="s">
        <v>662</v>
      </c>
      <c r="I10" s="153"/>
      <c r="K10" s="511"/>
      <c r="L10" s="159" t="s">
        <v>932</v>
      </c>
      <c r="M10" s="431" t="s">
        <v>933</v>
      </c>
      <c r="N10" s="159" t="s">
        <v>932</v>
      </c>
      <c r="O10" s="431" t="s">
        <v>934</v>
      </c>
    </row>
    <row r="11" spans="1:15" ht="13.5" thickBot="1">
      <c r="A11" s="512"/>
      <c r="B11" s="513"/>
      <c r="C11" s="512"/>
      <c r="F11" s="514"/>
      <c r="G11" s="514"/>
      <c r="H11" s="153"/>
      <c r="I11" s="153"/>
      <c r="L11" s="515">
        <v>100</v>
      </c>
      <c r="M11" s="516">
        <v>92.062774</v>
      </c>
      <c r="N11" s="515">
        <v>100</v>
      </c>
      <c r="O11" s="517">
        <v>65.5919172</v>
      </c>
    </row>
    <row r="12" spans="1:15" ht="13.5" thickBot="1">
      <c r="A12" s="777" t="s">
        <v>187</v>
      </c>
      <c r="B12" s="781" t="s">
        <v>132</v>
      </c>
      <c r="C12" s="1182">
        <f>IF(B10&lt;=3785,-0.0002*B10^2+99.004*B10+37941,49.084*B10+224887)</f>
        <v>3169927</v>
      </c>
      <c r="D12" s="124"/>
      <c r="F12" s="777" t="s">
        <v>187</v>
      </c>
      <c r="G12" s="781" t="s">
        <v>132</v>
      </c>
      <c r="H12" s="1182">
        <f>IF(G10&lt;=333,0.054*G10^2+104.88*G10+21400,-0.0002*G10^2+39.556*G10+58237)</f>
        <v>1628817</v>
      </c>
      <c r="I12" s="1470"/>
      <c r="L12" s="515">
        <v>200</v>
      </c>
      <c r="M12" s="516">
        <v>111.10368820000001</v>
      </c>
      <c r="N12" s="515">
        <v>200</v>
      </c>
      <c r="O12" s="517">
        <v>90.08269469999999</v>
      </c>
    </row>
    <row r="13" spans="1:15" ht="13.5" thickTop="1">
      <c r="A13" s="1134" t="s">
        <v>1072</v>
      </c>
      <c r="B13" s="1283">
        <v>0.02</v>
      </c>
      <c r="C13" s="1199">
        <f>$C$12*B13*'{d}Cost Index'!D10</f>
        <v>175936.03032890632</v>
      </c>
      <c r="F13" s="1134" t="s">
        <v>1072</v>
      </c>
      <c r="G13" s="1283">
        <f>0.6591+0.03</f>
        <v>0.6891</v>
      </c>
      <c r="H13" s="1199">
        <f>H$12*G13*'{d}Cost Index'!D10</f>
        <v>3114799.349796436</v>
      </c>
      <c r="I13" s="1471"/>
      <c r="L13" s="515">
        <v>500</v>
      </c>
      <c r="M13" s="516">
        <v>168.1802449</v>
      </c>
      <c r="N13" s="515">
        <v>500</v>
      </c>
      <c r="O13" s="517">
        <v>157.6993285</v>
      </c>
    </row>
    <row r="14" spans="1:15" ht="12.75">
      <c r="A14" s="1045" t="s">
        <v>1063</v>
      </c>
      <c r="B14" s="1284">
        <v>0.13</v>
      </c>
      <c r="C14" s="1200">
        <f>$C$12*B14*'{d}Cost Index'!D13</f>
        <v>1068428.5614763557</v>
      </c>
      <c r="F14" s="1045" t="s">
        <v>1063</v>
      </c>
      <c r="G14" s="1284">
        <v>0.13</v>
      </c>
      <c r="H14" s="1200">
        <f>H$12*G14*'{d}Cost Index'!D13</f>
        <v>548995.1674654442</v>
      </c>
      <c r="I14" s="1471"/>
      <c r="L14" s="515">
        <v>800</v>
      </c>
      <c r="M14" s="516">
        <v>225.1875227</v>
      </c>
      <c r="N14" s="515">
        <v>800</v>
      </c>
      <c r="O14" s="517">
        <v>181.5444622</v>
      </c>
    </row>
    <row r="15" spans="1:15" ht="12.75">
      <c r="A15" s="1137" t="s">
        <v>1064</v>
      </c>
      <c r="B15" s="1284">
        <f>0.0473+0.27</f>
        <v>0.3173</v>
      </c>
      <c r="C15" s="1200">
        <f>$C$12*B15*'{d}Cost Index'!D14</f>
        <v>3039822.2471335996</v>
      </c>
      <c r="F15" s="1137" t="s">
        <v>1064</v>
      </c>
      <c r="G15" s="1284">
        <v>0.01</v>
      </c>
      <c r="H15" s="1200">
        <f>H$12*G15*'{d}Cost Index'!D14</f>
        <v>49226.748328356996</v>
      </c>
      <c r="I15" s="1471"/>
      <c r="L15" s="518">
        <v>1000</v>
      </c>
      <c r="M15" s="519">
        <v>263.1538863</v>
      </c>
      <c r="N15" s="518">
        <v>1000</v>
      </c>
      <c r="O15" s="520">
        <v>197.4007641</v>
      </c>
    </row>
    <row r="16" spans="1:15" ht="12.75">
      <c r="A16" s="1045" t="s">
        <v>1073</v>
      </c>
      <c r="B16" s="1284">
        <v>0</v>
      </c>
      <c r="C16" s="1200">
        <f>$C$12*B16*'{d}Cost Index'!D16</f>
        <v>0</v>
      </c>
      <c r="F16" s="1045" t="s">
        <v>1073</v>
      </c>
      <c r="G16" s="1284">
        <v>0.07066</v>
      </c>
      <c r="H16" s="1200">
        <f>H$12*G16*'{d}Cost Index'!D16</f>
        <v>239546.38987422417</v>
      </c>
      <c r="I16" s="1471"/>
      <c r="L16" s="518">
        <v>1200</v>
      </c>
      <c r="M16" s="519">
        <v>301.0894593</v>
      </c>
      <c r="N16" s="518">
        <v>1200</v>
      </c>
      <c r="O16" s="520">
        <v>213.2247028</v>
      </c>
    </row>
    <row r="17" spans="1:15" ht="12.75">
      <c r="A17" s="1045" t="s">
        <v>1066</v>
      </c>
      <c r="B17" s="1284">
        <v>0.2753</v>
      </c>
      <c r="C17" s="1200">
        <f>$C$12*B17*'{d}Cost Index'!D19</f>
        <v>2241341.9253172283</v>
      </c>
      <c r="F17" s="1045" t="s">
        <v>1066</v>
      </c>
      <c r="G17" s="1284">
        <v>0.044</v>
      </c>
      <c r="H17" s="1200">
        <f>H$12*G17*'{d}Cost Index'!D19</f>
        <v>184067.71132867128</v>
      </c>
      <c r="I17" s="1471"/>
      <c r="L17" s="518"/>
      <c r="M17" s="519"/>
      <c r="N17" s="518"/>
      <c r="O17" s="520"/>
    </row>
    <row r="18" spans="1:15" ht="13.5" thickBot="1">
      <c r="A18" s="1138" t="s">
        <v>1067</v>
      </c>
      <c r="B18" s="1285">
        <v>0.25695</v>
      </c>
      <c r="C18" s="1201">
        <f>$C$12*B18*'{d}Cost Index'!D18</f>
        <v>1593252.3961262275</v>
      </c>
      <c r="D18" s="232"/>
      <c r="F18" s="1138" t="s">
        <v>1067</v>
      </c>
      <c r="G18" s="1285">
        <v>0.0569</v>
      </c>
      <c r="H18" s="1201">
        <f>H$12*G18*'{d}Cost Index'!D18</f>
        <v>181288.9180622747</v>
      </c>
      <c r="I18" s="1471"/>
      <c r="L18" s="509"/>
      <c r="M18" s="510"/>
      <c r="N18" s="509"/>
      <c r="O18" s="521"/>
    </row>
    <row r="19" spans="1:15" ht="13.5" thickBot="1">
      <c r="A19" s="758" t="str">
        <f>TEXT(IndexDate,"mmmm, yyyy")&amp;"   Capital Cost:"</f>
        <v>November, 2006   Capital Cost:</v>
      </c>
      <c r="B19" s="782">
        <f>SUM(B13:B18)</f>
        <v>0.99955</v>
      </c>
      <c r="C19" s="1203">
        <f>SUM(C13:C18)</f>
        <v>8118781.160382317</v>
      </c>
      <c r="F19" s="758" t="str">
        <f>TEXT(IndexDate,"mmmm, yyyy")&amp;"   Capital Cost:"</f>
        <v>November, 2006   Capital Cost:</v>
      </c>
      <c r="G19" s="782">
        <f>SUM(G13:G18)</f>
        <v>1.00066</v>
      </c>
      <c r="H19" s="1203">
        <f>SUM(H13:H18)</f>
        <v>4317924.284855407</v>
      </c>
      <c r="I19" s="1472"/>
      <c r="L19" s="509"/>
      <c r="M19" s="510"/>
      <c r="N19" s="509"/>
      <c r="O19" s="522"/>
    </row>
    <row r="20" spans="1:15" ht="12.75">
      <c r="A20" s="124" t="str">
        <f>TEXT(IndexDate,"mmmm, yyyy")&amp;"   Unit Cost ($/kgal)"</f>
        <v>November, 2006   Unit Cost ($/kgal)</v>
      </c>
      <c r="B20" s="302">
        <f>IF(B10=0,"-",C19/B9)</f>
        <v>512.1597782007846</v>
      </c>
      <c r="C20" s="200"/>
      <c r="F20" s="124" t="str">
        <f>TEXT(IndexDate,"mmmm, yyyy")&amp;"   Unit Cost ($/kgal)"</f>
        <v>November, 2006   Unit Cost ($/kgal)</v>
      </c>
      <c r="G20" s="302">
        <f>IF(G9=0,"-",H19/G9)</f>
        <v>297.1516985123221</v>
      </c>
      <c r="H20" s="200"/>
      <c r="I20" s="200"/>
      <c r="L20" s="509"/>
      <c r="M20" s="510"/>
      <c r="N20" s="509"/>
      <c r="O20" s="522"/>
    </row>
    <row r="21" spans="1:15" ht="12.75">
      <c r="A21" s="523"/>
      <c r="B21" s="523"/>
      <c r="C21" s="523"/>
      <c r="L21" s="239"/>
      <c r="M21" s="510"/>
      <c r="N21" s="239"/>
      <c r="O21" s="521"/>
    </row>
    <row r="22" spans="1:15" ht="12.75">
      <c r="A22" s="1746" t="s">
        <v>660</v>
      </c>
      <c r="B22" s="1747"/>
      <c r="C22" s="1748"/>
      <c r="D22" s="1746"/>
      <c r="E22" s="1746"/>
      <c r="F22" s="1744"/>
      <c r="G22" s="153"/>
      <c r="H22" s="153"/>
      <c r="I22" s="153"/>
      <c r="M22" s="510"/>
      <c r="N22" s="239"/>
      <c r="O22" s="521"/>
    </row>
    <row r="23" spans="1:15" ht="12.75">
      <c r="A23" s="514"/>
      <c r="B23" s="512"/>
      <c r="C23" s="199"/>
      <c r="D23" s="523"/>
      <c r="M23" s="510"/>
      <c r="N23" s="239"/>
      <c r="O23" s="521"/>
    </row>
    <row r="24" spans="1:15" ht="12.75">
      <c r="A24" s="514"/>
      <c r="B24" s="512"/>
      <c r="C24" s="199"/>
      <c r="D24" s="512"/>
      <c r="N24" s="239"/>
      <c r="O24" s="521"/>
    </row>
    <row r="25" spans="1:15" ht="12.75">
      <c r="A25" s="514"/>
      <c r="B25" s="512"/>
      <c r="C25" s="199"/>
      <c r="D25" s="512"/>
      <c r="E25" s="153"/>
      <c r="F25" s="514"/>
      <c r="G25" s="512"/>
      <c r="H25" s="200"/>
      <c r="I25" s="200"/>
      <c r="N25" s="239"/>
      <c r="O25" s="521"/>
    </row>
    <row r="26" spans="1:15" ht="12.75">
      <c r="A26" s="514"/>
      <c r="B26" s="198"/>
      <c r="C26" s="200"/>
      <c r="D26" s="512"/>
      <c r="E26" s="153"/>
      <c r="F26" s="514"/>
      <c r="G26" s="512"/>
      <c r="H26" s="199"/>
      <c r="I26" s="199"/>
      <c r="O26" s="521"/>
    </row>
    <row r="27" spans="4:9" ht="12.75">
      <c r="D27" s="512"/>
      <c r="E27" s="153"/>
      <c r="F27" s="514"/>
      <c r="G27" s="512"/>
      <c r="H27" s="199"/>
      <c r="I27" s="199"/>
    </row>
    <row r="28" spans="4:9" ht="12.75">
      <c r="D28" s="512"/>
      <c r="E28" s="153"/>
      <c r="F28" s="514"/>
      <c r="G28" s="512"/>
      <c r="H28" s="199"/>
      <c r="I28" s="199"/>
    </row>
    <row r="29" spans="5:9" ht="12.75">
      <c r="E29" s="153"/>
      <c r="F29" s="514"/>
      <c r="G29" s="198"/>
      <c r="H29" s="200"/>
      <c r="I29" s="200"/>
    </row>
    <row r="34" spans="1:3" ht="12.75">
      <c r="A34" s="524"/>
      <c r="B34" s="431"/>
      <c r="C34" s="431"/>
    </row>
    <row r="35" ht="12.75">
      <c r="B35" s="239"/>
    </row>
    <row r="36" ht="12.75">
      <c r="B36" s="239"/>
    </row>
    <row r="37" spans="2:13" ht="12.75">
      <c r="B37" s="239"/>
      <c r="D37" s="239"/>
      <c r="F37" s="511"/>
      <c r="J37" s="431"/>
      <c r="M37" s="159"/>
    </row>
    <row r="38" spans="2:13" ht="12.75">
      <c r="B38" s="239"/>
      <c r="D38" s="239"/>
      <c r="K38" s="239"/>
      <c r="M38" s="159"/>
    </row>
    <row r="39" spans="2:13" ht="12.75">
      <c r="B39" s="239"/>
      <c r="D39" s="239"/>
      <c r="K39" s="239"/>
      <c r="M39" s="159"/>
    </row>
    <row r="40" spans="2:13" ht="12.75">
      <c r="B40" s="239"/>
      <c r="D40" s="239"/>
      <c r="K40" s="239"/>
      <c r="M40" s="159"/>
    </row>
    <row r="41" spans="2:13" ht="12.75">
      <c r="B41" s="239"/>
      <c r="D41" s="239"/>
      <c r="K41" s="239"/>
      <c r="M41" s="159"/>
    </row>
    <row r="42" spans="4:13" ht="12.75">
      <c r="D42" s="239"/>
      <c r="K42" s="239"/>
      <c r="M42" s="159"/>
    </row>
    <row r="43" spans="4:13" ht="12.75">
      <c r="D43" s="239"/>
      <c r="K43" s="239"/>
      <c r="M43" s="159"/>
    </row>
    <row r="44" spans="11:13" ht="12.75">
      <c r="K44" s="239"/>
      <c r="M44" s="159"/>
    </row>
  </sheetData>
  <printOptions/>
  <pageMargins left="0.75" right="0.75" top="1" bottom="1" header="0.5" footer="0.5"/>
  <pageSetup fitToWidth="2" horizontalDpi="600" verticalDpi="600" orientation="landscape" r:id="rId2"/>
  <headerFooter alignWithMargins="0">
    <oddHeader>&amp;C&amp;A</oddHeader>
    <oddFooter>&amp;CWater Treatment Cost Estimation Program</oddFooter>
  </headerFooter>
  <colBreaks count="1" manualBreakCount="1">
    <brk id="5" max="65535" man="1"/>
  </colBreaks>
  <drawing r:id="rId1"/>
</worksheet>
</file>

<file path=xl/worksheets/sheet29.xml><?xml version="1.0" encoding="utf-8"?>
<worksheet xmlns="http://schemas.openxmlformats.org/spreadsheetml/2006/main" xmlns:r="http://schemas.openxmlformats.org/officeDocument/2006/relationships">
  <sheetPr codeName="Sheet20"/>
  <dimension ref="A1:Z58"/>
  <sheetViews>
    <sheetView workbookViewId="0" topLeftCell="A16">
      <selection activeCell="D3" sqref="D3:E4"/>
    </sheetView>
  </sheetViews>
  <sheetFormatPr defaultColWidth="9.140625" defaultRowHeight="12.75"/>
  <cols>
    <col min="1" max="1" width="30.140625" style="123" customWidth="1"/>
    <col min="2" max="2" width="12.57421875" style="123" customWidth="1"/>
    <col min="3" max="3" width="12.28125" style="123" bestFit="1" customWidth="1"/>
    <col min="4" max="5" width="11.28125" style="123" customWidth="1"/>
    <col min="6" max="6" width="8.7109375" style="123" customWidth="1"/>
    <col min="7" max="7" width="36.421875" style="123" customWidth="1"/>
    <col min="8" max="8" width="8.00390625" style="123" bestFit="1" customWidth="1"/>
    <col min="9" max="9" width="13.140625" style="123" customWidth="1"/>
    <col min="10" max="10" width="10.421875" style="123" bestFit="1" customWidth="1"/>
    <col min="11" max="11" width="3.8515625" style="123" customWidth="1"/>
    <col min="12" max="12" width="36.421875" style="123" bestFit="1" customWidth="1"/>
    <col min="13" max="13" width="12.00390625" style="123" customWidth="1"/>
    <col min="14" max="14" width="13.8515625" style="123" customWidth="1"/>
    <col min="15" max="15" width="10.421875" style="123" bestFit="1" customWidth="1"/>
    <col min="16" max="16" width="18.140625" style="123" customWidth="1"/>
    <col min="17" max="17" width="11.00390625" style="123" customWidth="1"/>
    <col min="18" max="18" width="18.7109375" style="123" customWidth="1"/>
    <col min="19" max="19" width="19.7109375" style="123" customWidth="1"/>
    <col min="20" max="21" width="8.7109375" style="123" customWidth="1"/>
    <col min="22" max="22" width="21.140625" style="123" customWidth="1"/>
    <col min="23" max="23" width="12.140625" style="123" customWidth="1"/>
    <col min="24" max="24" width="12.57421875" style="123" customWidth="1"/>
    <col min="25" max="16384" width="8.7109375" style="12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ht="12.75"/>
    <row r="4" spans="1:4" ht="18">
      <c r="A4" s="507" t="s">
        <v>439</v>
      </c>
      <c r="D4" s="203"/>
    </row>
    <row r="5" spans="1:7" ht="18">
      <c r="A5" s="171"/>
      <c r="B5" s="1033"/>
      <c r="C5" s="172"/>
      <c r="D5" s="173"/>
      <c r="G5" s="507" t="s">
        <v>789</v>
      </c>
    </row>
    <row r="6" spans="1:7" ht="18.75" thickBot="1">
      <c r="A6" s="171"/>
      <c r="C6" s="172"/>
      <c r="D6" s="173"/>
      <c r="G6" s="507"/>
    </row>
    <row r="7" spans="1:15" ht="16.5" thickBot="1">
      <c r="A7" s="1088"/>
      <c r="B7" s="1080"/>
      <c r="C7" s="834" t="s">
        <v>1682</v>
      </c>
      <c r="D7" s="2560" t="s">
        <v>766</v>
      </c>
      <c r="E7" s="2560"/>
      <c r="G7" s="864" t="s">
        <v>1783</v>
      </c>
      <c r="H7" s="125"/>
      <c r="I7" s="125"/>
      <c r="J7" s="126"/>
      <c r="L7" s="864" t="s">
        <v>551</v>
      </c>
      <c r="M7" s="125"/>
      <c r="N7" s="125"/>
      <c r="O7" s="126"/>
    </row>
    <row r="8" spans="1:15" ht="13.5" thickTop="1">
      <c r="A8" s="943" t="s">
        <v>320</v>
      </c>
      <c r="B8" s="1033">
        <f>'{b}Capacity'!$B$32</f>
        <v>5153.867102396514</v>
      </c>
      <c r="C8" s="943" t="s">
        <v>99</v>
      </c>
      <c r="D8" s="1081">
        <f>B8*60/3.784</f>
        <v>81720.93714159378</v>
      </c>
      <c r="E8" s="943" t="s">
        <v>100</v>
      </c>
      <c r="G8" s="2561" t="s">
        <v>1598</v>
      </c>
      <c r="H8" s="2557" t="s">
        <v>1784</v>
      </c>
      <c r="I8" s="2540" t="s">
        <v>1786</v>
      </c>
      <c r="J8" s="2559"/>
      <c r="L8" s="2563"/>
      <c r="M8" s="2557" t="s">
        <v>1784</v>
      </c>
      <c r="N8" s="2540" t="s">
        <v>1786</v>
      </c>
      <c r="O8" s="2559"/>
    </row>
    <row r="9" spans="1:15" ht="13.5" thickBot="1">
      <c r="A9" s="943" t="s">
        <v>1727</v>
      </c>
      <c r="B9" s="1033">
        <f>(9/5)*'{e}H20 Analysis'!$C$46+32</f>
        <v>53.150000000000006</v>
      </c>
      <c r="C9" s="943" t="s">
        <v>328</v>
      </c>
      <c r="D9" s="1081"/>
      <c r="E9" s="943"/>
      <c r="G9" s="2562"/>
      <c r="H9" s="2558"/>
      <c r="I9" s="834" t="s">
        <v>1785</v>
      </c>
      <c r="J9" s="865" t="s">
        <v>177</v>
      </c>
      <c r="L9" s="2564"/>
      <c r="M9" s="2558"/>
      <c r="N9" s="834" t="s">
        <v>1785</v>
      </c>
      <c r="O9" s="865" t="s">
        <v>177</v>
      </c>
    </row>
    <row r="10" spans="1:18" ht="15" thickTop="1">
      <c r="A10" s="205" t="s">
        <v>319</v>
      </c>
      <c r="B10" s="208">
        <f>IF('{e}H20 Analysis'!$C$44=0,(2*('{t}KMnO4'!B14*1000000/(B8*60^2*24)/158)*87/5),'{e}H20 Analysis'!$C$44)</f>
        <v>22</v>
      </c>
      <c r="C10" s="205" t="s">
        <v>1692</v>
      </c>
      <c r="D10" s="205"/>
      <c r="E10" s="205"/>
      <c r="G10" s="866" t="s">
        <v>1075</v>
      </c>
      <c r="H10" s="833">
        <f>IF(B17=0,B16,B17)</f>
        <v>2120.448179271709</v>
      </c>
      <c r="I10" s="1132">
        <v>13</v>
      </c>
      <c r="J10" s="1133">
        <v>2600</v>
      </c>
      <c r="K10" s="174"/>
      <c r="L10" s="866" t="s">
        <v>1075</v>
      </c>
      <c r="M10" s="835">
        <f>H10</f>
        <v>2120.448179271709</v>
      </c>
      <c r="N10" s="1132">
        <v>13</v>
      </c>
      <c r="O10" s="1133">
        <v>2600</v>
      </c>
      <c r="Q10" s="123">
        <v>50</v>
      </c>
      <c r="R10" s="123">
        <v>924</v>
      </c>
    </row>
    <row r="11" spans="1:25" ht="12.75">
      <c r="A11" s="205" t="s">
        <v>318</v>
      </c>
      <c r="B11" s="314">
        <v>24</v>
      </c>
      <c r="C11" s="205" t="s">
        <v>553</v>
      </c>
      <c r="D11" s="205"/>
      <c r="E11" s="205"/>
      <c r="G11" s="1743"/>
      <c r="H11" s="1769"/>
      <c r="I11" s="1747"/>
      <c r="J11" s="1770"/>
      <c r="K11" s="175"/>
      <c r="L11" s="1743" t="s">
        <v>1597</v>
      </c>
      <c r="M11" s="1769"/>
      <c r="N11" s="1744"/>
      <c r="O11" s="1745"/>
      <c r="Q11" s="123">
        <v>100</v>
      </c>
      <c r="R11" s="123">
        <v>1403</v>
      </c>
      <c r="X11" s="204"/>
      <c r="Y11" s="204"/>
    </row>
    <row r="12" spans="1:26" ht="13.5" thickBot="1">
      <c r="A12" s="205" t="s">
        <v>317</v>
      </c>
      <c r="B12" s="314">
        <v>35</v>
      </c>
      <c r="C12" s="205" t="s">
        <v>554</v>
      </c>
      <c r="D12" s="207"/>
      <c r="E12" s="205"/>
      <c r="G12" s="141"/>
      <c r="H12" s="174"/>
      <c r="J12" s="132"/>
      <c r="L12" s="141"/>
      <c r="M12" s="174"/>
      <c r="O12" s="132"/>
      <c r="Q12" s="123">
        <v>200</v>
      </c>
      <c r="R12" s="123">
        <v>2149</v>
      </c>
      <c r="V12" s="133"/>
      <c r="W12" s="264"/>
      <c r="X12" s="176"/>
      <c r="Y12" s="176"/>
      <c r="Z12" s="176"/>
    </row>
    <row r="13" spans="1:26" ht="13.5" thickBot="1">
      <c r="A13" s="205" t="s">
        <v>316</v>
      </c>
      <c r="B13" s="314">
        <v>1.2</v>
      </c>
      <c r="C13" s="205" t="s">
        <v>159</v>
      </c>
      <c r="D13" s="207">
        <f>B13*1.09</f>
        <v>1.308</v>
      </c>
      <c r="E13" s="205" t="s">
        <v>744</v>
      </c>
      <c r="G13" s="777" t="s">
        <v>187</v>
      </c>
      <c r="H13" s="781" t="s">
        <v>132</v>
      </c>
      <c r="I13" s="1182">
        <f>36000+1254.21*H10-0.1212*H10*H10</f>
        <v>2150535.692629993</v>
      </c>
      <c r="J13" s="757"/>
      <c r="K13" s="135"/>
      <c r="L13" s="777" t="s">
        <v>187</v>
      </c>
      <c r="M13" s="781" t="s">
        <v>132</v>
      </c>
      <c r="N13" s="1182">
        <f>35483.4*$M$10^0.591*EXP(0.000162*$M$10)</f>
        <v>4625190.286634052</v>
      </c>
      <c r="O13" s="132"/>
      <c r="Q13" s="123">
        <v>300</v>
      </c>
      <c r="R13" s="123">
        <v>2775</v>
      </c>
      <c r="V13" s="133"/>
      <c r="W13" s="264"/>
      <c r="X13" s="176"/>
      <c r="Y13" s="176"/>
      <c r="Z13" s="176"/>
    </row>
    <row r="14" spans="1:26" ht="15" thickTop="1">
      <c r="A14" s="205" t="s">
        <v>315</v>
      </c>
      <c r="B14" s="314">
        <v>110</v>
      </c>
      <c r="C14" s="205" t="s">
        <v>312</v>
      </c>
      <c r="D14" s="205"/>
      <c r="E14" s="205"/>
      <c r="G14" s="1134" t="s">
        <v>1072</v>
      </c>
      <c r="H14" s="1283">
        <f>0.47+0.22</f>
        <v>0.69</v>
      </c>
      <c r="I14" s="1199">
        <f>H14*I$13*'{d}Cost Index'!D10</f>
        <v>4117857.159816972</v>
      </c>
      <c r="J14" s="763"/>
      <c r="K14" s="311"/>
      <c r="L14" s="1134" t="s">
        <v>1072</v>
      </c>
      <c r="M14" s="1283">
        <v>0.26</v>
      </c>
      <c r="N14" s="1199">
        <f>M14*N$13*'{d}Cost Index'!D10</f>
        <v>3337171.184415524</v>
      </c>
      <c r="O14" s="132"/>
      <c r="Q14" s="123">
        <v>400</v>
      </c>
      <c r="R14" s="123">
        <v>3343</v>
      </c>
      <c r="V14" s="133"/>
      <c r="W14" s="264"/>
      <c r="X14" s="176"/>
      <c r="Y14" s="177"/>
      <c r="Z14" s="177"/>
    </row>
    <row r="15" spans="1:26" ht="14.25">
      <c r="A15" s="205" t="s">
        <v>314</v>
      </c>
      <c r="B15" s="1089">
        <f>IF(B17=0,$B$8*($B$11*3600)*$B$10/(1000*B12*B14),B17*B13)</f>
        <v>2544.5378151260506</v>
      </c>
      <c r="C15" s="205" t="s">
        <v>662</v>
      </c>
      <c r="D15" s="207">
        <f>B15*1.308</f>
        <v>3328.2554621848744</v>
      </c>
      <c r="E15" s="205" t="s">
        <v>738</v>
      </c>
      <c r="G15" s="1045" t="s">
        <v>1063</v>
      </c>
      <c r="H15" s="1284">
        <v>0</v>
      </c>
      <c r="I15" s="1200">
        <f>H15*I$13*'{d}Cost Index'!D13</f>
        <v>0</v>
      </c>
      <c r="J15" s="763"/>
      <c r="K15" s="311"/>
      <c r="L15" s="1045" t="s">
        <v>1063</v>
      </c>
      <c r="M15" s="1284">
        <v>0.18</v>
      </c>
      <c r="N15" s="1200">
        <f>M15*N$13*'{d}Cost Index'!D13</f>
        <v>2158514.5768353413</v>
      </c>
      <c r="O15" s="132"/>
      <c r="P15"/>
      <c r="Q15" s="123">
        <v>600</v>
      </c>
      <c r="R15" s="123">
        <v>4389</v>
      </c>
      <c r="S15"/>
      <c r="V15" s="133"/>
      <c r="W15" s="264"/>
      <c r="X15" s="176"/>
      <c r="Y15" s="177"/>
      <c r="Z15" s="177"/>
    </row>
    <row r="16" spans="1:26" ht="14.25">
      <c r="A16" s="205" t="s">
        <v>735</v>
      </c>
      <c r="B16" s="1089">
        <f>B15/B13</f>
        <v>2120.448179271709</v>
      </c>
      <c r="C16" s="205" t="s">
        <v>143</v>
      </c>
      <c r="D16" s="207">
        <f>B16*1.96</f>
        <v>4156.078431372549</v>
      </c>
      <c r="E16" s="205" t="s">
        <v>739</v>
      </c>
      <c r="G16" s="1137" t="s">
        <v>1064</v>
      </c>
      <c r="H16" s="1284">
        <v>0.07</v>
      </c>
      <c r="I16" s="1200">
        <f>H16*I$13*'{d}Cost Index'!D14</f>
        <v>454960.3517066183</v>
      </c>
      <c r="J16" s="763"/>
      <c r="K16" s="311"/>
      <c r="L16" s="1137" t="s">
        <v>1064</v>
      </c>
      <c r="M16" s="1284">
        <v>0.22</v>
      </c>
      <c r="N16" s="1200">
        <f>M16*N$13*'{d}Cost Index'!D14</f>
        <v>3075255.059739497</v>
      </c>
      <c r="O16" s="132"/>
      <c r="P16"/>
      <c r="Q16" s="123">
        <v>800</v>
      </c>
      <c r="R16" s="123">
        <v>5374</v>
      </c>
      <c r="S16"/>
      <c r="V16" s="133"/>
      <c r="W16" s="264"/>
      <c r="X16" s="176"/>
      <c r="Y16" s="177"/>
      <c r="Z16" s="177"/>
    </row>
    <row r="17" spans="1:26" ht="14.25">
      <c r="A17" s="205" t="s">
        <v>734</v>
      </c>
      <c r="B17" s="1089">
        <f>'{c}Report'!D46</f>
        <v>0</v>
      </c>
      <c r="C17" s="205" t="s">
        <v>143</v>
      </c>
      <c r="D17" s="207">
        <f>B17*1.09^2</f>
        <v>0</v>
      </c>
      <c r="E17" s="205" t="s">
        <v>739</v>
      </c>
      <c r="G17" s="1045" t="s">
        <v>1073</v>
      </c>
      <c r="H17" s="1284">
        <v>0.24</v>
      </c>
      <c r="I17" s="1200">
        <f>H17*I$13*'{d}Cost Index'!D16</f>
        <v>1074240.6943923547</v>
      </c>
      <c r="J17" s="763"/>
      <c r="K17" s="311"/>
      <c r="L17" s="1045" t="s">
        <v>1073</v>
      </c>
      <c r="M17" s="1284">
        <v>0.23</v>
      </c>
      <c r="N17" s="1200">
        <f>M17*N$13*'{d}Cost Index'!D16</f>
        <v>2214119.9471732457</v>
      </c>
      <c r="O17" s="132"/>
      <c r="P17"/>
      <c r="Q17" s="123">
        <v>1000</v>
      </c>
      <c r="R17" s="123">
        <v>6333</v>
      </c>
      <c r="S17"/>
      <c r="V17" s="133"/>
      <c r="W17" s="264"/>
      <c r="X17" s="176"/>
      <c r="Y17" s="177"/>
      <c r="Z17" s="177"/>
    </row>
    <row r="18" spans="1:26" ht="12.75">
      <c r="A18" s="205" t="s">
        <v>313</v>
      </c>
      <c r="B18" s="205">
        <f>B13+0.3*B13</f>
        <v>1.56</v>
      </c>
      <c r="C18" s="205" t="s">
        <v>159</v>
      </c>
      <c r="D18" s="208">
        <f>1.09*B18</f>
        <v>1.7004000000000001</v>
      </c>
      <c r="E18" s="205" t="s">
        <v>744</v>
      </c>
      <c r="G18" s="1045" t="s">
        <v>1066</v>
      </c>
      <c r="H18" s="1284">
        <v>0</v>
      </c>
      <c r="I18" s="1200">
        <f>H18*I$13*'{d}Cost Index'!D19</f>
        <v>0</v>
      </c>
      <c r="J18" s="763"/>
      <c r="K18" s="311"/>
      <c r="L18" s="1045" t="s">
        <v>1066</v>
      </c>
      <c r="M18" s="1284">
        <v>0.05</v>
      </c>
      <c r="N18" s="1200">
        <f>M18*N$13*'{d}Cost Index'!D19</f>
        <v>593953.2345200754</v>
      </c>
      <c r="O18" s="132"/>
      <c r="P18"/>
      <c r="Q18" s="123">
        <v>1200</v>
      </c>
      <c r="R18" s="123">
        <v>7286</v>
      </c>
      <c r="S18"/>
      <c r="V18" s="133"/>
      <c r="W18" s="264"/>
      <c r="X18" s="176"/>
      <c r="Y18" s="177"/>
      <c r="Z18" s="177"/>
    </row>
    <row r="19" spans="1:26" ht="15" thickBot="1">
      <c r="A19" s="205" t="s">
        <v>310</v>
      </c>
      <c r="B19" s="1033">
        <f>IF(AND(B9&lt;=75,B9&gt;=25),0.186*B9+4.0465,IF(B9&lt;25,10,18))</f>
        <v>13.932400000000001</v>
      </c>
      <c r="C19" s="205" t="s">
        <v>311</v>
      </c>
      <c r="D19" s="208"/>
      <c r="E19" s="205"/>
      <c r="G19" s="1138" t="s">
        <v>1067</v>
      </c>
      <c r="H19" s="1285">
        <v>0</v>
      </c>
      <c r="I19" s="1201">
        <f>H19*I$13*'{d}Cost Index'!D18</f>
        <v>0</v>
      </c>
      <c r="J19" s="763"/>
      <c r="K19" s="311"/>
      <c r="L19" s="1138" t="s">
        <v>1067</v>
      </c>
      <c r="M19" s="1285">
        <v>0.06</v>
      </c>
      <c r="N19" s="1201">
        <f>M19*N$13*'{d}Cost Index'!D18</f>
        <v>542834.6387370878</v>
      </c>
      <c r="O19" s="132"/>
      <c r="P19"/>
      <c r="Q19" s="123">
        <v>1400</v>
      </c>
      <c r="R19" s="123">
        <v>8244</v>
      </c>
      <c r="S19"/>
      <c r="V19" s="133"/>
      <c r="W19" s="264"/>
      <c r="X19" s="176"/>
      <c r="Y19" s="177"/>
      <c r="Z19" s="177"/>
    </row>
    <row r="20" spans="1:26" ht="13.5" thickBot="1">
      <c r="A20" s="205" t="s">
        <v>321</v>
      </c>
      <c r="B20" s="314">
        <v>6</v>
      </c>
      <c r="C20" s="205" t="s">
        <v>76</v>
      </c>
      <c r="D20" s="208"/>
      <c r="E20" s="205"/>
      <c r="G20" s="758" t="str">
        <f>TEXT(IndexDate,"mmmm, yyyy")&amp;" Capital Cost $:"</f>
        <v>November, 2006 Capital Cost $:</v>
      </c>
      <c r="H20" s="782">
        <f>SUM(H14:H19)</f>
        <v>1</v>
      </c>
      <c r="I20" s="1203">
        <f>SUM(I14:I19)</f>
        <v>5647058.205915945</v>
      </c>
      <c r="J20" s="868"/>
      <c r="K20" s="775"/>
      <c r="L20" s="758" t="str">
        <f>TEXT(IndexDate,"mmmm, yyyy")&amp;" Capital Cost $:"</f>
        <v>November, 2006 Capital Cost $:</v>
      </c>
      <c r="M20" s="782">
        <f>SUM(M14:M19)</f>
        <v>1</v>
      </c>
      <c r="N20" s="1203">
        <f>SUM(N14:N19)</f>
        <v>11921848.64142077</v>
      </c>
      <c r="O20" s="132"/>
      <c r="P20"/>
      <c r="Q20" s="123">
        <v>1600</v>
      </c>
      <c r="R20" s="123">
        <v>9215</v>
      </c>
      <c r="S20"/>
      <c r="V20" s="133"/>
      <c r="W20" s="264"/>
      <c r="X20" s="176"/>
      <c r="Y20" s="177"/>
      <c r="Z20" s="177"/>
    </row>
    <row r="21" spans="1:26" ht="13.5" thickBot="1">
      <c r="A21" s="205" t="s">
        <v>330</v>
      </c>
      <c r="B21" s="205"/>
      <c r="C21" s="205" t="s">
        <v>1742</v>
      </c>
      <c r="D21" s="208"/>
      <c r="E21" s="205"/>
      <c r="G21" s="867"/>
      <c r="H21" s="175"/>
      <c r="I21" s="175"/>
      <c r="J21" s="829"/>
      <c r="K21" s="175"/>
      <c r="L21" s="867"/>
      <c r="M21" s="175"/>
      <c r="N21" s="175"/>
      <c r="O21" s="132"/>
      <c r="P21"/>
      <c r="Q21" s="123">
        <v>1800</v>
      </c>
      <c r="R21" s="123">
        <v>10204</v>
      </c>
      <c r="S21"/>
      <c r="V21" s="133"/>
      <c r="W21" s="264"/>
      <c r="X21" s="176"/>
      <c r="Y21" s="177"/>
      <c r="Z21" s="177"/>
    </row>
    <row r="22" spans="1:26" ht="13.5" thickBot="1">
      <c r="A22" s="123" t="s">
        <v>1057</v>
      </c>
      <c r="D22" s="131">
        <f>D8/(D16*9)</f>
        <v>2.18477689407922</v>
      </c>
      <c r="E22" s="123" t="s">
        <v>1058</v>
      </c>
      <c r="G22" s="830" t="s">
        <v>188</v>
      </c>
      <c r="H22" s="831" t="s">
        <v>132</v>
      </c>
      <c r="I22" s="1233">
        <f>73.3*H10^0.75+2200</f>
        <v>25104.706028848705</v>
      </c>
      <c r="J22" s="757"/>
      <c r="K22" s="135"/>
      <c r="L22" s="830" t="s">
        <v>188</v>
      </c>
      <c r="M22" s="831" t="s">
        <v>132</v>
      </c>
      <c r="N22" s="1182">
        <f>359.5*H10^0.8568+8100</f>
        <v>262655.28415111115</v>
      </c>
      <c r="O22" s="132"/>
      <c r="P22"/>
      <c r="Q22" s="123">
        <v>2000</v>
      </c>
      <c r="R22" s="123">
        <v>11217</v>
      </c>
      <c r="S22"/>
      <c r="V22" s="133"/>
      <c r="W22" s="264"/>
      <c r="X22" s="176"/>
      <c r="Y22" s="177"/>
      <c r="Z22" s="177"/>
    </row>
    <row r="23" spans="4:23" ht="13.5" thickTop="1">
      <c r="D23" s="131"/>
      <c r="G23" s="1134" t="s">
        <v>1495</v>
      </c>
      <c r="H23" s="1145">
        <v>0.24</v>
      </c>
      <c r="I23" s="1195">
        <f>I$22*H23*'{d}Cost Index'!D17</f>
        <v>12540.362352212485</v>
      </c>
      <c r="J23" s="761"/>
      <c r="K23" s="31"/>
      <c r="L23" s="1134" t="s">
        <v>1495</v>
      </c>
      <c r="M23" s="1145">
        <v>0.12</v>
      </c>
      <c r="N23" s="1195">
        <f>M23*N$22*'{d}Cost Index'!D17</f>
        <v>65601.09553151616</v>
      </c>
      <c r="O23" s="132"/>
      <c r="P23"/>
      <c r="Q23" s="123">
        <v>2300</v>
      </c>
      <c r="R23" s="123">
        <v>12790</v>
      </c>
      <c r="S23"/>
      <c r="V23" s="133"/>
      <c r="W23" s="191"/>
    </row>
    <row r="24" spans="1:23" ht="13.5" thickBot="1">
      <c r="A24" s="172" t="s">
        <v>743</v>
      </c>
      <c r="D24" s="237"/>
      <c r="G24" s="1045" t="s">
        <v>1494</v>
      </c>
      <c r="H24" s="1143">
        <v>0.52</v>
      </c>
      <c r="I24" s="1196">
        <f>I$22*H24*'{d}Cost Index'!D21</f>
        <v>30460.37664833643</v>
      </c>
      <c r="J24" s="761"/>
      <c r="K24" s="31"/>
      <c r="L24" s="1045" t="s">
        <v>1494</v>
      </c>
      <c r="M24" s="1143">
        <v>0.36</v>
      </c>
      <c r="N24" s="1196">
        <f>M24*N$22*'{d}Cost Index'!D21</f>
        <v>220630.43868693334</v>
      </c>
      <c r="O24" s="132"/>
      <c r="P24"/>
      <c r="Q24" s="123">
        <v>2600</v>
      </c>
      <c r="R24" s="123">
        <v>14436</v>
      </c>
      <c r="S24"/>
      <c r="V24" s="133"/>
      <c r="W24" s="191"/>
    </row>
    <row r="25" spans="1:23" ht="15" thickBot="1">
      <c r="A25" s="179" t="s">
        <v>740</v>
      </c>
      <c r="B25" s="1309">
        <f>20*27</f>
        <v>540</v>
      </c>
      <c r="C25" s="125"/>
      <c r="D25" s="1234">
        <f>B25*1.09^3</f>
        <v>699.3156600000001</v>
      </c>
      <c r="E25" s="126" t="s">
        <v>214</v>
      </c>
      <c r="G25" s="1138" t="s">
        <v>210</v>
      </c>
      <c r="H25" s="1147">
        <v>0.24</v>
      </c>
      <c r="I25" s="1197">
        <f>I$22*H25*'{d}Cost Index'!D11</f>
        <v>16943.85386574377</v>
      </c>
      <c r="J25" s="761"/>
      <c r="K25" s="31"/>
      <c r="L25" s="1138" t="s">
        <v>210</v>
      </c>
      <c r="M25" s="1147">
        <v>0.52</v>
      </c>
      <c r="N25" s="1197">
        <f>M25*N$22*'{d}Cost Index'!D11</f>
        <v>384092.0350809957</v>
      </c>
      <c r="O25" s="132"/>
      <c r="P25"/>
      <c r="Q25" s="123">
        <v>2800</v>
      </c>
      <c r="R25" s="123">
        <v>15579</v>
      </c>
      <c r="S25"/>
      <c r="V25" s="133"/>
      <c r="W25" s="191"/>
    </row>
    <row r="26" spans="1:22" ht="15" thickBot="1">
      <c r="A26" s="141" t="s">
        <v>741</v>
      </c>
      <c r="B26" s="1308">
        <f>20*27</f>
        <v>540</v>
      </c>
      <c r="D26" s="1234">
        <f>B26*1.09^3</f>
        <v>699.3156600000001</v>
      </c>
      <c r="E26" s="132" t="s">
        <v>214</v>
      </c>
      <c r="G26" s="127" t="str">
        <f>TEXT(IndexDate,"mmmm, yyyy")&amp;"  Operation &amp; Maintenance $:"</f>
        <v>November, 2006  Operation &amp; Maintenance $:</v>
      </c>
      <c r="H26" s="780">
        <f>SUM(H23:H25)</f>
        <v>1</v>
      </c>
      <c r="I26" s="1203">
        <f>SUM(I23:I25)</f>
        <v>59944.59286629269</v>
      </c>
      <c r="J26" s="868"/>
      <c r="K26" s="775"/>
      <c r="L26" s="127" t="str">
        <f>TEXT(IndexDate,"mmmm, yyyy")&amp;"  Operation &amp; Maintenance $:"</f>
        <v>November, 2006  Operation &amp; Maintenance $:</v>
      </c>
      <c r="M26" s="780">
        <f>SUM(M23:M25)</f>
        <v>1</v>
      </c>
      <c r="N26" s="1203">
        <f>SUM(N23:N25)</f>
        <v>670323.5692994453</v>
      </c>
      <c r="O26" s="132"/>
      <c r="P26"/>
      <c r="Q26"/>
      <c r="R26"/>
      <c r="S26"/>
      <c r="V26" s="133"/>
    </row>
    <row r="27" spans="1:22" ht="14.25">
      <c r="A27" s="141" t="s">
        <v>1440</v>
      </c>
      <c r="B27" s="1307">
        <f>60*27</f>
        <v>1620</v>
      </c>
      <c r="D27" s="1234">
        <f>B27*1.09^3</f>
        <v>2097.94698</v>
      </c>
      <c r="E27" s="132" t="s">
        <v>214</v>
      </c>
      <c r="G27" s="139"/>
      <c r="H27" s="138"/>
      <c r="I27" s="775"/>
      <c r="J27" s="868"/>
      <c r="K27" s="775"/>
      <c r="L27" s="139"/>
      <c r="M27" s="138"/>
      <c r="N27" s="775"/>
      <c r="O27" s="132"/>
      <c r="P27"/>
      <c r="Q27"/>
      <c r="R27"/>
      <c r="S27"/>
      <c r="V27" s="133"/>
    </row>
    <row r="28" spans="1:22" ht="15" thickBot="1">
      <c r="A28" s="180" t="s">
        <v>742</v>
      </c>
      <c r="B28" s="1306">
        <f>45*27</f>
        <v>1215</v>
      </c>
      <c r="C28" s="128"/>
      <c r="D28" s="1235">
        <f>B28*1.09^3</f>
        <v>1573.4602350000002</v>
      </c>
      <c r="E28" s="129" t="s">
        <v>214</v>
      </c>
      <c r="G28" s="141"/>
      <c r="J28" s="132"/>
      <c r="L28" s="141"/>
      <c r="O28" s="132"/>
      <c r="P28"/>
      <c r="Q28"/>
      <c r="R28"/>
      <c r="S28"/>
      <c r="V28" s="133"/>
    </row>
    <row r="29" spans="7:22" ht="12.75">
      <c r="G29" s="815" t="s">
        <v>1780</v>
      </c>
      <c r="H29" s="816"/>
      <c r="J29" s="132"/>
      <c r="L29" s="815" t="s">
        <v>1782</v>
      </c>
      <c r="M29" s="816"/>
      <c r="O29" s="132"/>
      <c r="P29"/>
      <c r="Q29"/>
      <c r="R29"/>
      <c r="V29" s="133"/>
    </row>
    <row r="30" spans="7:22" ht="13.5" thickBot="1">
      <c r="G30" s="823" t="s">
        <v>1767</v>
      </c>
      <c r="H30" s="820"/>
      <c r="J30" s="132"/>
      <c r="L30" s="823" t="s">
        <v>1767</v>
      </c>
      <c r="M30" s="820"/>
      <c r="N30" s="141"/>
      <c r="O30" s="132"/>
      <c r="V30" s="133"/>
    </row>
    <row r="31" spans="1:22" ht="12.75">
      <c r="A31" s="181" t="s">
        <v>555</v>
      </c>
      <c r="B31" s="125"/>
      <c r="C31" s="1311">
        <f>I20+N20</f>
        <v>17568906.847336717</v>
      </c>
      <c r="G31" s="139" t="s">
        <v>562</v>
      </c>
      <c r="H31" s="132"/>
      <c r="J31" s="132"/>
      <c r="L31" s="139" t="s">
        <v>563</v>
      </c>
      <c r="M31" s="132"/>
      <c r="N31" s="141"/>
      <c r="O31" s="132"/>
      <c r="V31" s="133"/>
    </row>
    <row r="32" spans="1:22" ht="12.75">
      <c r="A32" s="182" t="s">
        <v>556</v>
      </c>
      <c r="C32" s="1305">
        <f>B25*D15</f>
        <v>1797257.9495798321</v>
      </c>
      <c r="G32" s="139" t="s">
        <v>335</v>
      </c>
      <c r="H32" s="132">
        <v>36000</v>
      </c>
      <c r="J32" s="132"/>
      <c r="L32" s="139" t="s">
        <v>335</v>
      </c>
      <c r="M32" s="132">
        <v>35483.4</v>
      </c>
      <c r="N32" s="141"/>
      <c r="O32" s="132"/>
      <c r="P32"/>
      <c r="V32" s="133"/>
    </row>
    <row r="33" spans="1:22" ht="12.75">
      <c r="A33" s="182" t="s">
        <v>557</v>
      </c>
      <c r="C33" s="1305">
        <f>0.5*D15*(B25+B26)</f>
        <v>1797257.9495798321</v>
      </c>
      <c r="G33" s="139" t="s">
        <v>336</v>
      </c>
      <c r="H33" s="132">
        <v>1254.21</v>
      </c>
      <c r="J33" s="132"/>
      <c r="L33" s="139" t="s">
        <v>336</v>
      </c>
      <c r="M33" s="132">
        <v>0.591</v>
      </c>
      <c r="N33" s="141"/>
      <c r="O33" s="132"/>
      <c r="P33"/>
      <c r="V33" s="133"/>
    </row>
    <row r="34" spans="1:21" ht="12.75">
      <c r="A34" s="182" t="s">
        <v>558</v>
      </c>
      <c r="C34" s="1305">
        <f>$D15*SUM(B25:B26,B28)/3</f>
        <v>2546115.4285714286</v>
      </c>
      <c r="G34" s="139" t="s">
        <v>337</v>
      </c>
      <c r="H34" s="132">
        <v>-0.1212</v>
      </c>
      <c r="J34" s="132"/>
      <c r="L34" s="139" t="s">
        <v>337</v>
      </c>
      <c r="M34" s="132">
        <v>0.000162</v>
      </c>
      <c r="N34" s="141"/>
      <c r="O34" s="132"/>
      <c r="P34"/>
      <c r="Q34"/>
      <c r="R34"/>
      <c r="S34" s="133"/>
      <c r="T34" s="133"/>
      <c r="U34" s="133"/>
    </row>
    <row r="35" spans="1:18" ht="12.75">
      <c r="A35" s="182" t="s">
        <v>1441</v>
      </c>
      <c r="C35" s="1305">
        <f>D15*SUM(B25:B27)/3</f>
        <v>2995429.9159663874</v>
      </c>
      <c r="G35" s="141"/>
      <c r="H35" s="132"/>
      <c r="J35" s="132"/>
      <c r="L35" s="141"/>
      <c r="M35" s="132"/>
      <c r="N35" s="141"/>
      <c r="O35" s="132"/>
      <c r="P35"/>
      <c r="Q35"/>
      <c r="R35"/>
    </row>
    <row r="36" spans="1:18" ht="13.5" thickBot="1">
      <c r="A36" s="183" t="s">
        <v>559</v>
      </c>
      <c r="B36" s="128"/>
      <c r="C36" s="1310">
        <f>I26+N26</f>
        <v>730268.162165738</v>
      </c>
      <c r="G36" s="823" t="s">
        <v>394</v>
      </c>
      <c r="H36" s="820"/>
      <c r="J36" s="132"/>
      <c r="L36" s="823" t="s">
        <v>394</v>
      </c>
      <c r="M36" s="820"/>
      <c r="N36" s="141"/>
      <c r="O36" s="132"/>
      <c r="P36"/>
      <c r="Q36"/>
      <c r="R36"/>
    </row>
    <row r="37" spans="1:18" ht="12.75">
      <c r="A37" s="123" t="s">
        <v>745</v>
      </c>
      <c r="G37" s="139" t="s">
        <v>395</v>
      </c>
      <c r="H37" s="132"/>
      <c r="J37" s="132"/>
      <c r="L37" s="139" t="s">
        <v>395</v>
      </c>
      <c r="M37" s="132"/>
      <c r="N37" s="141"/>
      <c r="O37" s="132"/>
      <c r="P37"/>
      <c r="Q37"/>
      <c r="R37"/>
    </row>
    <row r="38" spans="7:18" ht="12.75">
      <c r="G38" s="139" t="s">
        <v>335</v>
      </c>
      <c r="H38" s="132">
        <v>73.3</v>
      </c>
      <c r="J38" s="132"/>
      <c r="L38" s="139" t="s">
        <v>335</v>
      </c>
      <c r="M38" s="132">
        <v>359.5</v>
      </c>
      <c r="N38" s="141"/>
      <c r="O38" s="132"/>
      <c r="Q38"/>
      <c r="R38"/>
    </row>
    <row r="39" spans="1:18" ht="12.75">
      <c r="A39" s="123" t="s">
        <v>746</v>
      </c>
      <c r="G39" s="141" t="s">
        <v>336</v>
      </c>
      <c r="H39" s="132">
        <v>0.75</v>
      </c>
      <c r="J39" s="132"/>
      <c r="L39" s="141" t="s">
        <v>336</v>
      </c>
      <c r="M39" s="132">
        <v>0.8568</v>
      </c>
      <c r="N39" s="141"/>
      <c r="O39" s="132"/>
      <c r="Q39"/>
      <c r="R39"/>
    </row>
    <row r="40" spans="1:15" ht="12.75">
      <c r="A40" s="123" t="s">
        <v>564</v>
      </c>
      <c r="G40" s="141" t="s">
        <v>337</v>
      </c>
      <c r="H40" s="132">
        <v>2200</v>
      </c>
      <c r="J40" s="132"/>
      <c r="L40" s="141" t="s">
        <v>337</v>
      </c>
      <c r="M40" s="132">
        <v>8100</v>
      </c>
      <c r="O40" s="132"/>
    </row>
    <row r="41" spans="7:15" ht="13.5" thickBot="1">
      <c r="G41" s="180"/>
      <c r="H41" s="129"/>
      <c r="J41" s="132"/>
      <c r="L41" s="180"/>
      <c r="M41" s="129"/>
      <c r="O41" s="132"/>
    </row>
    <row r="42" spans="1:15" ht="12.75">
      <c r="A42" s="123" t="s">
        <v>565</v>
      </c>
      <c r="G42" s="1749" t="s">
        <v>1798</v>
      </c>
      <c r="J42" s="132"/>
      <c r="L42" s="1749" t="s">
        <v>1798</v>
      </c>
      <c r="O42" s="132"/>
    </row>
    <row r="43" spans="1:15" ht="13.5" thickBot="1">
      <c r="A43" s="123" t="s">
        <v>566</v>
      </c>
      <c r="G43" s="180"/>
      <c r="H43" s="128"/>
      <c r="I43" s="128"/>
      <c r="J43" s="129"/>
      <c r="L43" s="180"/>
      <c r="M43" s="128"/>
      <c r="N43" s="128"/>
      <c r="O43" s="129"/>
    </row>
    <row r="44" ht="12.75"/>
    <row r="45" ht="12.75"/>
    <row r="46" ht="12.75">
      <c r="A46" s="2240"/>
    </row>
    <row r="47" ht="12.75"/>
    <row r="48" ht="12.75"/>
    <row r="49" ht="12.75"/>
    <row r="50" ht="12.75"/>
    <row r="51" ht="12.75"/>
    <row r="52" ht="12.75">
      <c r="A52" s="2242" t="s">
        <v>324</v>
      </c>
    </row>
    <row r="53" ht="12.75">
      <c r="A53" s="2241" t="s">
        <v>323</v>
      </c>
    </row>
    <row r="54" ht="12.75">
      <c r="A54" s="943" t="s">
        <v>322</v>
      </c>
    </row>
    <row r="55" ht="12.75">
      <c r="A55" s="1744" t="s">
        <v>325</v>
      </c>
    </row>
    <row r="56" ht="12.75">
      <c r="A56" s="124" t="s">
        <v>326</v>
      </c>
    </row>
    <row r="57" ht="12.75">
      <c r="A57" s="124" t="s">
        <v>327</v>
      </c>
    </row>
    <row r="58" ht="12.75">
      <c r="A58" s="123" t="s">
        <v>329</v>
      </c>
    </row>
  </sheetData>
  <mergeCells count="7">
    <mergeCell ref="M8:M9"/>
    <mergeCell ref="N8:O8"/>
    <mergeCell ref="D7:E7"/>
    <mergeCell ref="I8:J8"/>
    <mergeCell ref="H8:H9"/>
    <mergeCell ref="G8:G9"/>
    <mergeCell ref="L8:L9"/>
  </mergeCells>
  <printOptions gridLines="1"/>
  <pageMargins left="1.51" right="0.75" top="1" bottom="1" header="0.5" footer="0.5"/>
  <pageSetup fitToWidth="2" horizontalDpi="300" verticalDpi="300" orientation="landscape" scale="59" r:id="rId4"/>
  <headerFooter alignWithMargins="0">
    <oddHeader>&amp;C&amp;A</oddHeader>
    <oddFooter>&amp;CWater Treatment Cost Estimation Program</oddFooter>
  </headerFooter>
  <colBreaks count="1" manualBreakCount="1">
    <brk id="6"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28"/>
  <dimension ref="A1:B20"/>
  <sheetViews>
    <sheetView workbookViewId="0" topLeftCell="A1">
      <selection activeCell="E34" sqref="E34"/>
    </sheetView>
  </sheetViews>
  <sheetFormatPr defaultColWidth="9.140625" defaultRowHeight="12.75"/>
  <sheetData>
    <row r="1" ht="15.75">
      <c r="A1" s="1409" t="s">
        <v>85</v>
      </c>
    </row>
    <row r="2" ht="15.75">
      <c r="A2" s="1409"/>
    </row>
    <row r="3" spans="1:2" ht="12.75">
      <c r="A3" s="938"/>
      <c r="B3" s="1408" t="s">
        <v>84</v>
      </c>
    </row>
    <row r="4" spans="1:2" ht="12.75">
      <c r="A4" s="358"/>
      <c r="B4" s="1408" t="s">
        <v>82</v>
      </c>
    </row>
    <row r="5" spans="1:2" ht="12.75">
      <c r="A5" s="1406"/>
      <c r="B5" s="1408" t="s">
        <v>83</v>
      </c>
    </row>
    <row r="6" spans="1:2" ht="12.75">
      <c r="A6" s="1708"/>
      <c r="B6" s="1446" t="s">
        <v>1646</v>
      </c>
    </row>
    <row r="7" spans="1:2" ht="12.75">
      <c r="A7" s="355"/>
      <c r="B7" s="1446" t="s">
        <v>1169</v>
      </c>
    </row>
    <row r="8" spans="1:2" ht="12.75">
      <c r="A8" s="1407"/>
      <c r="B8" s="1408" t="s">
        <v>476</v>
      </c>
    </row>
    <row r="9" spans="1:2" ht="12.75">
      <c r="A9" s="1707" t="s">
        <v>86</v>
      </c>
      <c r="B9" s="1408" t="s">
        <v>271</v>
      </c>
    </row>
    <row r="10" spans="1:2" ht="12.75">
      <c r="A10" s="1730"/>
      <c r="B10" s="1408" t="s">
        <v>1586</v>
      </c>
    </row>
    <row r="13" ht="15.75">
      <c r="A13" s="1409" t="s">
        <v>28</v>
      </c>
    </row>
    <row r="14" ht="12.75">
      <c r="A14" t="s">
        <v>56</v>
      </c>
    </row>
    <row r="15" ht="12.75">
      <c r="A15" t="s">
        <v>57</v>
      </c>
    </row>
    <row r="17" ht="12.75">
      <c r="B17" s="144"/>
    </row>
    <row r="18" ht="12.75">
      <c r="B18" s="114"/>
    </row>
    <row r="19" ht="12.75">
      <c r="B19" s="114"/>
    </row>
    <row r="20" ht="15.75">
      <c r="A20" s="1409" t="s">
        <v>63</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Sheet21">
    <pageSetUpPr fitToPage="1"/>
  </sheetPr>
  <dimension ref="A1:T42"/>
  <sheetViews>
    <sheetView workbookViewId="0" topLeftCell="A1">
      <selection activeCell="I15" sqref="I15"/>
    </sheetView>
  </sheetViews>
  <sheetFormatPr defaultColWidth="9.140625" defaultRowHeight="12.75"/>
  <cols>
    <col min="1" max="1" width="35.421875" style="153" customWidth="1"/>
    <col min="2" max="2" width="12.8515625" style="153" customWidth="1"/>
    <col min="3" max="3" width="11.28125" style="153" bestFit="1" customWidth="1"/>
    <col min="4" max="4" width="10.00390625" style="153" bestFit="1" customWidth="1"/>
    <col min="5" max="5" width="9.8515625" style="153" customWidth="1"/>
    <col min="6" max="6" width="8.7109375" style="153" customWidth="1"/>
    <col min="7" max="7" width="10.28125" style="153" customWidth="1"/>
    <col min="8" max="8" width="9.8515625" style="153" customWidth="1"/>
    <col min="9" max="10" width="8.7109375" style="153" customWidth="1"/>
    <col min="11" max="11" width="19.421875" style="153" customWidth="1"/>
    <col min="12" max="12" width="9.8515625" style="153" customWidth="1"/>
    <col min="13" max="13" width="12.57421875" style="153" customWidth="1"/>
    <col min="14" max="14" width="13.57421875" style="153" customWidth="1"/>
    <col min="15" max="15" width="9.28125" style="153" customWidth="1"/>
    <col min="16" max="16" width="9.8515625" style="153" customWidth="1"/>
    <col min="17" max="17" width="9.28125" style="153" customWidth="1"/>
    <col min="18" max="16384" width="8.7109375" style="15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429" t="s">
        <v>801</v>
      </c>
    </row>
    <row r="5" ht="15.75">
      <c r="A5" s="152"/>
    </row>
    <row r="6" spans="1:5" ht="16.5" thickBot="1">
      <c r="A6" s="1091"/>
      <c r="B6" s="1084"/>
      <c r="C6" s="1062" t="s">
        <v>1682</v>
      </c>
      <c r="D6" s="2492" t="s">
        <v>766</v>
      </c>
      <c r="E6" s="2492"/>
    </row>
    <row r="7" spans="1:5" ht="13.5" thickTop="1">
      <c r="A7" s="474" t="s">
        <v>891</v>
      </c>
      <c r="B7" s="1033">
        <f>'{b}Capacity'!B18</f>
        <v>4380.787037037037</v>
      </c>
      <c r="C7" s="433" t="s">
        <v>1539</v>
      </c>
      <c r="D7" s="687">
        <f>B7*60/3.785</f>
        <v>69444.44444444445</v>
      </c>
      <c r="E7" s="433" t="s">
        <v>100</v>
      </c>
    </row>
    <row r="8" spans="1:5" ht="12.75">
      <c r="A8" s="433" t="s">
        <v>75</v>
      </c>
      <c r="B8" s="205">
        <f>'{c}Report'!D57</f>
        <v>180</v>
      </c>
      <c r="C8" s="433" t="s">
        <v>76</v>
      </c>
      <c r="D8" s="433"/>
      <c r="E8" s="433"/>
    </row>
    <row r="9" spans="1:5" ht="12.75">
      <c r="A9" s="433" t="s">
        <v>522</v>
      </c>
      <c r="B9" s="314">
        <v>4.8</v>
      </c>
      <c r="C9" s="433" t="s">
        <v>72</v>
      </c>
      <c r="D9" s="433"/>
      <c r="E9" s="433"/>
    </row>
    <row r="10" spans="1:12" ht="14.25">
      <c r="A10" s="433" t="s">
        <v>73</v>
      </c>
      <c r="B10" s="208">
        <f>B7*60*B8/('{c}Report'!D56*1000*B9)</f>
        <v>9856.770833333336</v>
      </c>
      <c r="C10" s="433" t="s">
        <v>143</v>
      </c>
      <c r="D10" s="433"/>
      <c r="E10" s="433"/>
      <c r="L10" s="157"/>
    </row>
    <row r="11" spans="1:17" ht="14.25">
      <c r="A11" s="433" t="s">
        <v>74</v>
      </c>
      <c r="B11" s="205">
        <f>'{c}Report'!D59</f>
        <v>0</v>
      </c>
      <c r="C11" s="433" t="s">
        <v>143</v>
      </c>
      <c r="D11" s="433"/>
      <c r="E11" s="433"/>
      <c r="K11" s="154"/>
      <c r="L11" s="155"/>
      <c r="M11" s="155"/>
      <c r="N11" s="155"/>
      <c r="O11" s="155"/>
      <c r="P11" s="155"/>
      <c r="Q11" s="155"/>
    </row>
    <row r="12" spans="1:5" ht="14.25">
      <c r="A12" s="1028" t="s">
        <v>728</v>
      </c>
      <c r="B12" s="634">
        <f>IF(B11=0,B10)</f>
        <v>9856.770833333336</v>
      </c>
      <c r="C12" s="433" t="s">
        <v>143</v>
      </c>
      <c r="D12" s="433"/>
      <c r="E12" s="433"/>
    </row>
    <row r="13" spans="2:17" ht="12.75">
      <c r="B13" s="123"/>
      <c r="K13" s="154"/>
      <c r="L13" s="155"/>
      <c r="M13" s="155"/>
      <c r="N13" s="155"/>
      <c r="O13" s="155"/>
      <c r="P13" s="155"/>
      <c r="Q13" s="155"/>
    </row>
    <row r="14" spans="8:17" ht="12.75">
      <c r="H14" s="121"/>
      <c r="I14" s="121"/>
      <c r="K14" s="154"/>
      <c r="L14" s="155"/>
      <c r="M14" s="155"/>
      <c r="N14" s="155"/>
      <c r="O14" s="155"/>
      <c r="P14" s="155"/>
      <c r="Q14" s="155"/>
    </row>
    <row r="15" spans="6:17" ht="13.5" thickBot="1">
      <c r="F15" s="156"/>
      <c r="H15" s="121"/>
      <c r="I15" s="121"/>
      <c r="K15" s="154"/>
      <c r="L15" s="155"/>
      <c r="M15" s="155"/>
      <c r="N15" s="155"/>
      <c r="O15" s="155"/>
      <c r="P15" s="155"/>
      <c r="Q15" s="155"/>
    </row>
    <row r="16" spans="1:20" ht="13.5" thickBot="1">
      <c r="A16" s="777" t="s">
        <v>1787</v>
      </c>
      <c r="B16" s="781" t="s">
        <v>132</v>
      </c>
      <c r="C16" s="1182">
        <f>1.15*IF($B$12&lt;400,($C$34+$B$12*$D$34),($C$35+$B$12*$D$35))</f>
        <v>2921679.3277304694</v>
      </c>
      <c r="F16" s="156"/>
      <c r="G16" s="156"/>
      <c r="H16" s="121"/>
      <c r="I16" s="157"/>
      <c r="K16"/>
      <c r="L16"/>
      <c r="M16"/>
      <c r="N16"/>
      <c r="O16"/>
      <c r="P16"/>
      <c r="Q16"/>
      <c r="R16"/>
      <c r="S16"/>
      <c r="T16"/>
    </row>
    <row r="17" spans="1:20" ht="13.5" thickTop="1">
      <c r="A17" s="1134" t="s">
        <v>1072</v>
      </c>
      <c r="B17" s="1283">
        <f>0.509+0.007</f>
        <v>0.516</v>
      </c>
      <c r="C17" s="1199">
        <f>B17*C$16*'{d}Cost Index'!D10</f>
        <v>4183673.47280398</v>
      </c>
      <c r="D17" s="156"/>
      <c r="I17" s="123"/>
      <c r="K17"/>
      <c r="L17"/>
      <c r="M17"/>
      <c r="N17"/>
      <c r="O17"/>
      <c r="P17"/>
      <c r="Q17"/>
      <c r="R17"/>
      <c r="S17"/>
      <c r="T17"/>
    </row>
    <row r="18" spans="1:20" ht="12.75">
      <c r="A18" s="1045" t="s">
        <v>1063</v>
      </c>
      <c r="B18" s="1284">
        <v>0</v>
      </c>
      <c r="C18" s="1200">
        <f>B18*C$16*'{d}Cost Index'!D13</f>
        <v>0</v>
      </c>
      <c r="D18" s="156"/>
      <c r="I18" s="123"/>
      <c r="K18"/>
      <c r="L18"/>
      <c r="M18"/>
      <c r="N18"/>
      <c r="O18"/>
      <c r="P18"/>
      <c r="Q18"/>
      <c r="R18"/>
      <c r="S18"/>
      <c r="T18"/>
    </row>
    <row r="19" spans="1:20" ht="12.75">
      <c r="A19" s="1137" t="s">
        <v>1064</v>
      </c>
      <c r="B19" s="1284">
        <f>0.046+0.247</f>
        <v>0.293</v>
      </c>
      <c r="C19" s="1200">
        <f>B19*C$16*'{d}Cost Index'!D14</f>
        <v>2587194.170859517</v>
      </c>
      <c r="D19" s="156"/>
      <c r="I19" s="123"/>
      <c r="K19"/>
      <c r="L19"/>
      <c r="M19"/>
      <c r="N19"/>
      <c r="O19"/>
      <c r="P19"/>
      <c r="Q19"/>
      <c r="R19"/>
      <c r="S19"/>
      <c r="T19"/>
    </row>
    <row r="20" spans="1:20" ht="12.75">
      <c r="A20" s="1045" t="s">
        <v>1073</v>
      </c>
      <c r="B20" s="1284">
        <v>0</v>
      </c>
      <c r="C20" s="1200">
        <f>B20*C$16*'{d}Cost Index'!D16</f>
        <v>0</v>
      </c>
      <c r="D20" s="156"/>
      <c r="I20" s="123"/>
      <c r="K20"/>
      <c r="L20"/>
      <c r="M20"/>
      <c r="N20"/>
      <c r="O20"/>
      <c r="P20"/>
      <c r="Q20"/>
      <c r="R20"/>
      <c r="S20"/>
      <c r="T20"/>
    </row>
    <row r="21" spans="1:20" ht="12.75">
      <c r="A21" s="1045" t="s">
        <v>1066</v>
      </c>
      <c r="B21" s="1284">
        <v>0.11</v>
      </c>
      <c r="C21" s="1200">
        <f>B21*C$16*'{d}Cost Index'!D19</f>
        <v>825425.488393783</v>
      </c>
      <c r="D21" s="156"/>
      <c r="I21" s="123"/>
      <c r="K21"/>
      <c r="L21"/>
      <c r="M21"/>
      <c r="N21"/>
      <c r="O21"/>
      <c r="P21"/>
      <c r="Q21"/>
      <c r="R21"/>
      <c r="S21"/>
      <c r="T21"/>
    </row>
    <row r="22" spans="1:20" ht="13.5" thickBot="1">
      <c r="A22" s="1138" t="s">
        <v>1067</v>
      </c>
      <c r="B22" s="1285">
        <v>0.081</v>
      </c>
      <c r="C22" s="1201">
        <f>B22*C$16*'{d}Cost Index'!D18</f>
        <v>462918.20866105624</v>
      </c>
      <c r="D22" s="156"/>
      <c r="I22" s="123"/>
      <c r="K22"/>
      <c r="L22"/>
      <c r="M22"/>
      <c r="N22"/>
      <c r="O22"/>
      <c r="P22"/>
      <c r="Q22"/>
      <c r="R22"/>
      <c r="S22"/>
      <c r="T22"/>
    </row>
    <row r="23" spans="1:20" ht="13.5" thickBot="1">
      <c r="A23" s="758" t="str">
        <f>TEXT(IndexDate,"mmmm, yyyy")&amp;" Capital Cost $:"</f>
        <v>November, 2006 Capital Cost $:</v>
      </c>
      <c r="B23" s="782"/>
      <c r="C23" s="1203">
        <f>SUM(C17:C22)</f>
        <v>8059211.340718336</v>
      </c>
      <c r="I23" s="123"/>
      <c r="K23"/>
      <c r="L23"/>
      <c r="M23"/>
      <c r="N23"/>
      <c r="O23"/>
      <c r="P23"/>
      <c r="Q23"/>
      <c r="R23"/>
      <c r="S23"/>
      <c r="T23"/>
    </row>
    <row r="24" spans="1:20" ht="13.5" thickBot="1">
      <c r="A24" s="158"/>
      <c r="D24" s="170"/>
      <c r="I24" s="123"/>
      <c r="K24"/>
      <c r="L24"/>
      <c r="M24"/>
      <c r="N24"/>
      <c r="O24"/>
      <c r="P24"/>
      <c r="Q24"/>
      <c r="R24"/>
      <c r="S24"/>
      <c r="T24"/>
    </row>
    <row r="25" spans="1:20" ht="12.75">
      <c r="A25" s="160"/>
      <c r="B25" s="836" t="s">
        <v>132</v>
      </c>
      <c r="C25" s="837" t="s">
        <v>523</v>
      </c>
      <c r="D25" s="185" t="s">
        <v>132</v>
      </c>
      <c r="E25" s="838" t="s">
        <v>524</v>
      </c>
      <c r="F25" s="185" t="s">
        <v>132</v>
      </c>
      <c r="G25" s="638" t="s">
        <v>525</v>
      </c>
      <c r="K25"/>
      <c r="L25"/>
      <c r="M25"/>
      <c r="N25"/>
      <c r="O25"/>
      <c r="P25"/>
      <c r="Q25"/>
      <c r="R25"/>
      <c r="S25"/>
      <c r="T25"/>
    </row>
    <row r="26" spans="1:20" ht="13.5" thickBot="1">
      <c r="A26" s="871" t="s">
        <v>188</v>
      </c>
      <c r="B26" s="872"/>
      <c r="C26" s="1236">
        <f>5967.9519+5.3118202*$B$12</f>
        <v>58325.346319270844</v>
      </c>
      <c r="D26" s="873"/>
      <c r="E26" s="1236">
        <f>5806.5744+8.80491*$B$12</f>
        <v>92594.55447812502</v>
      </c>
      <c r="F26" s="873"/>
      <c r="G26" s="1240">
        <f>5939.8245+12.384121*$B$12</f>
        <v>128007.26716927087</v>
      </c>
      <c r="K26"/>
      <c r="L26"/>
      <c r="M26"/>
      <c r="N26"/>
      <c r="O26"/>
      <c r="P26"/>
      <c r="Q26"/>
      <c r="R26"/>
      <c r="S26"/>
      <c r="T26"/>
    </row>
    <row r="27" spans="1:20" ht="13.5" thickTop="1">
      <c r="A27" s="1134" t="s">
        <v>1495</v>
      </c>
      <c r="B27" s="1135">
        <v>0.17</v>
      </c>
      <c r="C27" s="1237">
        <f>C$26*B27*'{d}Cost Index'!$D17</f>
        <v>20637.16094614631</v>
      </c>
      <c r="D27" s="1135">
        <v>0.14</v>
      </c>
      <c r="E27" s="1237">
        <f>E$26*D27*'{d}Cost Index'!$D17</f>
        <v>26980.946804824776</v>
      </c>
      <c r="F27" s="1135">
        <v>0.11</v>
      </c>
      <c r="G27" s="1241">
        <f>G$26*F27*'{d}Cost Index'!$D17</f>
        <v>29306.97640567069</v>
      </c>
      <c r="H27" s="123"/>
      <c r="I27" s="123"/>
      <c r="K27"/>
      <c r="L27"/>
      <c r="M27"/>
      <c r="N27"/>
      <c r="O27"/>
      <c r="P27"/>
      <c r="Q27"/>
      <c r="R27"/>
      <c r="S27"/>
      <c r="T27"/>
    </row>
    <row r="28" spans="1:20" ht="12.75">
      <c r="A28" s="1045" t="s">
        <v>1494</v>
      </c>
      <c r="B28" s="1136">
        <v>0.23</v>
      </c>
      <c r="C28" s="1238">
        <f>C$26*B28*'{d}Cost Index'!$D21</f>
        <v>31301.269191342024</v>
      </c>
      <c r="D28" s="1136">
        <v>0.38</v>
      </c>
      <c r="E28" s="1238">
        <f>E$26*D28*'{d}Cost Index'!$D21</f>
        <v>82100.50497060419</v>
      </c>
      <c r="F28" s="1136">
        <v>0.5</v>
      </c>
      <c r="G28" s="1242">
        <f>G$26*F28*'{d}Cost Index'!$D21</f>
        <v>149341.81169748268</v>
      </c>
      <c r="H28" s="123"/>
      <c r="I28" s="123"/>
      <c r="K28"/>
      <c r="L28"/>
      <c r="M28"/>
      <c r="N28"/>
      <c r="O28"/>
      <c r="P28"/>
      <c r="Q28"/>
      <c r="R28"/>
      <c r="S28"/>
      <c r="T28"/>
    </row>
    <row r="29" spans="1:20" ht="13.5" thickBot="1">
      <c r="A29" s="1138" t="s">
        <v>210</v>
      </c>
      <c r="B29" s="1139">
        <v>0.6</v>
      </c>
      <c r="C29" s="1239">
        <f>C$26*B29*'{d}Cost Index'!$D11</f>
        <v>98413.43527056057</v>
      </c>
      <c r="D29" s="1139">
        <v>0.48</v>
      </c>
      <c r="E29" s="1239">
        <f>E$26*D29*'{d}Cost Index'!$D11</f>
        <v>124989.20306321155</v>
      </c>
      <c r="F29" s="1139">
        <v>0.39</v>
      </c>
      <c r="G29" s="1243">
        <f>G$26*F29*'{d}Cost Index'!$D11</f>
        <v>140392.8686732095</v>
      </c>
      <c r="H29" s="123"/>
      <c r="I29" s="123"/>
      <c r="K29"/>
      <c r="L29"/>
      <c r="M29"/>
      <c r="N29"/>
      <c r="O29"/>
      <c r="P29"/>
      <c r="Q29"/>
      <c r="R29"/>
      <c r="S29"/>
      <c r="T29"/>
    </row>
    <row r="30" spans="1:20" ht="13.5" thickBot="1">
      <c r="A30" s="127" t="str">
        <f>TEXT(IndexDate,"mmmm, yyyy")&amp;"  Operation &amp; Maintenance $:"</f>
        <v>November, 2006  Operation &amp; Maintenance $:</v>
      </c>
      <c r="B30" s="313"/>
      <c r="C30" s="1312">
        <f>SUM(C27:C29)</f>
        <v>150351.8654080489</v>
      </c>
      <c r="D30" s="128"/>
      <c r="E30" s="1312">
        <f>SUM(E27:E29)</f>
        <v>234070.65483864053</v>
      </c>
      <c r="F30" s="128"/>
      <c r="G30" s="1313">
        <f>SUM(G27:G29)</f>
        <v>319041.6567763629</v>
      </c>
      <c r="K30"/>
      <c r="L30"/>
      <c r="M30"/>
      <c r="N30"/>
      <c r="O30"/>
      <c r="P30"/>
      <c r="Q30"/>
      <c r="R30"/>
      <c r="S30"/>
      <c r="T30"/>
    </row>
    <row r="31" ht="13.5" thickBot="1"/>
    <row r="32" spans="1:4" ht="12.75">
      <c r="A32" s="1740" t="s">
        <v>1735</v>
      </c>
      <c r="B32" s="1741"/>
      <c r="C32" s="1741"/>
      <c r="D32" s="1742"/>
    </row>
    <row r="33" spans="1:4" ht="12.75">
      <c r="A33" s="163" t="s">
        <v>526</v>
      </c>
      <c r="C33" s="441" t="s">
        <v>527</v>
      </c>
      <c r="D33" s="839" t="s">
        <v>528</v>
      </c>
    </row>
    <row r="34" spans="1:4" ht="14.25">
      <c r="A34" s="163"/>
      <c r="B34" s="153" t="s">
        <v>726</v>
      </c>
      <c r="C34" s="153">
        <v>62801.114</v>
      </c>
      <c r="D34" s="164">
        <v>416.77163</v>
      </c>
    </row>
    <row r="35" spans="1:4" ht="14.25">
      <c r="A35" s="163"/>
      <c r="B35" s="153" t="s">
        <v>727</v>
      </c>
      <c r="C35" s="153">
        <v>132264.71</v>
      </c>
      <c r="D35" s="164">
        <v>244.33215</v>
      </c>
    </row>
    <row r="36" spans="1:4" ht="12.75">
      <c r="A36" s="869"/>
      <c r="B36" s="843"/>
      <c r="C36" s="843"/>
      <c r="D36" s="870"/>
    </row>
    <row r="37" spans="1:4" ht="12.75">
      <c r="A37" s="1743" t="s">
        <v>1736</v>
      </c>
      <c r="B37" s="1744"/>
      <c r="C37" s="1744"/>
      <c r="D37" s="1745"/>
    </row>
    <row r="38" spans="1:6" ht="12.75">
      <c r="A38" s="163" t="s">
        <v>529</v>
      </c>
      <c r="C38" s="441" t="s">
        <v>527</v>
      </c>
      <c r="D38" s="839" t="s">
        <v>528</v>
      </c>
      <c r="F38" s="156"/>
    </row>
    <row r="39" spans="1:6" ht="12.75">
      <c r="A39" s="163" t="s">
        <v>530</v>
      </c>
      <c r="C39" s="153">
        <v>5967.9519</v>
      </c>
      <c r="D39" s="164">
        <v>5.3118202</v>
      </c>
      <c r="F39" s="156"/>
    </row>
    <row r="40" spans="1:6" ht="12.75">
      <c r="A40" s="163" t="s">
        <v>531</v>
      </c>
      <c r="C40" s="153">
        <v>5806.5744</v>
      </c>
      <c r="D40" s="164">
        <v>8.80491</v>
      </c>
      <c r="F40" s="156"/>
    </row>
    <row r="41" spans="1:6" ht="12.75">
      <c r="A41" s="163" t="s">
        <v>532</v>
      </c>
      <c r="C41" s="153">
        <v>5939.8245</v>
      </c>
      <c r="D41" s="164">
        <v>12.384121</v>
      </c>
      <c r="F41" s="156"/>
    </row>
    <row r="42" spans="1:6" ht="13.5" thickBot="1">
      <c r="A42" s="165"/>
      <c r="B42" s="166"/>
      <c r="C42" s="166"/>
      <c r="D42" s="167"/>
      <c r="F42" s="156"/>
    </row>
  </sheetData>
  <mergeCells count="1">
    <mergeCell ref="D6:E6"/>
  </mergeCells>
  <printOptions gridLines="1"/>
  <pageMargins left="0.75" right="0.75" top="1" bottom="1" header="0.5" footer="0.5"/>
  <pageSetup fitToHeight="1" fitToWidth="1" horizontalDpi="300" verticalDpi="300" orientation="landscape" scale="93" r:id="rId1"/>
  <headerFooter alignWithMargins="0">
    <oddHeader>&amp;C&amp;A</oddHeader>
    <oddFooter>&amp;CWater Treatment Cost Estimation Program</oddFooter>
  </headerFooter>
</worksheet>
</file>

<file path=xl/worksheets/sheet31.xml><?xml version="1.0" encoding="utf-8"?>
<worksheet xmlns="http://schemas.openxmlformats.org/spreadsheetml/2006/main" xmlns:r="http://schemas.openxmlformats.org/officeDocument/2006/relationships">
  <sheetPr codeName="Sheet7">
    <pageSetUpPr fitToPage="1"/>
  </sheetPr>
  <dimension ref="A1:U72"/>
  <sheetViews>
    <sheetView workbookViewId="0" topLeftCell="A1">
      <selection activeCell="H22" sqref="H22"/>
    </sheetView>
  </sheetViews>
  <sheetFormatPr defaultColWidth="9.140625" defaultRowHeight="12.75"/>
  <cols>
    <col min="1" max="1" width="29.28125" style="123" customWidth="1"/>
    <col min="2" max="2" width="16.140625" style="123" customWidth="1"/>
    <col min="3" max="3" width="11.00390625" style="123" customWidth="1"/>
    <col min="4" max="4" width="9.00390625" style="123" bestFit="1" customWidth="1"/>
    <col min="5" max="7" width="10.421875" style="123" bestFit="1" customWidth="1"/>
    <col min="8" max="8" width="6.140625" style="123" customWidth="1"/>
    <col min="9" max="9" width="37.28125" style="123" customWidth="1"/>
    <col min="10" max="10" width="12.00390625" style="123" customWidth="1"/>
    <col min="11" max="11" width="11.28125" style="123" bestFit="1" customWidth="1"/>
    <col min="12" max="12" width="10.7109375" style="123" customWidth="1"/>
    <col min="13" max="13" width="14.7109375" style="123" customWidth="1"/>
    <col min="14" max="15" width="9.140625" style="123" customWidth="1"/>
    <col min="16" max="16" width="21.00390625" style="123" customWidth="1"/>
    <col min="17" max="17" width="20.00390625" style="177" customWidth="1"/>
    <col min="18" max="18" width="12.140625" style="177" customWidth="1"/>
    <col min="19" max="19" width="11.57421875" style="123" customWidth="1"/>
    <col min="20" max="16384" width="9.140625" style="12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spans="11:13" ht="12.75">
      <c r="K3" s="174"/>
      <c r="L3" s="175"/>
      <c r="M3" s="175"/>
    </row>
    <row r="4" ht="18">
      <c r="A4" s="507" t="s">
        <v>567</v>
      </c>
    </row>
    <row r="5" ht="15.75">
      <c r="I5" s="171" t="s">
        <v>1800</v>
      </c>
    </row>
    <row r="6" spans="9:12" ht="12.75">
      <c r="I6" s="2557"/>
      <c r="J6" s="2557" t="s">
        <v>1784</v>
      </c>
      <c r="K6" s="2540" t="s">
        <v>1786</v>
      </c>
      <c r="L6" s="2540"/>
    </row>
    <row r="7" spans="9:12" ht="13.5" thickBot="1">
      <c r="I7" s="2558"/>
      <c r="J7" s="2558"/>
      <c r="K7" s="834" t="s">
        <v>1785</v>
      </c>
      <c r="L7" s="834" t="s">
        <v>177</v>
      </c>
    </row>
    <row r="8" spans="1:12" ht="15" thickTop="1">
      <c r="A8" s="205" t="s">
        <v>891</v>
      </c>
      <c r="B8" s="207">
        <f>'{b}Capacity'!B18</f>
        <v>4380.787037037037</v>
      </c>
      <c r="C8" s="205" t="s">
        <v>99</v>
      </c>
      <c r="I8" s="832" t="s">
        <v>1075</v>
      </c>
      <c r="J8" s="833">
        <f>C27</f>
        <v>49.608914885493796</v>
      </c>
      <c r="K8" s="1132">
        <v>13</v>
      </c>
      <c r="L8" s="1286">
        <v>2600</v>
      </c>
    </row>
    <row r="9" spans="1:21" ht="12.75">
      <c r="A9" s="205" t="s">
        <v>568</v>
      </c>
      <c r="B9" s="746">
        <f>SUM('{e}H20 Analysis'!K9:K30)-'{e}H20 Analysis'!K25-'{e}H20 Analysis'!K27-'{e}H20 Analysis'!K28</f>
        <v>0.00010479041916167629</v>
      </c>
      <c r="C9" s="205" t="s">
        <v>569</v>
      </c>
      <c r="D9" s="48"/>
      <c r="E9" s="2547" t="s">
        <v>1786</v>
      </c>
      <c r="F9" s="2549"/>
      <c r="N9"/>
      <c r="O9"/>
      <c r="P9"/>
      <c r="Q9"/>
      <c r="R9"/>
      <c r="S9"/>
      <c r="T9"/>
      <c r="U9"/>
    </row>
    <row r="10" spans="1:21" ht="13.5" thickBot="1">
      <c r="A10" s="205" t="s">
        <v>1672</v>
      </c>
      <c r="B10" s="746">
        <f>'{e}H20 Analysis'!C49</f>
        <v>0.0072071317254970525</v>
      </c>
      <c r="C10" s="205" t="s">
        <v>569</v>
      </c>
      <c r="D10" s="52"/>
      <c r="E10" s="834" t="s">
        <v>1785</v>
      </c>
      <c r="F10" s="834" t="s">
        <v>177</v>
      </c>
      <c r="J10" s="174"/>
      <c r="L10"/>
      <c r="M10"/>
      <c r="N10"/>
      <c r="O10"/>
      <c r="P10"/>
      <c r="Q10"/>
      <c r="R10"/>
      <c r="S10"/>
      <c r="T10"/>
      <c r="U10"/>
    </row>
    <row r="11" spans="1:21" ht="14.25" thickBot="1" thickTop="1">
      <c r="A11" s="205" t="s">
        <v>570</v>
      </c>
      <c r="B11" s="1093">
        <v>20</v>
      </c>
      <c r="C11" s="205" t="s">
        <v>571</v>
      </c>
      <c r="D11" s="1004"/>
      <c r="E11" s="1132">
        <v>16</v>
      </c>
      <c r="F11" s="1286">
        <v>40</v>
      </c>
      <c r="I11" s="777" t="s">
        <v>187</v>
      </c>
      <c r="J11" s="781" t="s">
        <v>132</v>
      </c>
      <c r="K11" s="1182">
        <f>36000+1254.21*J8-0.1212*J8^2</f>
        <v>97921.7185528779</v>
      </c>
      <c r="L11"/>
      <c r="M11"/>
      <c r="N11"/>
      <c r="O11"/>
      <c r="P11"/>
      <c r="Q11"/>
      <c r="R11"/>
      <c r="S11"/>
      <c r="T11"/>
      <c r="U11"/>
    </row>
    <row r="12" spans="1:21" ht="13.5" thickTop="1">
      <c r="A12" s="205" t="s">
        <v>572</v>
      </c>
      <c r="B12" s="1094">
        <f>'{c}Report'!D75</f>
        <v>20</v>
      </c>
      <c r="C12" s="205" t="s">
        <v>569</v>
      </c>
      <c r="I12" s="1134" t="s">
        <v>1072</v>
      </c>
      <c r="J12" s="1709">
        <v>0.69</v>
      </c>
      <c r="K12" s="1199">
        <f>K$11*$J12*'{d}Cost Index'!$D$10</f>
        <v>187501.0264774654</v>
      </c>
      <c r="L12"/>
      <c r="M12"/>
      <c r="N12"/>
      <c r="O12"/>
      <c r="P12"/>
      <c r="Q12"/>
      <c r="R12"/>
      <c r="S12"/>
      <c r="T12"/>
      <c r="U12"/>
    </row>
    <row r="13" spans="1:21" ht="12.75">
      <c r="A13" s="205" t="s">
        <v>574</v>
      </c>
      <c r="B13" s="1094">
        <f>'{c}Report'!D79</f>
        <v>11</v>
      </c>
      <c r="C13" s="205" t="s">
        <v>569</v>
      </c>
      <c r="I13" s="1045" t="s">
        <v>1063</v>
      </c>
      <c r="J13" s="1710">
        <v>0</v>
      </c>
      <c r="K13" s="1200">
        <f>K$11*$J13*'{d}Cost Index'!$D$13</f>
        <v>0</v>
      </c>
      <c r="L13"/>
      <c r="M13"/>
      <c r="N13"/>
      <c r="O13"/>
      <c r="P13"/>
      <c r="Q13"/>
      <c r="R13"/>
      <c r="S13"/>
      <c r="T13"/>
      <c r="U13"/>
    </row>
    <row r="14" spans="1:21" ht="12.75">
      <c r="A14" s="205" t="s">
        <v>575</v>
      </c>
      <c r="B14" s="1094">
        <f>'{c}Report'!D83</f>
        <v>1</v>
      </c>
      <c r="C14" s="205" t="s">
        <v>576</v>
      </c>
      <c r="I14" s="1137" t="s">
        <v>1064</v>
      </c>
      <c r="J14" s="1710">
        <v>0.07</v>
      </c>
      <c r="K14" s="1200">
        <f>K$11*$J14*'{d}Cost Index'!$D$14</f>
        <v>20716.000978365948</v>
      </c>
      <c r="L14"/>
      <c r="M14"/>
      <c r="N14"/>
      <c r="O14"/>
      <c r="P14"/>
      <c r="Q14"/>
      <c r="R14"/>
      <c r="S14"/>
      <c r="T14"/>
      <c r="U14"/>
    </row>
    <row r="15" spans="9:21" ht="13.5" thickBot="1">
      <c r="I15" s="1045" t="s">
        <v>1073</v>
      </c>
      <c r="J15" s="1710">
        <v>0.24</v>
      </c>
      <c r="K15" s="1200">
        <f>K$11*$J15*'{d}Cost Index'!$D$16</f>
        <v>48914.08931032088</v>
      </c>
      <c r="L15"/>
      <c r="M15"/>
      <c r="N15"/>
      <c r="O15"/>
      <c r="P15"/>
      <c r="Q15"/>
      <c r="R15"/>
      <c r="S15"/>
      <c r="T15"/>
      <c r="U15"/>
    </row>
    <row r="16" spans="1:21" ht="12.75">
      <c r="A16" s="181" t="s">
        <v>577</v>
      </c>
      <c r="B16" s="1121" t="s">
        <v>747</v>
      </c>
      <c r="C16" s="1121" t="s">
        <v>749</v>
      </c>
      <c r="D16" s="126"/>
      <c r="I16" s="1045" t="s">
        <v>1066</v>
      </c>
      <c r="J16" s="1710">
        <v>0</v>
      </c>
      <c r="K16" s="1200">
        <f>K$11*$J16*'{d}Cost Index'!$D$19</f>
        <v>0</v>
      </c>
      <c r="L16"/>
      <c r="M16"/>
      <c r="N16"/>
      <c r="O16"/>
      <c r="P16"/>
      <c r="Q16"/>
      <c r="R16"/>
      <c r="S16"/>
      <c r="T16"/>
      <c r="U16"/>
    </row>
    <row r="17" spans="1:21" ht="15" thickBot="1">
      <c r="A17" s="1122" t="s">
        <v>748</v>
      </c>
      <c r="B17" s="208">
        <f>$B$8*3600/($B$11*1000)</f>
        <v>788.5416666666667</v>
      </c>
      <c r="C17" s="208">
        <f>IF(B13=0,0,$B$8*3600/($B$11*1000))</f>
        <v>788.5416666666667</v>
      </c>
      <c r="D17" s="1051" t="s">
        <v>662</v>
      </c>
      <c r="I17" s="1138" t="s">
        <v>1067</v>
      </c>
      <c r="J17" s="1711">
        <v>0</v>
      </c>
      <c r="K17" s="1201">
        <f>K$11*$J17*'{d}Cost Index'!$D$18</f>
        <v>0</v>
      </c>
      <c r="L17"/>
      <c r="M17"/>
      <c r="N17"/>
      <c r="O17"/>
      <c r="P17"/>
      <c r="Q17"/>
      <c r="R17"/>
      <c r="S17"/>
      <c r="T17"/>
      <c r="U17"/>
    </row>
    <row r="18" spans="1:21" ht="13.5" thickBot="1">
      <c r="A18" s="1011" t="s">
        <v>1658</v>
      </c>
      <c r="B18" s="208">
        <f>B17*1000*B12/(B9*B8*86400)</f>
        <v>397.619047619049</v>
      </c>
      <c r="C18" s="208">
        <f>B17*1000*B13/(B10*B8*86400)</f>
        <v>3.1797208014934926</v>
      </c>
      <c r="D18" s="1051" t="s">
        <v>576</v>
      </c>
      <c r="I18" s="758" t="str">
        <f>TEXT(IndexDate,"mmmm, yyyy")&amp;" Capital Cost $:"</f>
        <v>November, 2006 Capital Cost $:</v>
      </c>
      <c r="J18" s="782">
        <f>SUM(J12:J17)</f>
        <v>1</v>
      </c>
      <c r="K18" s="1203">
        <f>SUM(K12:K17)</f>
        <v>257131.11676615223</v>
      </c>
      <c r="L18"/>
      <c r="M18"/>
      <c r="N18"/>
      <c r="O18"/>
      <c r="P18"/>
      <c r="Q18"/>
      <c r="R18"/>
      <c r="S18"/>
      <c r="T18"/>
      <c r="U18"/>
    </row>
    <row r="19" spans="1:21" ht="15" thickBot="1">
      <c r="A19" s="1011" t="s">
        <v>1657</v>
      </c>
      <c r="B19" s="1089">
        <f>IF($B$18&gt;$B$14,$B$17,$B$14*86.4*$B$8*$B$9/$B$12)</f>
        <v>788.5416666666667</v>
      </c>
      <c r="C19" s="1089">
        <f>IF($C$18=0,0,IF(C18&gt;$B$14,$C$17,$B$14*86.4*$B$8*$B$9/$B$12))</f>
        <v>788.5416666666667</v>
      </c>
      <c r="D19" s="1051" t="s">
        <v>662</v>
      </c>
      <c r="L19"/>
      <c r="M19"/>
      <c r="N19"/>
      <c r="O19"/>
      <c r="P19"/>
      <c r="Q19"/>
      <c r="R19"/>
      <c r="S19"/>
      <c r="T19"/>
      <c r="U19"/>
    </row>
    <row r="20" spans="1:21" ht="13.5" thickBot="1">
      <c r="A20" s="1011" t="s">
        <v>940</v>
      </c>
      <c r="B20" s="1093">
        <v>2</v>
      </c>
      <c r="C20" s="1093">
        <v>2</v>
      </c>
      <c r="D20" s="1051"/>
      <c r="I20" s="777" t="s">
        <v>188</v>
      </c>
      <c r="J20" s="831" t="s">
        <v>132</v>
      </c>
      <c r="K20" s="1182">
        <f>73.3*C27^0.75+2200</f>
        <v>3570.167842064349</v>
      </c>
      <c r="L20"/>
      <c r="M20"/>
      <c r="N20"/>
      <c r="O20"/>
      <c r="P20"/>
      <c r="Q20"/>
      <c r="R20"/>
      <c r="S20"/>
      <c r="T20"/>
      <c r="U20"/>
    </row>
    <row r="21" spans="1:21" ht="15" thickTop="1">
      <c r="A21" s="1011" t="s">
        <v>1074</v>
      </c>
      <c r="B21" s="1059">
        <f>B19*B20</f>
        <v>1577.0833333333335</v>
      </c>
      <c r="C21" s="1059">
        <f>C19*C20</f>
        <v>1577.0833333333335</v>
      </c>
      <c r="D21" s="1051" t="s">
        <v>662</v>
      </c>
      <c r="I21" s="1134" t="s">
        <v>1495</v>
      </c>
      <c r="J21" s="1301">
        <v>0.24</v>
      </c>
      <c r="K21" s="1184">
        <f>K$20*$J21*'{d}Cost Index'!$D$17</f>
        <v>1783.3787157776428</v>
      </c>
      <c r="L21"/>
      <c r="M21"/>
      <c r="N21"/>
      <c r="O21"/>
      <c r="P21"/>
      <c r="Q21"/>
      <c r="R21"/>
      <c r="S21"/>
      <c r="T21"/>
      <c r="U21"/>
    </row>
    <row r="22" spans="1:21" ht="14.25">
      <c r="A22" s="1011" t="s">
        <v>1659</v>
      </c>
      <c r="B22" s="1092">
        <f>'{c}Report'!D76</f>
        <v>1607.142857142857</v>
      </c>
      <c r="C22" s="1092">
        <f>'{c}Report'!D80</f>
        <v>6250</v>
      </c>
      <c r="D22" s="1051"/>
      <c r="I22" s="1045" t="s">
        <v>1494</v>
      </c>
      <c r="J22" s="1302">
        <v>0.52</v>
      </c>
      <c r="K22" s="1186">
        <f>K$20*$J22*'{d}Cost Index'!$D$21</f>
        <v>4331.80364837141</v>
      </c>
      <c r="L22"/>
      <c r="M22"/>
      <c r="N22"/>
      <c r="O22"/>
      <c r="P22" s="245"/>
      <c r="Q22" s="246"/>
      <c r="R22" s="246"/>
      <c r="S22" s="137"/>
      <c r="T22" s="177"/>
      <c r="U22" s="177"/>
    </row>
    <row r="23" spans="1:21" ht="13.5" thickBot="1">
      <c r="A23" s="1123" t="s">
        <v>1660</v>
      </c>
      <c r="B23" s="1244">
        <f>$B$22*$B$19</f>
        <v>1267299.1071428573</v>
      </c>
      <c r="C23" s="1244">
        <f>$C$22*$C$19</f>
        <v>4928385.416666667</v>
      </c>
      <c r="D23" s="752"/>
      <c r="I23" s="1138" t="s">
        <v>210</v>
      </c>
      <c r="J23" s="1303">
        <v>0.24</v>
      </c>
      <c r="K23" s="1188">
        <f>K$20*$J23*'{d}Cost Index'!$D$11</f>
        <v>2409.6040846924143</v>
      </c>
      <c r="L23"/>
      <c r="M23"/>
      <c r="N23"/>
      <c r="O23"/>
      <c r="P23" s="245"/>
      <c r="Q23" s="246"/>
      <c r="R23" s="246"/>
      <c r="S23" s="137"/>
      <c r="T23" s="177"/>
      <c r="U23" s="177"/>
    </row>
    <row r="24" spans="3:19" ht="13.5" thickBot="1">
      <c r="C24" s="6"/>
      <c r="I24" s="127" t="str">
        <f>TEXT(IndexDate,"mmmm, yyyy")&amp;"  Operation &amp; Maintenance $:"</f>
        <v>November, 2006  Operation &amp; Maintenance $:</v>
      </c>
      <c r="J24" s="780">
        <f>SUM(J21:J23)</f>
        <v>1</v>
      </c>
      <c r="K24" s="1203">
        <f>SUM(K21:K23)</f>
        <v>8524.786448841467</v>
      </c>
      <c r="L24"/>
      <c r="M24"/>
      <c r="N24"/>
      <c r="O24"/>
      <c r="P24" s="245"/>
      <c r="Q24" s="246"/>
      <c r="R24" s="246"/>
      <c r="S24" s="177"/>
    </row>
    <row r="25" spans="1:19" ht="12.75">
      <c r="A25" s="181" t="s">
        <v>578</v>
      </c>
      <c r="B25" s="125"/>
      <c r="C25" s="1124"/>
      <c r="D25" s="1125"/>
      <c r="I25" s="124"/>
      <c r="J25" s="138"/>
      <c r="K25" s="135"/>
      <c r="L25"/>
      <c r="M25"/>
      <c r="N25"/>
      <c r="O25"/>
      <c r="P25" s="204"/>
      <c r="Q25" s="246"/>
      <c r="R25" s="246"/>
      <c r="S25" s="177"/>
    </row>
    <row r="26" spans="1:19" ht="12.75">
      <c r="A26" s="1045" t="s">
        <v>579</v>
      </c>
      <c r="B26" s="205"/>
      <c r="C26" s="1095">
        <v>4</v>
      </c>
      <c r="D26" s="1051" t="s">
        <v>580</v>
      </c>
      <c r="L26"/>
      <c r="S26" s="177"/>
    </row>
    <row r="27" spans="1:19" ht="15" thickBot="1">
      <c r="A27" s="1011" t="s">
        <v>581</v>
      </c>
      <c r="B27" s="205"/>
      <c r="C27" s="207">
        <f>(PI()/4)*((4*$B$21)/($C$26*PI()))^(2/3)</f>
        <v>49.608914885493796</v>
      </c>
      <c r="D27" s="1051" t="s">
        <v>143</v>
      </c>
      <c r="I27"/>
      <c r="J27"/>
      <c r="K27"/>
      <c r="L27"/>
      <c r="M27"/>
      <c r="S27" s="177"/>
    </row>
    <row r="28" spans="1:19" ht="13.5" thickBot="1">
      <c r="A28" s="1045" t="s">
        <v>582</v>
      </c>
      <c r="B28" s="205"/>
      <c r="C28" s="205"/>
      <c r="D28" s="1051"/>
      <c r="I28" s="777" t="s">
        <v>1799</v>
      </c>
      <c r="J28" s="781" t="s">
        <v>132</v>
      </c>
      <c r="K28" s="1182">
        <f>B23+C34+B45</f>
        <v>2208277.829309988</v>
      </c>
      <c r="L28" t="s">
        <v>1120</v>
      </c>
      <c r="M28"/>
      <c r="S28" s="177"/>
    </row>
    <row r="29" spans="1:19" ht="13.5" thickTop="1">
      <c r="A29" s="1045" t="s">
        <v>1122</v>
      </c>
      <c r="B29" s="747" t="str">
        <f>"Height is "&amp;TEXT(B49,"0.0")&amp;" m"</f>
        <v>Height is 31.8 m</v>
      </c>
      <c r="C29" s="205"/>
      <c r="D29" s="1051"/>
      <c r="I29" s="1134" t="s">
        <v>1072</v>
      </c>
      <c r="J29" s="1709">
        <f>B23/K28</f>
        <v>0.5738857177852686</v>
      </c>
      <c r="K29" s="1199">
        <f>K$28*$J29*'{d}Cost Index'!$E$10</f>
        <v>1845611.6439206162</v>
      </c>
      <c r="L29"/>
      <c r="M29"/>
      <c r="S29" s="177"/>
    </row>
    <row r="30" spans="1:19" ht="12.75">
      <c r="A30" s="1045" t="s">
        <v>1676</v>
      </c>
      <c r="B30" s="218" t="s">
        <v>1677</v>
      </c>
      <c r="C30" s="1096">
        <v>3.44609</v>
      </c>
      <c r="D30" s="1051"/>
      <c r="I30" s="1045" t="s">
        <v>1063</v>
      </c>
      <c r="J30" s="1710">
        <v>0.01</v>
      </c>
      <c r="K30" s="1200">
        <f>K$28*$J30*'{d}Cost Index'!$E$13</f>
        <v>31839.013957855586</v>
      </c>
      <c r="L30"/>
      <c r="M30"/>
      <c r="S30" s="177"/>
    </row>
    <row r="31" spans="1:19" ht="12.75">
      <c r="A31" s="1011" t="s">
        <v>1679</v>
      </c>
      <c r="B31" s="218" t="s">
        <v>1678</v>
      </c>
      <c r="C31" s="1096">
        <v>0.561757</v>
      </c>
      <c r="D31" s="1051"/>
      <c r="I31" s="1137" t="s">
        <v>1064</v>
      </c>
      <c r="J31" s="1710">
        <v>0.03</v>
      </c>
      <c r="K31" s="1200">
        <f>K$28*$J31*'{d}Cost Index'!$E$14</f>
        <v>86052.72089524592</v>
      </c>
      <c r="L31"/>
      <c r="M31"/>
      <c r="S31" s="177"/>
    </row>
    <row r="32" spans="1:19" ht="12.75">
      <c r="A32" s="1011" t="s">
        <v>587</v>
      </c>
      <c r="B32" s="205"/>
      <c r="C32" s="1097">
        <v>2</v>
      </c>
      <c r="D32" s="1051"/>
      <c r="I32" s="1045" t="s">
        <v>1073</v>
      </c>
      <c r="J32" s="1710">
        <f>(B45+C34)/K28</f>
        <v>0.42611428221473147</v>
      </c>
      <c r="K32" s="1200">
        <f>K$28*$J32*'{d}Cost Index'!$E$16</f>
        <v>1118252.5852269111</v>
      </c>
      <c r="L32"/>
      <c r="S32" s="177"/>
    </row>
    <row r="33" spans="1:19" ht="12.75">
      <c r="A33" s="1011" t="s">
        <v>583</v>
      </c>
      <c r="B33" s="205"/>
      <c r="C33" s="1238">
        <f>10^(C30+C31*LOG(B21))</f>
        <v>174786.23608356543</v>
      </c>
      <c r="D33" s="1051"/>
      <c r="I33" s="1045" t="s">
        <v>1066</v>
      </c>
      <c r="J33" s="1710">
        <v>0</v>
      </c>
      <c r="K33" s="1200">
        <f>K$28*$J33*'{d}Cost Index'!$E$19</f>
        <v>0</v>
      </c>
      <c r="L33"/>
      <c r="M33"/>
      <c r="S33" s="177"/>
    </row>
    <row r="34" spans="1:19" ht="13.5" thickBot="1">
      <c r="A34" s="1126" t="s">
        <v>588</v>
      </c>
      <c r="B34" s="391"/>
      <c r="C34" s="1239">
        <f>$C$33*$C$32</f>
        <v>349572.47216713085</v>
      </c>
      <c r="D34" s="752"/>
      <c r="I34" s="1138" t="s">
        <v>1067</v>
      </c>
      <c r="J34" s="1711">
        <v>0</v>
      </c>
      <c r="K34" s="1201">
        <f>K$28*$J34*'{d}Cost Index'!$E$18</f>
        <v>0</v>
      </c>
      <c r="L34"/>
      <c r="S34" s="177"/>
    </row>
    <row r="35" spans="1:19" ht="13.5" thickBot="1">
      <c r="A35" s="192"/>
      <c r="C35" s="137"/>
      <c r="I35" s="758" t="str">
        <f>TEXT(IndexDate,"mmmm, yyyy")&amp;" Capital Cost $:"</f>
        <v>November, 2006 Capital Cost $:</v>
      </c>
      <c r="J35" s="1981">
        <f>SUM(J29:J34)</f>
        <v>1.04</v>
      </c>
      <c r="K35" s="1203">
        <f>SUM(K29:K34)</f>
        <v>3081755.964000629</v>
      </c>
      <c r="L35"/>
      <c r="S35" s="133"/>
    </row>
    <row r="36" spans="1:12" ht="13.5" thickBot="1">
      <c r="A36" s="192"/>
      <c r="C36" s="137"/>
      <c r="I36"/>
      <c r="J36"/>
      <c r="K36"/>
      <c r="L36"/>
    </row>
    <row r="37" spans="1:12" ht="13.5" thickBot="1">
      <c r="A37" s="1127" t="s">
        <v>1661</v>
      </c>
      <c r="B37" s="818"/>
      <c r="C37" s="822" t="s">
        <v>1682</v>
      </c>
      <c r="D37" s="2565" t="s">
        <v>766</v>
      </c>
      <c r="E37" s="2566"/>
      <c r="F37" s="157"/>
      <c r="G37" s="157"/>
      <c r="I37" s="777" t="s">
        <v>188</v>
      </c>
      <c r="J37" s="831" t="s">
        <v>132</v>
      </c>
      <c r="K37" s="1182">
        <f>B41</f>
        <v>820280.4687500001</v>
      </c>
      <c r="L37"/>
    </row>
    <row r="38" spans="1:12" ht="15" thickTop="1">
      <c r="A38" s="1128" t="s">
        <v>1667</v>
      </c>
      <c r="B38" s="1119">
        <v>150</v>
      </c>
      <c r="C38" s="205" t="s">
        <v>1668</v>
      </c>
      <c r="D38" s="747">
        <f>B38*2.2046*0.02832</f>
        <v>9.3651408</v>
      </c>
      <c r="E38" s="1051" t="s">
        <v>1673</v>
      </c>
      <c r="I38" s="1134" t="s">
        <v>1495</v>
      </c>
      <c r="J38" s="1301">
        <v>0.24</v>
      </c>
      <c r="K38" s="1184">
        <f>K$37*$J38*'{d}Cost Index'!$E$17</f>
        <v>233955.7483752518</v>
      </c>
      <c r="L38"/>
    </row>
    <row r="39" spans="1:12" ht="12.75">
      <c r="A39" s="1011" t="s">
        <v>1662</v>
      </c>
      <c r="B39" s="1059">
        <f>B38*(B19+C19)</f>
        <v>236562.50000000003</v>
      </c>
      <c r="C39" s="205" t="s">
        <v>589</v>
      </c>
      <c r="D39" s="1082">
        <f>B39*2.2046</f>
        <v>521525.6875000001</v>
      </c>
      <c r="E39" s="1051" t="s">
        <v>1674</v>
      </c>
      <c r="I39" s="1045" t="s">
        <v>1494</v>
      </c>
      <c r="J39" s="1302">
        <v>0.52</v>
      </c>
      <c r="K39" s="1186">
        <f>K$37*$J39*'{d}Cost Index'!$E$21</f>
        <v>426545.84375000006</v>
      </c>
      <c r="L39"/>
    </row>
    <row r="40" spans="1:12" ht="13.5" thickBot="1">
      <c r="A40" s="1045" t="s">
        <v>1005</v>
      </c>
      <c r="B40" s="1098">
        <v>0.02</v>
      </c>
      <c r="C40" s="205" t="s">
        <v>78</v>
      </c>
      <c r="D40" s="1099">
        <f>B40/2.2046</f>
        <v>0.009071940488070397</v>
      </c>
      <c r="E40" s="1051" t="s">
        <v>71</v>
      </c>
      <c r="I40" s="1138" t="s">
        <v>210</v>
      </c>
      <c r="J40" s="1303">
        <v>0.24</v>
      </c>
      <c r="K40" s="1188">
        <f>K$37*$J40*'{d}Cost Index'!$E$11</f>
        <v>179673.12058199817</v>
      </c>
      <c r="L40"/>
    </row>
    <row r="41" spans="1:12" ht="13.5" thickBot="1">
      <c r="A41" s="1129" t="s">
        <v>590</v>
      </c>
      <c r="B41" s="1238">
        <f>$B$39*$B$40*(365*'{b}Capacity'!C9/($B$14+1))</f>
        <v>820280.4687500001</v>
      </c>
      <c r="C41" s="205"/>
      <c r="D41" s="205"/>
      <c r="E41" s="1051"/>
      <c r="I41" s="127" t="str">
        <f>TEXT(IndexDate,"mmmm, yyyy")&amp;"  Operation &amp; Maintenance $:"</f>
        <v>November, 2006  Operation &amp; Maintenance $:</v>
      </c>
      <c r="J41" s="780">
        <f>SUM(J38:J40)</f>
        <v>1</v>
      </c>
      <c r="K41" s="1203">
        <f>SUM(K38:K40)</f>
        <v>840174.71270725</v>
      </c>
      <c r="L41"/>
    </row>
    <row r="42" spans="1:5" ht="12.75">
      <c r="A42" s="1011"/>
      <c r="B42" s="205"/>
      <c r="C42" s="205"/>
      <c r="D42" s="205"/>
      <c r="E42" s="1051"/>
    </row>
    <row r="43" spans="1:5" ht="12.75">
      <c r="A43" s="1011" t="s">
        <v>1669</v>
      </c>
      <c r="B43" s="1093">
        <v>10</v>
      </c>
      <c r="C43" s="205" t="s">
        <v>591</v>
      </c>
      <c r="D43" s="205"/>
      <c r="E43" s="1051"/>
    </row>
    <row r="44" spans="1:5" ht="14.25">
      <c r="A44" s="1011" t="s">
        <v>592</v>
      </c>
      <c r="B44" s="1059">
        <f>B39/($B$43/100)/1000</f>
        <v>2365.625</v>
      </c>
      <c r="C44" s="205" t="s">
        <v>662</v>
      </c>
      <c r="D44" s="747">
        <f>B44/3.785</f>
        <v>625</v>
      </c>
      <c r="E44" s="1051" t="s">
        <v>1675</v>
      </c>
    </row>
    <row r="45" spans="1:5" ht="13.5" thickBot="1">
      <c r="A45" s="1130" t="s">
        <v>593</v>
      </c>
      <c r="B45" s="1245">
        <f>0.25*1000*$B$44</f>
        <v>591406.25</v>
      </c>
      <c r="C45" s="1131" t="s">
        <v>1734</v>
      </c>
      <c r="D45" s="391"/>
      <c r="E45" s="752"/>
    </row>
    <row r="46" spans="1:3" ht="24.75" customHeight="1">
      <c r="A46" s="1117"/>
      <c r="B46" s="137"/>
      <c r="C46" s="1118"/>
    </row>
    <row r="47" spans="1:10" ht="13.5" thickBot="1">
      <c r="A47" s="1116"/>
      <c r="B47" s="1080"/>
      <c r="C47" s="1062" t="s">
        <v>1682</v>
      </c>
      <c r="D47" s="2492" t="s">
        <v>766</v>
      </c>
      <c r="E47" s="2492"/>
      <c r="F47" s="157"/>
      <c r="G47" s="157"/>
      <c r="H47" s="824"/>
      <c r="I47" s="1315" t="s">
        <v>1123</v>
      </c>
      <c r="J47" s="1316">
        <v>319000</v>
      </c>
    </row>
    <row r="48" spans="1:10" ht="13.5" thickTop="1">
      <c r="A48" s="1114" t="s">
        <v>1121</v>
      </c>
      <c r="B48" s="1115"/>
      <c r="C48" s="931"/>
      <c r="D48" s="1100"/>
      <c r="E48" s="1101"/>
      <c r="F48" s="824"/>
      <c r="G48" s="824"/>
      <c r="H48" s="824"/>
      <c r="I48" s="1315" t="s">
        <v>1125</v>
      </c>
      <c r="J48" s="1316">
        <v>333000</v>
      </c>
    </row>
    <row r="49" spans="1:8" ht="12.75">
      <c r="A49" s="650" t="s">
        <v>158</v>
      </c>
      <c r="B49" s="1314">
        <f>B21/C27</f>
        <v>31.790321093971162</v>
      </c>
      <c r="C49" s="650" t="s">
        <v>159</v>
      </c>
      <c r="D49" s="1112">
        <f>B49/0.3048</f>
        <v>104.29895372037782</v>
      </c>
      <c r="E49" s="1102" t="s">
        <v>160</v>
      </c>
      <c r="F49" s="825"/>
      <c r="G49" s="825"/>
      <c r="H49" s="825"/>
    </row>
    <row r="50" spans="1:8" ht="12.75">
      <c r="A50" s="650" t="s">
        <v>162</v>
      </c>
      <c r="B50" s="247">
        <f>(0.08*1000*B55^2/(32*B54*PI()^2))^(1/5)</f>
        <v>0.5074290652973495</v>
      </c>
      <c r="C50" s="650" t="s">
        <v>159</v>
      </c>
      <c r="D50" s="1112">
        <f>B50/0.3048</f>
        <v>1.6647935213167635</v>
      </c>
      <c r="E50" s="1102" t="s">
        <v>160</v>
      </c>
      <c r="F50" s="825"/>
      <c r="G50" s="825"/>
      <c r="H50" s="825"/>
    </row>
    <row r="51" spans="1:8" ht="12.75">
      <c r="A51" s="650" t="s">
        <v>164</v>
      </c>
      <c r="B51" s="117">
        <v>10</v>
      </c>
      <c r="C51" s="650" t="s">
        <v>159</v>
      </c>
      <c r="D51" s="1112">
        <f>B51/0.3048</f>
        <v>32.808398950131235</v>
      </c>
      <c r="E51" s="1102" t="s">
        <v>160</v>
      </c>
      <c r="F51" s="825"/>
      <c r="G51" s="825"/>
      <c r="H51" s="825"/>
    </row>
    <row r="52" spans="1:8" ht="12.75">
      <c r="A52" s="650" t="s">
        <v>165</v>
      </c>
      <c r="B52" s="117">
        <v>78</v>
      </c>
      <c r="C52" s="650"/>
      <c r="D52" s="1103"/>
      <c r="E52" s="1104"/>
      <c r="F52" s="826"/>
      <c r="G52" s="826"/>
      <c r="H52" s="826"/>
    </row>
    <row r="53" spans="1:8" ht="12.75">
      <c r="A53" s="646" t="s">
        <v>819</v>
      </c>
      <c r="B53" s="116">
        <v>1</v>
      </c>
      <c r="C53" s="1105"/>
      <c r="D53" s="1106"/>
      <c r="E53" s="1107"/>
      <c r="F53" s="827"/>
      <c r="G53" s="827"/>
      <c r="H53" s="827"/>
    </row>
    <row r="54" spans="1:8" ht="12.75">
      <c r="A54" s="646" t="s">
        <v>820</v>
      </c>
      <c r="B54" s="116">
        <v>200</v>
      </c>
      <c r="C54" s="1108" t="s">
        <v>147</v>
      </c>
      <c r="D54" s="1109">
        <f>B54/101.3*14.7</f>
        <v>29.022704837117473</v>
      </c>
      <c r="E54" s="1110" t="s">
        <v>148</v>
      </c>
      <c r="F54" s="828"/>
      <c r="G54" s="828"/>
      <c r="H54" s="828"/>
    </row>
    <row r="55" spans="1:8" ht="14.25">
      <c r="A55" s="646" t="s">
        <v>822</v>
      </c>
      <c r="B55" s="1111">
        <f>'{b}Capacity'!B32/(1000*B53)</f>
        <v>5.153867102396514</v>
      </c>
      <c r="C55" s="650" t="s">
        <v>168</v>
      </c>
      <c r="D55" s="1120">
        <f>B55/0.003785*60</f>
        <v>81699.34640522876</v>
      </c>
      <c r="E55" s="1102" t="s">
        <v>100</v>
      </c>
      <c r="F55" s="825"/>
      <c r="G55" s="825"/>
      <c r="H55" s="825"/>
    </row>
    <row r="56" spans="1:8" ht="12.75">
      <c r="A56" s="646" t="s">
        <v>823</v>
      </c>
      <c r="B56" s="1113">
        <f>(B49*9.81+(B55/(B50^2*PI()/4))^2/2+(B54-101.3))*B55*1000/(746*B52/100)</f>
        <v>6512.905504609718</v>
      </c>
      <c r="C56" s="650" t="s">
        <v>153</v>
      </c>
      <c r="D56" s="1106"/>
      <c r="E56" s="1107"/>
      <c r="F56" s="827"/>
      <c r="G56" s="827"/>
      <c r="H56" s="827"/>
    </row>
    <row r="59" ht="13.5" thickBot="1">
      <c r="D59" s="137"/>
    </row>
    <row r="60" spans="1:2" ht="12.75">
      <c r="A60" s="815" t="s">
        <v>1780</v>
      </c>
      <c r="B60" s="816"/>
    </row>
    <row r="61" spans="1:3" ht="12.75">
      <c r="A61" s="182" t="s">
        <v>1767</v>
      </c>
      <c r="B61" s="132"/>
      <c r="C61" s="141"/>
    </row>
    <row r="62" spans="1:3" ht="12.75">
      <c r="A62" s="139" t="s">
        <v>562</v>
      </c>
      <c r="B62" s="132"/>
      <c r="C62" s="141"/>
    </row>
    <row r="63" spans="1:3" ht="12.75">
      <c r="A63" s="139" t="s">
        <v>335</v>
      </c>
      <c r="B63" s="132">
        <v>36000</v>
      </c>
      <c r="C63" s="141"/>
    </row>
    <row r="64" spans="1:3" ht="12.75">
      <c r="A64" s="139" t="s">
        <v>336</v>
      </c>
      <c r="B64" s="132">
        <v>1254.21</v>
      </c>
      <c r="C64" s="141"/>
    </row>
    <row r="65" spans="1:3" ht="12.75">
      <c r="A65" s="139" t="s">
        <v>337</v>
      </c>
      <c r="B65" s="132">
        <v>-0.1212</v>
      </c>
      <c r="C65" s="141"/>
    </row>
    <row r="66" spans="1:3" ht="12.75">
      <c r="A66" s="813"/>
      <c r="B66" s="814"/>
      <c r="C66" s="141"/>
    </row>
    <row r="67" spans="1:3" ht="12.75">
      <c r="A67" s="810" t="s">
        <v>394</v>
      </c>
      <c r="B67" s="132"/>
      <c r="C67" s="141"/>
    </row>
    <row r="68" spans="1:3" ht="12.75">
      <c r="A68" s="811" t="s">
        <v>594</v>
      </c>
      <c r="B68" s="132"/>
      <c r="C68" s="141"/>
    </row>
    <row r="69" spans="1:3" ht="12.75">
      <c r="A69" s="139" t="s">
        <v>335</v>
      </c>
      <c r="B69" s="188">
        <v>73.3</v>
      </c>
      <c r="C69" s="141"/>
    </row>
    <row r="70" spans="1:3" ht="12.75">
      <c r="A70" s="139" t="s">
        <v>336</v>
      </c>
      <c r="B70" s="829">
        <v>2200</v>
      </c>
      <c r="C70" s="141"/>
    </row>
    <row r="71" spans="1:2" ht="13.5" thickBot="1">
      <c r="A71" s="127"/>
      <c r="B71" s="129"/>
    </row>
    <row r="72" ht="12.75">
      <c r="A72" s="874" t="s">
        <v>1798</v>
      </c>
    </row>
  </sheetData>
  <mergeCells count="6">
    <mergeCell ref="I6:I7"/>
    <mergeCell ref="J6:J7"/>
    <mergeCell ref="K6:L6"/>
    <mergeCell ref="D47:E47"/>
    <mergeCell ref="D37:E37"/>
    <mergeCell ref="E9:F9"/>
  </mergeCells>
  <printOptions/>
  <pageMargins left="1.36" right="0.85" top="1.02" bottom="1" header="0.5" footer="0.5"/>
  <pageSetup fitToHeight="1" fitToWidth="1" horizontalDpi="300" verticalDpi="300" orientation="landscape" scale="60" r:id="rId1"/>
  <headerFooter alignWithMargins="0">
    <oddHeader>&amp;C&amp;A</oddHeader>
    <oddFooter>&amp;CWater Treatment Cost Estimation Program</oddFooter>
  </headerFooter>
</worksheet>
</file>

<file path=xl/worksheets/sheet32.xml><?xml version="1.0" encoding="utf-8"?>
<worksheet xmlns="http://schemas.openxmlformats.org/spreadsheetml/2006/main" xmlns:r="http://schemas.openxmlformats.org/officeDocument/2006/relationships">
  <sheetPr codeName="Sheet24">
    <pageSetUpPr fitToPage="1"/>
  </sheetPr>
  <dimension ref="A1:AL79"/>
  <sheetViews>
    <sheetView workbookViewId="0" topLeftCell="A1">
      <selection activeCell="B14" sqref="B14"/>
    </sheetView>
  </sheetViews>
  <sheetFormatPr defaultColWidth="9.140625" defaultRowHeight="12.75"/>
  <cols>
    <col min="1" max="1" width="30.28125" style="248" customWidth="1"/>
    <col min="2" max="2" width="12.7109375" style="248" customWidth="1"/>
    <col min="3" max="3" width="12.28125" style="248" customWidth="1"/>
    <col min="4" max="4" width="12.421875" style="248" customWidth="1"/>
    <col min="5" max="7" width="8.7109375" style="248" customWidth="1"/>
    <col min="8" max="9" width="10.421875" style="248" bestFit="1" customWidth="1"/>
    <col min="10" max="10" width="4.8515625" style="248" customWidth="1"/>
    <col min="11" max="11" width="21.8515625" style="248" customWidth="1"/>
    <col min="12" max="12" width="10.7109375" style="248" customWidth="1"/>
    <col min="13" max="13" width="6.140625" style="248" customWidth="1"/>
    <col min="14" max="14" width="10.421875" style="248" customWidth="1"/>
    <col min="15" max="15" width="10.7109375" style="248" bestFit="1" customWidth="1"/>
    <col min="16" max="16" width="4.28125" style="248" customWidth="1"/>
    <col min="17" max="17" width="8.421875" style="248" bestFit="1" customWidth="1"/>
    <col min="18" max="18" width="8.7109375" style="248" customWidth="1"/>
    <col min="19" max="16384" width="9.140625" style="248"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ht="12.75"/>
    <row r="4" ht="18">
      <c r="A4" s="506" t="s">
        <v>870</v>
      </c>
    </row>
    <row r="5" ht="18.75" thickBot="1">
      <c r="A5" s="506"/>
    </row>
    <row r="6" spans="1:9" ht="13.5" thickBot="1">
      <c r="A6" s="1642"/>
      <c r="B6" s="249"/>
      <c r="C6" s="249"/>
      <c r="D6" s="249"/>
      <c r="E6" s="249"/>
      <c r="F6" s="249"/>
      <c r="G6" s="249"/>
      <c r="H6" s="2534" t="s">
        <v>1786</v>
      </c>
      <c r="I6" s="2535"/>
    </row>
    <row r="7" spans="1:20" ht="13.5" thickBot="1">
      <c r="A7" s="1643" t="s">
        <v>833</v>
      </c>
      <c r="B7" s="1487"/>
      <c r="C7" s="1062" t="s">
        <v>1682</v>
      </c>
      <c r="D7" s="2492" t="s">
        <v>766</v>
      </c>
      <c r="E7" s="2492"/>
      <c r="F7" s="2552" t="s">
        <v>766</v>
      </c>
      <c r="G7" s="2492"/>
      <c r="H7" s="834" t="s">
        <v>1785</v>
      </c>
      <c r="I7" s="865" t="s">
        <v>177</v>
      </c>
      <c r="J7" s="250"/>
      <c r="K7" s="1317" t="s">
        <v>834</v>
      </c>
      <c r="L7" s="1683"/>
      <c r="M7" s="1671" t="s">
        <v>1682</v>
      </c>
      <c r="N7" s="2565" t="s">
        <v>766</v>
      </c>
      <c r="O7" s="2566"/>
      <c r="Q7" s="270"/>
      <c r="R7" s="1475" t="s">
        <v>1012</v>
      </c>
      <c r="S7" s="1473"/>
      <c r="T7" s="1489">
        <f>U13/Q13</f>
        <v>0.9933248770134743</v>
      </c>
    </row>
    <row r="8" spans="1:18" ht="13.5" thickTop="1">
      <c r="A8" s="1644" t="s">
        <v>937</v>
      </c>
      <c r="B8" s="1628">
        <f>'{b}Capacity'!G18</f>
        <v>99989168.94074883</v>
      </c>
      <c r="C8" s="1629" t="s">
        <v>103</v>
      </c>
      <c r="D8" s="1622"/>
      <c r="E8" s="1611"/>
      <c r="F8" s="1616"/>
      <c r="G8" s="1611"/>
      <c r="I8" s="1663"/>
      <c r="J8" s="250"/>
      <c r="K8" s="1682" t="s">
        <v>1079</v>
      </c>
      <c r="L8" s="1684">
        <f>B11</f>
        <v>4380.312551397388</v>
      </c>
      <c r="M8" s="1672" t="s">
        <v>99</v>
      </c>
      <c r="N8" s="1677">
        <f>L8/3.7854*60</f>
        <v>69429.58553490866</v>
      </c>
      <c r="O8" s="1668" t="s">
        <v>100</v>
      </c>
      <c r="Q8" s="270"/>
      <c r="R8" s="270"/>
    </row>
    <row r="9" spans="1:21" ht="12.75">
      <c r="A9" s="1645" t="s">
        <v>937</v>
      </c>
      <c r="B9" s="1664">
        <f>B8/1000000</f>
        <v>99.98916894074883</v>
      </c>
      <c r="C9" s="1655" t="s">
        <v>1752</v>
      </c>
      <c r="D9" s="1656"/>
      <c r="E9" s="1657"/>
      <c r="F9" s="1658"/>
      <c r="G9" s="1657"/>
      <c r="H9" s="1660">
        <v>0.01</v>
      </c>
      <c r="I9" s="1578"/>
      <c r="J9" s="252"/>
      <c r="K9" s="553" t="s">
        <v>1080</v>
      </c>
      <c r="L9" s="1665">
        <f>B11*L11/100</f>
        <v>4351.073426397388</v>
      </c>
      <c r="M9" s="1673" t="s">
        <v>99</v>
      </c>
      <c r="N9" s="1678">
        <f>L9/3.7854*60</f>
        <v>68966.13451255964</v>
      </c>
      <c r="O9" s="538" t="s">
        <v>100</v>
      </c>
      <c r="Q9" s="270"/>
      <c r="R9" s="270"/>
      <c r="T9" s="2568" t="s">
        <v>860</v>
      </c>
      <c r="U9" s="2569"/>
    </row>
    <row r="10" spans="1:21" ht="12.75">
      <c r="A10" s="1645" t="s">
        <v>937</v>
      </c>
      <c r="B10" s="1659">
        <f>B8/(24*60)</f>
        <v>69436.92287552002</v>
      </c>
      <c r="C10" s="1630" t="s">
        <v>100</v>
      </c>
      <c r="D10" s="1623"/>
      <c r="E10" s="1612"/>
      <c r="F10" s="1617"/>
      <c r="G10" s="1612"/>
      <c r="H10" s="252"/>
      <c r="I10" s="1646"/>
      <c r="J10" s="252"/>
      <c r="K10" s="553" t="s">
        <v>1081</v>
      </c>
      <c r="L10" s="1685">
        <f>D24*D26*(60/B25)</f>
        <v>908.4000000000001</v>
      </c>
      <c r="M10" s="1674" t="s">
        <v>1473</v>
      </c>
      <c r="N10" s="1678">
        <f>L10/(3.7854*60)</f>
        <v>3.999577323400434</v>
      </c>
      <c r="O10" s="538" t="s">
        <v>100</v>
      </c>
      <c r="Q10" s="270"/>
      <c r="R10" s="270"/>
      <c r="T10" s="1490">
        <f>N10</f>
        <v>3.999577323400434</v>
      </c>
      <c r="U10" s="1475" t="s">
        <v>1540</v>
      </c>
    </row>
    <row r="11" spans="1:22" ht="12.75">
      <c r="A11" s="1645" t="s">
        <v>937</v>
      </c>
      <c r="B11" s="1659">
        <f>B8*3.785/(60*60*24)</f>
        <v>4380.312551397388</v>
      </c>
      <c r="C11" s="1631" t="s">
        <v>99</v>
      </c>
      <c r="D11" s="1667">
        <f>B11*(60*60*24)</f>
        <v>378459004.4407343</v>
      </c>
      <c r="E11" s="1624" t="s">
        <v>871</v>
      </c>
      <c r="F11" s="1617"/>
      <c r="G11" s="1612"/>
      <c r="H11" s="252"/>
      <c r="I11" s="1646"/>
      <c r="J11" s="250"/>
      <c r="K11" s="1647" t="s">
        <v>836</v>
      </c>
      <c r="L11" s="1665">
        <f>100-(24*60*60/D25*D26*D17*L15/(D11)*100)</f>
        <v>99.33248770134742</v>
      </c>
      <c r="M11" s="1675" t="s">
        <v>132</v>
      </c>
      <c r="N11" s="1610"/>
      <c r="O11" s="1669"/>
      <c r="Q11" s="270"/>
      <c r="R11" s="270"/>
      <c r="T11" s="265"/>
      <c r="U11" s="2570" t="s">
        <v>864</v>
      </c>
      <c r="V11" s="2570"/>
    </row>
    <row r="12" spans="1:22" ht="14.25">
      <c r="A12" s="1645" t="s">
        <v>937</v>
      </c>
      <c r="B12" s="1666">
        <f>B11/1000*86400</f>
        <v>378459.00444073434</v>
      </c>
      <c r="C12" s="1630" t="s">
        <v>102</v>
      </c>
      <c r="D12" s="1623"/>
      <c r="E12" s="1612"/>
      <c r="F12" s="1617"/>
      <c r="G12" s="1612"/>
      <c r="H12" s="250"/>
      <c r="I12" s="251"/>
      <c r="J12" s="250"/>
      <c r="K12" s="553" t="s">
        <v>838</v>
      </c>
      <c r="L12" s="1686">
        <f>(L8/3.785*60)*(2.31*B22)/(3960*B20/100)</f>
        <v>1518.9326879020002</v>
      </c>
      <c r="M12" s="1674" t="s">
        <v>153</v>
      </c>
      <c r="N12" s="1679"/>
      <c r="O12" s="558"/>
      <c r="Q12" s="1476" t="s">
        <v>863</v>
      </c>
      <c r="R12" s="1474"/>
      <c r="T12" s="265"/>
      <c r="U12" s="2571"/>
      <c r="V12" s="2571"/>
    </row>
    <row r="13" spans="1:22" ht="12.75">
      <c r="A13" s="1647"/>
      <c r="B13" s="1632"/>
      <c r="C13" s="1612"/>
      <c r="D13" s="1623"/>
      <c r="E13" s="1612"/>
      <c r="F13" s="1617"/>
      <c r="G13" s="1612"/>
      <c r="H13" s="250"/>
      <c r="I13" s="251"/>
      <c r="J13" s="250"/>
      <c r="K13" s="553" t="s">
        <v>840</v>
      </c>
      <c r="L13" s="1687">
        <f>L12*365*24*'{b}Capacity'!C9*0.746</f>
        <v>9429856.140225451</v>
      </c>
      <c r="M13" s="1674" t="s">
        <v>841</v>
      </c>
      <c r="N13" s="1680"/>
      <c r="O13" s="559"/>
      <c r="Q13" s="881">
        <f>N8</f>
        <v>69429.58553490866</v>
      </c>
      <c r="R13" s="1475" t="s">
        <v>100</v>
      </c>
      <c r="T13" s="265"/>
      <c r="U13" s="1491">
        <f>N9</f>
        <v>68966.13451255964</v>
      </c>
      <c r="V13" s="1475" t="s">
        <v>100</v>
      </c>
    </row>
    <row r="14" spans="1:20" ht="12.75">
      <c r="A14" s="1647" t="s">
        <v>835</v>
      </c>
      <c r="B14" s="1633">
        <f>'{b}Capacity'!C7*100</f>
        <v>95</v>
      </c>
      <c r="C14" s="1544" t="s">
        <v>132</v>
      </c>
      <c r="D14" s="1610"/>
      <c r="E14" s="1613"/>
      <c r="F14" s="1618"/>
      <c r="G14" s="1613"/>
      <c r="H14" s="250"/>
      <c r="I14" s="251"/>
      <c r="J14" s="250"/>
      <c r="K14" s="553" t="s">
        <v>842</v>
      </c>
      <c r="L14" s="1687">
        <f>L12*(D26*86400*'{b}Capacity'!C8/D25)/3600*365*'{b}Capacity'!C7*0.746</f>
        <v>62865.70760150302</v>
      </c>
      <c r="M14" s="1674" t="s">
        <v>841</v>
      </c>
      <c r="N14" s="1680"/>
      <c r="O14" s="559"/>
      <c r="Q14" s="270"/>
      <c r="R14" s="270"/>
      <c r="T14" s="265"/>
    </row>
    <row r="15" spans="1:20" ht="12.75">
      <c r="A15" s="553" t="s">
        <v>1084</v>
      </c>
      <c r="B15" s="1246">
        <v>211500</v>
      </c>
      <c r="C15" s="1634" t="s">
        <v>837</v>
      </c>
      <c r="D15" s="1625"/>
      <c r="E15" s="1613"/>
      <c r="F15" s="1618"/>
      <c r="G15" s="1613"/>
      <c r="H15" s="268"/>
      <c r="I15" s="269"/>
      <c r="J15" s="265"/>
      <c r="K15" s="553" t="s">
        <v>1003</v>
      </c>
      <c r="L15" s="1627">
        <f>ROUNDUP(B10/B17,0)</f>
        <v>103</v>
      </c>
      <c r="M15" s="1674"/>
      <c r="N15" s="1679"/>
      <c r="O15" s="558"/>
      <c r="Q15" s="270"/>
      <c r="R15" s="270"/>
      <c r="T15" s="265"/>
    </row>
    <row r="16" spans="1:18" ht="12.75">
      <c r="A16" s="553" t="s">
        <v>839</v>
      </c>
      <c r="B16" s="877">
        <v>650</v>
      </c>
      <c r="C16" s="1634"/>
      <c r="D16" s="1610"/>
      <c r="E16" s="1613"/>
      <c r="F16" s="1618"/>
      <c r="G16" s="1613"/>
      <c r="H16" s="265"/>
      <c r="I16" s="266"/>
      <c r="J16" s="268"/>
      <c r="K16" s="553" t="s">
        <v>1082</v>
      </c>
      <c r="L16" s="1627">
        <f>L15*B19</f>
        <v>9270</v>
      </c>
      <c r="M16" s="1674"/>
      <c r="N16" s="1679"/>
      <c r="O16" s="558"/>
      <c r="Q16" s="270"/>
      <c r="R16" s="270"/>
    </row>
    <row r="17" spans="1:20" ht="13.5" thickBot="1">
      <c r="A17" s="553" t="s">
        <v>1076</v>
      </c>
      <c r="B17" s="878">
        <f>B19*B18</f>
        <v>675</v>
      </c>
      <c r="C17" s="1634" t="s">
        <v>100</v>
      </c>
      <c r="D17" s="1665">
        <f>B17*3.785/60</f>
        <v>42.58125</v>
      </c>
      <c r="E17" s="1614" t="s">
        <v>99</v>
      </c>
      <c r="F17" s="1662">
        <f>B17*60*24/1000000</f>
        <v>0.972</v>
      </c>
      <c r="G17" s="1614" t="s">
        <v>1752</v>
      </c>
      <c r="H17" s="265"/>
      <c r="I17" s="266"/>
      <c r="J17" s="265"/>
      <c r="K17" s="1648" t="s">
        <v>149</v>
      </c>
      <c r="L17" s="1650">
        <f>N17*10.764</f>
        <v>49994.64042887286</v>
      </c>
      <c r="M17" s="1676" t="s">
        <v>817</v>
      </c>
      <c r="N17" s="1681">
        <f>B12*1.227244/100</f>
        <v>4644.615424458646</v>
      </c>
      <c r="O17" s="1670" t="s">
        <v>939</v>
      </c>
      <c r="Q17" s="270"/>
      <c r="R17" s="270"/>
      <c r="S17" s="2567" t="s">
        <v>868</v>
      </c>
      <c r="T17" s="2567"/>
    </row>
    <row r="18" spans="1:20" ht="12.75">
      <c r="A18" s="553" t="s">
        <v>877</v>
      </c>
      <c r="B18" s="1661">
        <v>7.5</v>
      </c>
      <c r="C18" s="1634" t="s">
        <v>100</v>
      </c>
      <c r="D18" s="1610"/>
      <c r="E18" s="1614"/>
      <c r="F18" s="1619"/>
      <c r="G18" s="1614"/>
      <c r="H18" s="265"/>
      <c r="I18" s="266"/>
      <c r="J18" s="265"/>
      <c r="K18" s="270"/>
      <c r="Q18" s="270"/>
      <c r="R18" s="270"/>
      <c r="S18" s="265"/>
      <c r="T18" s="270"/>
    </row>
    <row r="19" spans="1:20" ht="12.75">
      <c r="A19" s="553" t="s">
        <v>1077</v>
      </c>
      <c r="B19" s="117">
        <v>90</v>
      </c>
      <c r="C19" s="1635"/>
      <c r="D19" s="1626"/>
      <c r="E19" s="1615"/>
      <c r="F19" s="1620"/>
      <c r="G19" s="1615"/>
      <c r="H19" s="4"/>
      <c r="I19" s="110"/>
      <c r="J19" s="265"/>
      <c r="K19" s="270"/>
      <c r="Q19" s="270"/>
      <c r="R19" s="270"/>
      <c r="S19" s="265"/>
      <c r="T19" s="270"/>
    </row>
    <row r="20" spans="1:13" ht="12.75">
      <c r="A20" s="553" t="s">
        <v>843</v>
      </c>
      <c r="B20" s="117">
        <v>80</v>
      </c>
      <c r="C20" s="1634" t="s">
        <v>132</v>
      </c>
      <c r="D20" s="1610"/>
      <c r="E20" s="1613"/>
      <c r="F20" s="1618"/>
      <c r="G20" s="1613"/>
      <c r="H20" s="4"/>
      <c r="I20" s="110"/>
      <c r="J20" s="4"/>
      <c r="K20" s="325"/>
      <c r="L20" s="324"/>
      <c r="M20" s="324"/>
    </row>
    <row r="21" spans="1:13" ht="12.75">
      <c r="A21" s="553" t="s">
        <v>854</v>
      </c>
      <c r="B21" s="117">
        <v>93</v>
      </c>
      <c r="C21" s="1634" t="s">
        <v>132</v>
      </c>
      <c r="D21" s="1610"/>
      <c r="E21" s="1613"/>
      <c r="F21" s="1618"/>
      <c r="G21" s="1613"/>
      <c r="H21" s="4"/>
      <c r="I21" s="110"/>
      <c r="J21" s="4"/>
      <c r="K21" s="291"/>
      <c r="L21" s="331"/>
      <c r="M21" s="323"/>
    </row>
    <row r="22" spans="1:11" ht="12.75">
      <c r="A22" s="553" t="s">
        <v>855</v>
      </c>
      <c r="B22" s="879">
        <v>30</v>
      </c>
      <c r="C22" s="1634" t="s">
        <v>148</v>
      </c>
      <c r="D22" s="1627">
        <f>B22*6.891</f>
        <v>206.73</v>
      </c>
      <c r="E22" s="1544" t="s">
        <v>163</v>
      </c>
      <c r="F22" s="565"/>
      <c r="G22" s="1544"/>
      <c r="H22" s="4"/>
      <c r="I22" s="110"/>
      <c r="J22" s="4"/>
      <c r="K22" s="270"/>
    </row>
    <row r="23" spans="1:12" ht="12.75">
      <c r="A23" s="553" t="s">
        <v>856</v>
      </c>
      <c r="B23" s="879">
        <v>29</v>
      </c>
      <c r="C23" s="1634" t="s">
        <v>148</v>
      </c>
      <c r="D23" s="1627">
        <f>B23*6.891</f>
        <v>199.839</v>
      </c>
      <c r="E23" s="1544" t="s">
        <v>163</v>
      </c>
      <c r="F23" s="565"/>
      <c r="G23" s="1544"/>
      <c r="H23" s="4"/>
      <c r="I23" s="110"/>
      <c r="J23" s="4"/>
      <c r="K23" s="270"/>
      <c r="L23" s="248">
        <f>86400*(D26*D17*(B10/B17))/(D25*B11)</f>
        <v>575.9999999999999</v>
      </c>
    </row>
    <row r="24" spans="1:11" ht="12.75">
      <c r="A24" s="553" t="s">
        <v>1472</v>
      </c>
      <c r="B24" s="879">
        <v>600</v>
      </c>
      <c r="C24" s="1634" t="s">
        <v>100</v>
      </c>
      <c r="D24" s="1665">
        <f>B24*3.785/60</f>
        <v>37.85</v>
      </c>
      <c r="E24" s="1614" t="s">
        <v>99</v>
      </c>
      <c r="F24" s="1619"/>
      <c r="G24" s="1614"/>
      <c r="H24" s="4"/>
      <c r="I24" s="110"/>
      <c r="J24" s="4"/>
      <c r="K24" s="270"/>
    </row>
    <row r="25" spans="1:12" ht="12.75">
      <c r="A25" s="553" t="s">
        <v>857</v>
      </c>
      <c r="B25" s="879">
        <v>15</v>
      </c>
      <c r="C25" s="1634" t="s">
        <v>858</v>
      </c>
      <c r="D25" s="1627">
        <f>B25*60</f>
        <v>900</v>
      </c>
      <c r="E25" s="1544" t="s">
        <v>938</v>
      </c>
      <c r="F25" s="1621">
        <f>B25/(60*24)</f>
        <v>0.010416666666666666</v>
      </c>
      <c r="G25" s="1544" t="s">
        <v>576</v>
      </c>
      <c r="H25" s="4"/>
      <c r="I25" s="110"/>
      <c r="J25" s="4"/>
      <c r="K25" s="270"/>
      <c r="L25" s="270"/>
    </row>
    <row r="26" spans="1:10" ht="13.5" thickBot="1">
      <c r="A26" s="1648" t="s">
        <v>859</v>
      </c>
      <c r="B26" s="880">
        <v>0.1</v>
      </c>
      <c r="C26" s="1649" t="s">
        <v>858</v>
      </c>
      <c r="D26" s="1650">
        <f>B26*60</f>
        <v>6</v>
      </c>
      <c r="E26" s="1651" t="s">
        <v>938</v>
      </c>
      <c r="F26" s="1652">
        <f>B26/(60*24)</f>
        <v>6.944444444444444E-05</v>
      </c>
      <c r="G26" s="1651" t="s">
        <v>576</v>
      </c>
      <c r="H26" s="1653"/>
      <c r="I26" s="1654"/>
      <c r="J26" s="4"/>
    </row>
    <row r="27" spans="1:10" ht="12.75">
      <c r="A27" s="114"/>
      <c r="B27" s="143"/>
      <c r="C27" s="114"/>
      <c r="D27" s="112"/>
      <c r="E27" s="114"/>
      <c r="F27" s="114"/>
      <c r="G27" s="114"/>
      <c r="H27" s="265"/>
      <c r="I27" s="265"/>
      <c r="J27" s="265"/>
    </row>
    <row r="28" spans="1:10" ht="13.5" thickBot="1">
      <c r="A28" s="270"/>
      <c r="B28" s="270"/>
      <c r="C28" s="270"/>
      <c r="D28" s="4"/>
      <c r="E28" s="4"/>
      <c r="F28" s="4"/>
      <c r="G28" s="4"/>
      <c r="H28" s="265"/>
      <c r="I28" s="265"/>
      <c r="J28" s="265"/>
    </row>
    <row r="29" spans="1:10" ht="12.75">
      <c r="A29" s="106" t="s">
        <v>93</v>
      </c>
      <c r="B29" s="107"/>
      <c r="C29" s="1488"/>
      <c r="D29" s="265"/>
      <c r="E29" s="265"/>
      <c r="F29" s="265"/>
      <c r="G29" s="265"/>
      <c r="H29" s="265"/>
      <c r="I29" s="265"/>
      <c r="J29" s="265"/>
    </row>
    <row r="30" spans="1:10" ht="12.75">
      <c r="A30" s="109"/>
      <c r="B30" s="4"/>
      <c r="C30" s="110"/>
      <c r="D30" s="265"/>
      <c r="E30" s="265"/>
      <c r="F30" s="265"/>
      <c r="G30" s="265"/>
      <c r="H30" s="265"/>
      <c r="I30" s="265"/>
      <c r="J30" s="265"/>
    </row>
    <row r="31" spans="1:10" ht="12.75">
      <c r="A31" s="613" t="s">
        <v>104</v>
      </c>
      <c r="B31" s="618">
        <f>Power</f>
        <v>0.07</v>
      </c>
      <c r="C31" s="614" t="s">
        <v>105</v>
      </c>
      <c r="D31" s="265"/>
      <c r="E31" s="265"/>
      <c r="F31" s="265"/>
      <c r="G31" s="265"/>
      <c r="H31" s="265"/>
      <c r="I31" s="265"/>
      <c r="J31" s="265"/>
    </row>
    <row r="32" spans="1:10" ht="12.75">
      <c r="A32" s="553" t="s">
        <v>1078</v>
      </c>
      <c r="B32" s="118">
        <v>0.43</v>
      </c>
      <c r="C32" s="1636" t="s">
        <v>115</v>
      </c>
      <c r="D32" s="265"/>
      <c r="E32" s="265"/>
      <c r="F32" s="265"/>
      <c r="G32" s="265"/>
      <c r="H32" s="265"/>
      <c r="I32" s="265"/>
      <c r="J32" s="265"/>
    </row>
    <row r="33" spans="1:10" ht="12.75">
      <c r="A33" s="553" t="s">
        <v>861</v>
      </c>
      <c r="B33" s="116">
        <v>200</v>
      </c>
      <c r="C33" s="1636" t="s">
        <v>1692</v>
      </c>
      <c r="D33" s="265"/>
      <c r="E33" s="265"/>
      <c r="F33" s="265"/>
      <c r="G33" s="265"/>
      <c r="H33" s="265"/>
      <c r="I33" s="265"/>
      <c r="J33" s="265"/>
    </row>
    <row r="34" spans="1:10" ht="12.75">
      <c r="A34" s="553" t="s">
        <v>936</v>
      </c>
      <c r="B34" s="116">
        <v>1.168</v>
      </c>
      <c r="C34" s="1636"/>
      <c r="D34" s="265"/>
      <c r="E34" s="265"/>
      <c r="F34" s="265"/>
      <c r="G34" s="265"/>
      <c r="H34" s="265"/>
      <c r="I34" s="265"/>
      <c r="J34" s="265"/>
    </row>
    <row r="35" spans="1:10" ht="12.75">
      <c r="A35" s="553" t="s">
        <v>865</v>
      </c>
      <c r="B35" s="116">
        <v>12</v>
      </c>
      <c r="C35" s="1636" t="s">
        <v>132</v>
      </c>
      <c r="D35" s="265"/>
      <c r="E35" s="265"/>
      <c r="F35" s="265"/>
      <c r="G35" s="265"/>
      <c r="H35" s="268"/>
      <c r="I35" s="268"/>
      <c r="J35" s="265"/>
    </row>
    <row r="36" spans="1:10" ht="12.75">
      <c r="A36" s="552" t="s">
        <v>125</v>
      </c>
      <c r="B36" s="116">
        <v>10</v>
      </c>
      <c r="C36" s="616" t="s">
        <v>126</v>
      </c>
      <c r="D36" s="265"/>
      <c r="E36" s="265"/>
      <c r="F36" s="265"/>
      <c r="G36" s="265"/>
      <c r="H36" s="268"/>
      <c r="I36" s="268"/>
      <c r="J36" s="268"/>
    </row>
    <row r="37" spans="1:10" ht="12.75">
      <c r="A37" s="552" t="s">
        <v>141</v>
      </c>
      <c r="B37" s="116">
        <v>3</v>
      </c>
      <c r="C37" s="616"/>
      <c r="D37" s="267"/>
      <c r="E37" s="268"/>
      <c r="F37" s="268"/>
      <c r="G37" s="268"/>
      <c r="H37" s="268"/>
      <c r="I37" s="268"/>
      <c r="J37" s="268"/>
    </row>
    <row r="38" spans="1:38" ht="12.75">
      <c r="A38" s="539" t="s">
        <v>866</v>
      </c>
      <c r="B38" s="567">
        <f>ENR_Labor</f>
        <v>29.05</v>
      </c>
      <c r="C38" s="559" t="s">
        <v>146</v>
      </c>
      <c r="D38" s="267"/>
      <c r="E38" s="268"/>
      <c r="F38" s="268"/>
      <c r="G38" s="268"/>
      <c r="H38" s="268"/>
      <c r="I38" s="268"/>
      <c r="J38" s="268"/>
      <c r="K38" s="4"/>
      <c r="L38" s="120"/>
      <c r="M38" s="265"/>
      <c r="N38" s="27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row>
    <row r="39" spans="1:38" ht="12.75">
      <c r="A39" s="539" t="s">
        <v>867</v>
      </c>
      <c r="B39" s="536">
        <f>Years</f>
        <v>30</v>
      </c>
      <c r="C39" s="559" t="s">
        <v>126</v>
      </c>
      <c r="D39" s="267"/>
      <c r="E39" s="268"/>
      <c r="F39" s="268"/>
      <c r="G39" s="268"/>
      <c r="H39" s="4"/>
      <c r="I39" s="4"/>
      <c r="J39" s="268"/>
      <c r="K39" s="4"/>
      <c r="L39" s="4"/>
      <c r="M39" s="265"/>
      <c r="N39" s="265"/>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row>
    <row r="40" spans="1:15" ht="13.5" thickBot="1">
      <c r="A40" s="561" t="s">
        <v>1762</v>
      </c>
      <c r="B40" s="563">
        <f>Interest</f>
        <v>6</v>
      </c>
      <c r="C40" s="551" t="s">
        <v>132</v>
      </c>
      <c r="D40" s="267"/>
      <c r="E40" s="268"/>
      <c r="F40" s="268"/>
      <c r="G40" s="268"/>
      <c r="H40" s="270"/>
      <c r="I40" s="270"/>
      <c r="J40" s="4"/>
      <c r="K40" s="4"/>
      <c r="L40" s="4"/>
      <c r="M40" s="265"/>
      <c r="N40" s="265"/>
      <c r="O40" s="250"/>
    </row>
    <row r="41" spans="1:14" ht="12.75">
      <c r="A41" s="114"/>
      <c r="B41" s="265"/>
      <c r="C41" s="114"/>
      <c r="D41" s="4"/>
      <c r="E41" s="4"/>
      <c r="F41" s="4"/>
      <c r="G41" s="4"/>
      <c r="H41" s="270"/>
      <c r="I41" s="270"/>
      <c r="J41" s="270"/>
      <c r="K41" s="4"/>
      <c r="L41" s="4"/>
      <c r="M41" s="265"/>
      <c r="N41" s="270"/>
    </row>
    <row r="42" spans="1:14" ht="12.75">
      <c r="A42" s="270"/>
      <c r="C42" s="270"/>
      <c r="D42" s="270"/>
      <c r="E42" s="270"/>
      <c r="F42" s="270"/>
      <c r="G42" s="270"/>
      <c r="H42" s="270"/>
      <c r="I42" s="270"/>
      <c r="J42" s="270"/>
      <c r="K42" s="4"/>
      <c r="L42" s="4"/>
      <c r="M42" s="265"/>
      <c r="N42" s="270"/>
    </row>
    <row r="43" spans="1:14" ht="12.75">
      <c r="A43" s="270"/>
      <c r="C43" s="270"/>
      <c r="D43" s="270"/>
      <c r="E43" s="270"/>
      <c r="F43" s="270"/>
      <c r="G43" s="270"/>
      <c r="H43" s="270"/>
      <c r="I43" s="270"/>
      <c r="J43" s="270"/>
      <c r="K43" s="4"/>
      <c r="L43" s="4"/>
      <c r="M43" s="270"/>
      <c r="N43" s="270"/>
    </row>
    <row r="44" spans="1:14" ht="12.75">
      <c r="A44" s="270"/>
      <c r="C44" s="270"/>
      <c r="D44" s="270"/>
      <c r="E44" s="270"/>
      <c r="F44" s="270"/>
      <c r="G44" s="270"/>
      <c r="H44" s="270"/>
      <c r="I44" s="270"/>
      <c r="J44" s="270"/>
      <c r="K44" s="4"/>
      <c r="L44" s="4"/>
      <c r="M44" s="270"/>
      <c r="N44" s="270"/>
    </row>
    <row r="45" spans="1:14" ht="12.75">
      <c r="A45" s="270"/>
      <c r="C45" s="270"/>
      <c r="D45" s="270"/>
      <c r="E45" s="270"/>
      <c r="F45" s="270"/>
      <c r="G45" s="270"/>
      <c r="H45" s="270"/>
      <c r="I45" s="270"/>
      <c r="J45" s="270"/>
      <c r="K45" s="4"/>
      <c r="L45" s="4"/>
      <c r="M45" s="270"/>
      <c r="N45" s="270"/>
    </row>
    <row r="46" spans="1:14" ht="12.75">
      <c r="A46" s="270"/>
      <c r="C46" s="270"/>
      <c r="D46" s="270"/>
      <c r="E46" s="270"/>
      <c r="F46" s="270"/>
      <c r="G46" s="270"/>
      <c r="H46" s="270"/>
      <c r="I46" s="270"/>
      <c r="J46" s="270"/>
      <c r="K46" s="4"/>
      <c r="L46" s="4"/>
      <c r="M46" s="270"/>
      <c r="N46" s="270"/>
    </row>
    <row r="47" spans="1:14" ht="12.75">
      <c r="A47" s="270"/>
      <c r="C47" s="270"/>
      <c r="D47" s="270"/>
      <c r="E47" s="270"/>
      <c r="F47" s="270"/>
      <c r="G47" s="270"/>
      <c r="H47" s="270"/>
      <c r="I47" s="270"/>
      <c r="J47" s="270"/>
      <c r="K47" s="4"/>
      <c r="L47" s="4"/>
      <c r="M47" s="270"/>
      <c r="N47" s="270"/>
    </row>
    <row r="48" spans="1:14" ht="12.75">
      <c r="A48" s="270"/>
      <c r="C48" s="270"/>
      <c r="D48" s="270"/>
      <c r="E48" s="270"/>
      <c r="F48" s="270"/>
      <c r="G48" s="270"/>
      <c r="H48" s="270"/>
      <c r="I48" s="270"/>
      <c r="J48" s="270"/>
      <c r="K48" s="4"/>
      <c r="L48" s="4"/>
      <c r="M48" s="270"/>
      <c r="N48" s="270"/>
    </row>
    <row r="49" spans="1:14" ht="12.75">
      <c r="A49" s="270"/>
      <c r="C49" s="270"/>
      <c r="D49" s="270"/>
      <c r="E49" s="270"/>
      <c r="F49" s="270"/>
      <c r="G49" s="270"/>
      <c r="H49" s="114"/>
      <c r="I49" s="114"/>
      <c r="J49" s="270"/>
      <c r="K49" s="4"/>
      <c r="L49" s="4"/>
      <c r="M49" s="270"/>
      <c r="N49" s="270"/>
    </row>
    <row r="50" spans="1:14" ht="12.75">
      <c r="A50" s="270"/>
      <c r="B50" s="270"/>
      <c r="C50" s="270"/>
      <c r="D50" s="270"/>
      <c r="E50" s="270"/>
      <c r="F50" s="270"/>
      <c r="G50" s="270"/>
      <c r="H50" s="4"/>
      <c r="I50" s="4"/>
      <c r="J50" s="114"/>
      <c r="K50" s="4"/>
      <c r="L50" s="4"/>
      <c r="M50" s="270"/>
      <c r="N50" s="270"/>
    </row>
    <row r="51" spans="1:14" ht="12.75">
      <c r="A51" s="271"/>
      <c r="B51" s="4"/>
      <c r="C51" s="114"/>
      <c r="D51" s="4"/>
      <c r="E51" s="114"/>
      <c r="F51" s="114"/>
      <c r="G51" s="114"/>
      <c r="H51" s="4"/>
      <c r="I51" s="4"/>
      <c r="J51" s="4"/>
      <c r="K51" s="4"/>
      <c r="L51" s="4"/>
      <c r="M51" s="270"/>
      <c r="N51" s="270"/>
    </row>
    <row r="52" spans="1:14" ht="12.75">
      <c r="A52" s="114"/>
      <c r="B52" s="4"/>
      <c r="C52" s="114"/>
      <c r="D52" s="4"/>
      <c r="E52" s="4"/>
      <c r="F52" s="4"/>
      <c r="G52" s="4"/>
      <c r="H52" s="4"/>
      <c r="I52" s="4"/>
      <c r="J52" s="4"/>
      <c r="K52" s="4"/>
      <c r="L52" s="4"/>
      <c r="M52" s="270"/>
      <c r="N52" s="270"/>
    </row>
    <row r="53" spans="1:14" ht="12.75">
      <c r="A53" s="114"/>
      <c r="B53" s="4"/>
      <c r="C53" s="114"/>
      <c r="D53" s="4"/>
      <c r="E53" s="4"/>
      <c r="F53" s="4"/>
      <c r="G53" s="4"/>
      <c r="H53" s="4"/>
      <c r="I53" s="4"/>
      <c r="J53" s="4"/>
      <c r="K53" s="4"/>
      <c r="L53" s="4"/>
      <c r="M53" s="270"/>
      <c r="N53" s="270"/>
    </row>
    <row r="54" spans="1:14" ht="12.75">
      <c r="A54" s="114"/>
      <c r="B54" s="4"/>
      <c r="C54" s="114"/>
      <c r="D54" s="4"/>
      <c r="E54" s="4"/>
      <c r="F54" s="4"/>
      <c r="G54" s="4"/>
      <c r="H54" s="4"/>
      <c r="I54" s="4"/>
      <c r="J54" s="4"/>
      <c r="K54" s="4"/>
      <c r="L54" s="4"/>
      <c r="M54" s="270"/>
      <c r="N54" s="270"/>
    </row>
    <row r="55" spans="1:14" ht="14.25">
      <c r="A55" s="114"/>
      <c r="B55" s="4"/>
      <c r="C55" s="119"/>
      <c r="D55" s="4"/>
      <c r="E55" s="4"/>
      <c r="F55" s="4"/>
      <c r="G55" s="4"/>
      <c r="H55" s="4"/>
      <c r="I55" s="4"/>
      <c r="J55" s="4"/>
      <c r="K55" s="4"/>
      <c r="L55" s="4"/>
      <c r="M55" s="270"/>
      <c r="N55" s="270"/>
    </row>
    <row r="56" spans="1:14" ht="12.75">
      <c r="A56" s="114"/>
      <c r="B56" s="4"/>
      <c r="C56" s="4"/>
      <c r="D56" s="4"/>
      <c r="E56" s="4"/>
      <c r="F56" s="4"/>
      <c r="G56" s="4"/>
      <c r="H56" s="4"/>
      <c r="I56" s="4"/>
      <c r="J56" s="4"/>
      <c r="K56" s="4"/>
      <c r="L56" s="4"/>
      <c r="M56" s="270"/>
      <c r="N56" s="270"/>
    </row>
    <row r="57" spans="1:14" ht="12.75">
      <c r="A57" s="114"/>
      <c r="B57" s="4"/>
      <c r="C57" s="114"/>
      <c r="D57" s="4"/>
      <c r="E57" s="4"/>
      <c r="F57" s="4"/>
      <c r="G57" s="4"/>
      <c r="H57" s="4"/>
      <c r="I57" s="4"/>
      <c r="J57" s="4"/>
      <c r="K57" s="4"/>
      <c r="L57" s="4"/>
      <c r="M57" s="270"/>
      <c r="N57" s="270"/>
    </row>
    <row r="58" spans="1:14" ht="12.75">
      <c r="A58" s="114"/>
      <c r="B58" s="113"/>
      <c r="C58" s="114"/>
      <c r="D58" s="4"/>
      <c r="E58" s="4"/>
      <c r="F58" s="4"/>
      <c r="G58" s="4"/>
      <c r="H58" s="4"/>
      <c r="I58" s="4"/>
      <c r="J58" s="4"/>
      <c r="K58" s="4"/>
      <c r="L58" s="4"/>
      <c r="M58" s="270"/>
      <c r="N58" s="270"/>
    </row>
    <row r="59" spans="1:14" ht="12.75">
      <c r="A59" s="114"/>
      <c r="B59" s="4"/>
      <c r="C59" s="114"/>
      <c r="D59" s="4"/>
      <c r="E59" s="4"/>
      <c r="F59" s="4"/>
      <c r="G59" s="4"/>
      <c r="H59" s="4"/>
      <c r="I59" s="4"/>
      <c r="J59" s="4"/>
      <c r="K59" s="4"/>
      <c r="L59" s="4"/>
      <c r="M59" s="270"/>
      <c r="N59" s="270"/>
    </row>
    <row r="60" spans="1:14" ht="12.75">
      <c r="A60" s="114"/>
      <c r="B60" s="4"/>
      <c r="C60" s="114"/>
      <c r="D60" s="4"/>
      <c r="E60" s="4"/>
      <c r="F60" s="4"/>
      <c r="G60" s="4"/>
      <c r="H60" s="4"/>
      <c r="I60" s="4"/>
      <c r="J60" s="4"/>
      <c r="K60" s="4"/>
      <c r="L60" s="4"/>
      <c r="M60" s="270"/>
      <c r="N60" s="270"/>
    </row>
    <row r="61" spans="1:14" ht="12.75">
      <c r="A61" s="4"/>
      <c r="B61" s="4"/>
      <c r="C61" s="4"/>
      <c r="D61" s="4"/>
      <c r="E61" s="4"/>
      <c r="F61" s="4"/>
      <c r="G61" s="4"/>
      <c r="H61" s="114"/>
      <c r="I61" s="114"/>
      <c r="J61" s="4"/>
      <c r="K61" s="4"/>
      <c r="L61" s="4"/>
      <c r="M61" s="270"/>
      <c r="N61" s="270"/>
    </row>
    <row r="62" spans="1:14" ht="12.75">
      <c r="A62" s="114"/>
      <c r="B62" s="4"/>
      <c r="C62" s="114"/>
      <c r="D62" s="4"/>
      <c r="E62" s="4"/>
      <c r="F62" s="4"/>
      <c r="G62" s="4"/>
      <c r="H62" s="114"/>
      <c r="I62" s="114"/>
      <c r="J62" s="114"/>
      <c r="K62" s="265"/>
      <c r="L62" s="265"/>
      <c r="M62" s="270"/>
      <c r="N62" s="270"/>
    </row>
    <row r="63" spans="1:14" ht="12.75">
      <c r="A63" s="114"/>
      <c r="B63" s="4"/>
      <c r="C63" s="114"/>
      <c r="D63" s="4"/>
      <c r="E63" s="114"/>
      <c r="F63" s="114"/>
      <c r="G63" s="114"/>
      <c r="H63" s="4"/>
      <c r="I63" s="4"/>
      <c r="J63" s="114"/>
      <c r="K63" s="265"/>
      <c r="L63" s="265"/>
      <c r="M63" s="270"/>
      <c r="N63" s="270"/>
    </row>
    <row r="64" spans="1:14" ht="12.75">
      <c r="A64" s="114"/>
      <c r="B64" s="4"/>
      <c r="C64" s="114"/>
      <c r="D64" s="4"/>
      <c r="E64" s="114"/>
      <c r="F64" s="114"/>
      <c r="G64" s="114"/>
      <c r="H64" s="4"/>
      <c r="I64" s="4"/>
      <c r="J64" s="4"/>
      <c r="K64" s="265"/>
      <c r="L64" s="265"/>
      <c r="M64" s="270"/>
      <c r="N64" s="270"/>
    </row>
    <row r="65" spans="1:14" ht="12.75">
      <c r="A65" s="4"/>
      <c r="B65" s="4"/>
      <c r="C65" s="4"/>
      <c r="D65" s="4"/>
      <c r="E65" s="4"/>
      <c r="F65" s="4"/>
      <c r="G65" s="4"/>
      <c r="H65" s="4"/>
      <c r="I65" s="4"/>
      <c r="J65" s="4"/>
      <c r="K65" s="265"/>
      <c r="L65" s="265"/>
      <c r="M65" s="270"/>
      <c r="N65" s="270"/>
    </row>
    <row r="66" spans="1:14" ht="12.75">
      <c r="A66" s="4"/>
      <c r="B66" s="4"/>
      <c r="C66" s="4"/>
      <c r="D66" s="4"/>
      <c r="E66" s="4"/>
      <c r="F66" s="4"/>
      <c r="G66" s="4"/>
      <c r="H66" s="4"/>
      <c r="I66" s="4"/>
      <c r="J66" s="4"/>
      <c r="K66" s="265"/>
      <c r="L66" s="265"/>
      <c r="M66" s="270"/>
      <c r="N66" s="270"/>
    </row>
    <row r="67" spans="1:14" ht="12.75">
      <c r="A67" s="114"/>
      <c r="B67" s="4"/>
      <c r="C67" s="4"/>
      <c r="D67" s="4"/>
      <c r="E67" s="4"/>
      <c r="F67" s="4"/>
      <c r="G67" s="4"/>
      <c r="H67" s="4"/>
      <c r="I67" s="4"/>
      <c r="J67" s="4"/>
      <c r="K67" s="265"/>
      <c r="L67" s="265"/>
      <c r="M67" s="270"/>
      <c r="N67" s="270"/>
    </row>
    <row r="68" spans="1:14" ht="12.75">
      <c r="A68" s="114"/>
      <c r="B68" s="4"/>
      <c r="C68" s="4"/>
      <c r="D68" s="4"/>
      <c r="E68" s="4"/>
      <c r="F68" s="4"/>
      <c r="G68" s="4"/>
      <c r="H68" s="4"/>
      <c r="I68" s="4"/>
      <c r="J68" s="4"/>
      <c r="K68" s="265"/>
      <c r="L68" s="265"/>
      <c r="M68" s="270"/>
      <c r="N68" s="270"/>
    </row>
    <row r="69" spans="1:14" ht="12.75">
      <c r="A69" s="114"/>
      <c r="B69" s="4"/>
      <c r="C69" s="4"/>
      <c r="D69" s="4"/>
      <c r="E69" s="4"/>
      <c r="F69" s="4"/>
      <c r="G69" s="4"/>
      <c r="H69" s="265"/>
      <c r="I69" s="265"/>
      <c r="J69" s="4"/>
      <c r="K69" s="265"/>
      <c r="L69" s="265"/>
      <c r="M69" s="270"/>
      <c r="N69" s="270"/>
    </row>
    <row r="70" spans="1:14" ht="12.75">
      <c r="A70" s="265"/>
      <c r="B70" s="265"/>
      <c r="C70" s="265"/>
      <c r="D70" s="4"/>
      <c r="E70" s="4"/>
      <c r="F70" s="4"/>
      <c r="G70" s="4"/>
      <c r="H70" s="265"/>
      <c r="I70" s="265"/>
      <c r="J70" s="265"/>
      <c r="K70" s="265"/>
      <c r="L70" s="265"/>
      <c r="M70" s="270"/>
      <c r="N70" s="270"/>
    </row>
    <row r="71" spans="1:14" ht="12.75">
      <c r="A71" s="265"/>
      <c r="B71" s="265"/>
      <c r="C71" s="265"/>
      <c r="D71" s="265"/>
      <c r="E71" s="265"/>
      <c r="F71" s="265"/>
      <c r="G71" s="265"/>
      <c r="H71" s="265"/>
      <c r="I71" s="265"/>
      <c r="J71" s="265"/>
      <c r="K71" s="265"/>
      <c r="L71" s="265"/>
      <c r="M71" s="270"/>
      <c r="N71" s="270"/>
    </row>
    <row r="72" spans="1:14" ht="12.75">
      <c r="A72" s="265"/>
      <c r="B72" s="265"/>
      <c r="C72" s="265"/>
      <c r="D72" s="265"/>
      <c r="E72" s="265"/>
      <c r="F72" s="265"/>
      <c r="G72" s="265"/>
      <c r="H72" s="265"/>
      <c r="I72" s="265"/>
      <c r="J72" s="265"/>
      <c r="K72" s="265"/>
      <c r="L72" s="265"/>
      <c r="M72" s="270"/>
      <c r="N72" s="270"/>
    </row>
    <row r="73" spans="1:14" ht="12.75">
      <c r="A73" s="265"/>
      <c r="B73" s="265"/>
      <c r="C73" s="265"/>
      <c r="D73" s="265"/>
      <c r="E73" s="265"/>
      <c r="F73" s="265"/>
      <c r="G73" s="265"/>
      <c r="H73" s="265"/>
      <c r="I73" s="265"/>
      <c r="J73" s="265"/>
      <c r="K73" s="265"/>
      <c r="L73" s="265"/>
      <c r="M73" s="270"/>
      <c r="N73" s="270"/>
    </row>
    <row r="74" spans="1:14" ht="12.75">
      <c r="A74" s="265"/>
      <c r="B74" s="265"/>
      <c r="C74" s="265"/>
      <c r="D74" s="265"/>
      <c r="E74" s="265"/>
      <c r="F74" s="265"/>
      <c r="G74" s="265"/>
      <c r="H74" s="265"/>
      <c r="I74" s="265"/>
      <c r="J74" s="265"/>
      <c r="K74" s="265"/>
      <c r="L74" s="265"/>
      <c r="M74" s="270"/>
      <c r="N74" s="270"/>
    </row>
    <row r="75" spans="1:14" ht="12.75">
      <c r="A75" s="265"/>
      <c r="B75" s="265"/>
      <c r="C75" s="265"/>
      <c r="D75" s="265"/>
      <c r="E75" s="265"/>
      <c r="F75" s="265"/>
      <c r="G75" s="265"/>
      <c r="H75" s="250"/>
      <c r="I75" s="250"/>
      <c r="J75" s="265"/>
      <c r="K75" s="265"/>
      <c r="L75" s="265"/>
      <c r="M75" s="270"/>
      <c r="N75" s="270"/>
    </row>
    <row r="76" spans="1:12" ht="12.75">
      <c r="A76" s="265"/>
      <c r="B76" s="265"/>
      <c r="C76" s="265"/>
      <c r="D76" s="265"/>
      <c r="E76" s="265"/>
      <c r="F76" s="265"/>
      <c r="G76" s="265"/>
      <c r="H76" s="250"/>
      <c r="I76" s="250"/>
      <c r="J76" s="250"/>
      <c r="K76" s="250"/>
      <c r="L76" s="250"/>
    </row>
    <row r="77" spans="1:12" ht="12.75">
      <c r="A77" s="265"/>
      <c r="B77" s="265"/>
      <c r="C77" s="265"/>
      <c r="D77" s="265"/>
      <c r="E77" s="265"/>
      <c r="F77" s="265"/>
      <c r="G77" s="265"/>
      <c r="H77" s="250"/>
      <c r="I77" s="250"/>
      <c r="J77" s="250"/>
      <c r="K77" s="250"/>
      <c r="L77" s="250"/>
    </row>
    <row r="78" spans="4:12" ht="12.75">
      <c r="D78" s="250"/>
      <c r="E78" s="250"/>
      <c r="F78" s="250"/>
      <c r="G78" s="250"/>
      <c r="J78" s="250"/>
      <c r="K78" s="250"/>
      <c r="L78" s="250"/>
    </row>
    <row r="79" spans="4:12" ht="12.75">
      <c r="D79" s="250"/>
      <c r="E79" s="250"/>
      <c r="F79" s="250"/>
      <c r="G79" s="250"/>
      <c r="K79" s="250"/>
      <c r="L79" s="250"/>
    </row>
  </sheetData>
  <mergeCells count="7">
    <mergeCell ref="S17:T17"/>
    <mergeCell ref="N7:O7"/>
    <mergeCell ref="H6:I6"/>
    <mergeCell ref="D7:E7"/>
    <mergeCell ref="T9:U9"/>
    <mergeCell ref="U11:V12"/>
    <mergeCell ref="F7:G7"/>
  </mergeCells>
  <printOptions/>
  <pageMargins left="0.75" right="0.75" top="1" bottom="1" header="0.5" footer="0.5"/>
  <pageSetup fitToHeight="1" fitToWidth="1" horizontalDpi="300" verticalDpi="300" orientation="landscape" scale="68" r:id="rId4"/>
  <headerFooter alignWithMargins="0">
    <oddHeader>&amp;C&amp;A</oddHeader>
    <oddFooter>&amp;CWater Treatment Cost Estimation Program</oddFooter>
  </headerFooter>
  <drawing r:id="rId3"/>
  <legacyDrawing r:id="rId2"/>
</worksheet>
</file>

<file path=xl/worksheets/sheet33.xml><?xml version="1.0" encoding="utf-8"?>
<worksheet xmlns="http://schemas.openxmlformats.org/spreadsheetml/2006/main" xmlns:r="http://schemas.openxmlformats.org/officeDocument/2006/relationships">
  <sheetPr codeName="Sheet26">
    <pageSetUpPr fitToPage="1"/>
  </sheetPr>
  <dimension ref="A1:BY51"/>
  <sheetViews>
    <sheetView workbookViewId="0" topLeftCell="A1">
      <selection activeCell="M41" sqref="M41"/>
    </sheetView>
  </sheetViews>
  <sheetFormatPr defaultColWidth="9.140625" defaultRowHeight="12.75"/>
  <cols>
    <col min="1" max="1" width="32.00390625" style="253" customWidth="1"/>
    <col min="2" max="2" width="15.57421875" style="253" bestFit="1" customWidth="1"/>
    <col min="3" max="3" width="9.28125" style="253" customWidth="1"/>
    <col min="4" max="5" width="9.140625" style="253" customWidth="1"/>
    <col min="6" max="6" width="9.00390625" style="253" customWidth="1"/>
    <col min="7" max="7" width="4.8515625" style="253" bestFit="1" customWidth="1"/>
    <col min="8" max="8" width="4.57421875" style="254" customWidth="1"/>
    <col min="9" max="9" width="30.8515625" style="253" customWidth="1"/>
    <col min="10" max="10" width="14.28125" style="253" bestFit="1" customWidth="1"/>
    <col min="11" max="11" width="14.140625" style="253" customWidth="1"/>
    <col min="12" max="16384" width="9.140625" style="25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ht="15.75" customHeight="1"/>
    <row r="4" ht="18">
      <c r="A4" s="505" t="s">
        <v>793</v>
      </c>
    </row>
    <row r="5" ht="18">
      <c r="A5" s="505"/>
    </row>
    <row r="6" spans="1:77" ht="13.5" thickBot="1">
      <c r="A6" s="92"/>
      <c r="B6" s="82"/>
      <c r="C6" s="82"/>
      <c r="D6" s="82"/>
      <c r="E6" s="82"/>
      <c r="F6" s="82"/>
      <c r="G6" s="82"/>
      <c r="H6" s="82"/>
      <c r="I6" s="92" t="s">
        <v>1801</v>
      </c>
      <c r="J6" s="82"/>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row>
    <row r="7" spans="1:77" ht="12.75">
      <c r="A7" s="1319" t="s">
        <v>878</v>
      </c>
      <c r="B7" s="1320"/>
      <c r="C7" s="1320"/>
      <c r="D7" s="1320"/>
      <c r="E7" s="1320"/>
      <c r="F7" s="1320"/>
      <c r="G7" s="1321"/>
      <c r="H7" s="82"/>
      <c r="I7" s="883"/>
      <c r="J7" s="78"/>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row>
    <row r="8" spans="1:77" ht="12.75">
      <c r="A8" s="1322" t="s">
        <v>1083</v>
      </c>
      <c r="B8" s="1323">
        <f>'{z}MF-P input'!B15*'{z}MF-P input'!L15</f>
        <v>21784500</v>
      </c>
      <c r="C8" s="1324" t="s">
        <v>206</v>
      </c>
      <c r="D8" s="884">
        <f>'{z}MF-P input'!B15</f>
        <v>211500</v>
      </c>
      <c r="E8" s="1325" t="s">
        <v>1471</v>
      </c>
      <c r="F8" s="1325"/>
      <c r="G8" s="1326"/>
      <c r="H8" s="82"/>
      <c r="I8" s="81" t="s">
        <v>207</v>
      </c>
      <c r="J8" s="85">
        <f>('{z}MF-P input'!L13+'{z}MF-P input'!L14)*Power</f>
        <v>664490.5293478868</v>
      </c>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row>
    <row r="9" spans="1:77" ht="12.75">
      <c r="A9" s="1322" t="s">
        <v>1470</v>
      </c>
      <c r="B9" s="1323">
        <f>'{z}MF-P input'!B16*'{z}MF-P input'!L16</f>
        <v>6025500</v>
      </c>
      <c r="C9" s="1324" t="s">
        <v>206</v>
      </c>
      <c r="D9" s="884">
        <f>'{z}MF-P input'!B16</f>
        <v>650</v>
      </c>
      <c r="E9" s="1325" t="s">
        <v>1471</v>
      </c>
      <c r="F9" s="1325"/>
      <c r="G9" s="1326"/>
      <c r="H9" s="82"/>
      <c r="I9" s="81" t="s">
        <v>210</v>
      </c>
      <c r="J9" s="85">
        <f>ROUND('{z}MF-P input'!B37*365*8*'{z}MF-P input'!B38*'{b}Capacity'!C8,-3)</f>
        <v>254000</v>
      </c>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row>
    <row r="10" spans="1:77" ht="14.25">
      <c r="A10" s="1327" t="s">
        <v>211</v>
      </c>
      <c r="B10" s="1323">
        <f>F10*'{z}MF-P input'!N17</f>
        <v>4999464.042887286</v>
      </c>
      <c r="C10" s="1324" t="s">
        <v>206</v>
      </c>
      <c r="D10" s="105">
        <v>100</v>
      </c>
      <c r="E10" s="1325" t="s">
        <v>924</v>
      </c>
      <c r="F10" s="885">
        <f>D10*10.764</f>
        <v>1076.3999999999999</v>
      </c>
      <c r="G10" s="1328" t="s">
        <v>212</v>
      </c>
      <c r="H10" s="82"/>
      <c r="I10" s="87" t="s">
        <v>881</v>
      </c>
      <c r="J10" s="85">
        <f>ROUND((0.0025*('{z}MF-P input'!B11/3.785*86400)-333.33)*'{z}MF-P input'!B32*2,-3)</f>
        <v>215000</v>
      </c>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row>
    <row r="11" spans="1:77" ht="12.75">
      <c r="A11" s="1322" t="s">
        <v>1085</v>
      </c>
      <c r="B11" s="1323">
        <f>D11*'{z}MF-P input'!L15</f>
        <v>7210000</v>
      </c>
      <c r="C11" s="884" t="s">
        <v>206</v>
      </c>
      <c r="D11" s="105">
        <v>70000</v>
      </c>
      <c r="E11" s="1325" t="s">
        <v>879</v>
      </c>
      <c r="F11" s="1325"/>
      <c r="G11" s="1326"/>
      <c r="H11" s="82"/>
      <c r="I11" s="81" t="s">
        <v>219</v>
      </c>
      <c r="J11" s="85">
        <f>ROUND('{z}MF-P input'!L16*'{z}MF-P input'!B16/'{z}MF-P input'!B36,-3)</f>
        <v>603000</v>
      </c>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row>
    <row r="12" spans="1:77" ht="12.75">
      <c r="A12" s="1322" t="s">
        <v>882</v>
      </c>
      <c r="B12" s="1323">
        <f>B8*D12/100</f>
        <v>1089225</v>
      </c>
      <c r="C12" s="884"/>
      <c r="D12" s="105">
        <v>5</v>
      </c>
      <c r="E12" s="1325" t="s">
        <v>1086</v>
      </c>
      <c r="F12" s="1325"/>
      <c r="G12" s="1326"/>
      <c r="H12" s="86"/>
      <c r="I12" s="87" t="s">
        <v>884</v>
      </c>
      <c r="J12" s="85">
        <f>ROUND((0.0005*'{z}MF-P input'!B11*86400/3.785+66.667)*'{z}MF-P input'!B32*2,-3)</f>
        <v>43000</v>
      </c>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row>
    <row r="13" spans="1:77" ht="13.5" thickBot="1">
      <c r="A13" s="1322" t="s">
        <v>883</v>
      </c>
      <c r="B13" s="1323">
        <f>D13/100*(B8+B12)</f>
        <v>1143686.25</v>
      </c>
      <c r="C13" s="1329"/>
      <c r="D13" s="105">
        <v>5</v>
      </c>
      <c r="E13" s="1325" t="s">
        <v>1087</v>
      </c>
      <c r="F13" s="1325"/>
      <c r="G13" s="1326"/>
      <c r="H13" s="82"/>
      <c r="I13" s="886" t="s">
        <v>886</v>
      </c>
      <c r="J13" s="887">
        <f>ROUND(0.02*B15,-3)</f>
        <v>891000</v>
      </c>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3.5" thickBot="1">
      <c r="A14" s="1330" t="s">
        <v>885</v>
      </c>
      <c r="B14" s="1331">
        <f>D14/100*(B8+B12)</f>
        <v>2287372.5</v>
      </c>
      <c r="C14" s="1332"/>
      <c r="D14" s="1318">
        <v>10</v>
      </c>
      <c r="E14" s="1333" t="s">
        <v>1087</v>
      </c>
      <c r="F14" s="1333"/>
      <c r="G14" s="1334"/>
      <c r="H14" s="82"/>
      <c r="I14" s="100" t="s">
        <v>229</v>
      </c>
      <c r="J14" s="888">
        <f>SUM(J8:J13)</f>
        <v>2670490.529347887</v>
      </c>
      <c r="K14" s="88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13.5" thickBot="1">
      <c r="A15" s="91" t="s">
        <v>667</v>
      </c>
      <c r="B15" s="890">
        <f>SUM(B8:B14)</f>
        <v>44539747.792887285</v>
      </c>
      <c r="C15" s="891"/>
      <c r="D15" s="891"/>
      <c r="E15" s="891"/>
      <c r="F15" s="891"/>
      <c r="G15" s="892"/>
      <c r="H15" s="82"/>
      <c r="I15" s="82"/>
      <c r="J15" s="82"/>
      <c r="K15" s="88"/>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row>
    <row r="16" spans="1:77" ht="13.5" thickBot="1">
      <c r="A16" s="82"/>
      <c r="B16" s="84"/>
      <c r="C16" s="82"/>
      <c r="D16" s="82"/>
      <c r="E16" s="82"/>
      <c r="F16" s="82"/>
      <c r="G16" s="82"/>
      <c r="H16" s="82"/>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row>
    <row r="17" spans="1:77" ht="12.75">
      <c r="A17" s="1335" t="s">
        <v>273</v>
      </c>
      <c r="B17" s="1336"/>
      <c r="C17" s="1320"/>
      <c r="D17" s="1320"/>
      <c r="E17" s="1320"/>
      <c r="F17" s="1320"/>
      <c r="G17" s="1321"/>
      <c r="H17" s="82"/>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row>
    <row r="18" spans="1:77" ht="12.75">
      <c r="A18" s="1322" t="s">
        <v>274</v>
      </c>
      <c r="B18" s="1323">
        <f>ROUND(D18/100*$B$15,-3)</f>
        <v>2672000</v>
      </c>
      <c r="C18" s="1329"/>
      <c r="D18" s="104">
        <v>6</v>
      </c>
      <c r="E18" s="1325" t="s">
        <v>887</v>
      </c>
      <c r="F18" s="1325"/>
      <c r="G18" s="1326"/>
      <c r="H18" s="82"/>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row>
    <row r="19" spans="1:77" ht="12.75">
      <c r="A19" s="1322" t="s">
        <v>276</v>
      </c>
      <c r="B19" s="1323">
        <f>ROUND(D19/100*$B$15,-3)</f>
        <v>8908000</v>
      </c>
      <c r="C19" s="1329"/>
      <c r="D19" s="105">
        <v>20</v>
      </c>
      <c r="E19" s="1325" t="s">
        <v>887</v>
      </c>
      <c r="F19" s="1325"/>
      <c r="G19" s="1326"/>
      <c r="H19" s="82"/>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row>
    <row r="20" spans="1:77" ht="12.75">
      <c r="A20" s="1322" t="s">
        <v>278</v>
      </c>
      <c r="B20" s="1323">
        <f>ROUND(D20/100*$B$15,-3)</f>
        <v>4454000</v>
      </c>
      <c r="C20" s="1329"/>
      <c r="D20" s="105">
        <v>10</v>
      </c>
      <c r="E20" s="1325" t="s">
        <v>887</v>
      </c>
      <c r="F20" s="1325"/>
      <c r="G20" s="1326"/>
      <c r="H20" s="82"/>
      <c r="K20" s="94"/>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13.5" thickBot="1">
      <c r="A21" s="1330" t="s">
        <v>279</v>
      </c>
      <c r="B21" s="1331">
        <f>ROUND(D21/100*$B$15,-3)</f>
        <v>1782000</v>
      </c>
      <c r="C21" s="1332"/>
      <c r="D21" s="1337">
        <v>4</v>
      </c>
      <c r="E21" s="1333" t="s">
        <v>887</v>
      </c>
      <c r="F21" s="1333"/>
      <c r="G21" s="1334"/>
      <c r="H21" s="82"/>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row>
    <row r="22" spans="1:77" ht="13.5" thickBot="1">
      <c r="A22" s="91" t="s">
        <v>281</v>
      </c>
      <c r="B22" s="895">
        <f>SUM(B18:B21)</f>
        <v>17816000</v>
      </c>
      <c r="C22" s="891"/>
      <c r="D22" s="891"/>
      <c r="E22" s="891"/>
      <c r="F22" s="891"/>
      <c r="G22" s="892"/>
      <c r="H22" s="82"/>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row>
    <row r="23" spans="1:77" ht="13.5" thickBot="1">
      <c r="A23" s="79"/>
      <c r="B23" s="79"/>
      <c r="C23" s="79"/>
      <c r="D23" s="79"/>
      <c r="E23" s="79"/>
      <c r="F23" s="79"/>
      <c r="G23" s="79"/>
      <c r="H23" s="82"/>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6.5" thickBot="1">
      <c r="A24" s="896" t="s">
        <v>282</v>
      </c>
      <c r="B24" s="897">
        <f>B15+B22</f>
        <v>62355747.792887285</v>
      </c>
      <c r="C24" s="898"/>
      <c r="D24" s="103"/>
      <c r="E24" s="103"/>
      <c r="F24" s="103"/>
      <c r="G24" s="103"/>
      <c r="H24" s="82"/>
      <c r="I24" s="882" t="s">
        <v>929</v>
      </c>
      <c r="J24" s="78"/>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7" ht="13.5" thickBot="1">
      <c r="A25" s="79"/>
      <c r="B25" s="79"/>
      <c r="C25" s="79"/>
      <c r="D25" s="79"/>
      <c r="E25" s="79"/>
      <c r="F25" s="79"/>
      <c r="G25" s="79"/>
      <c r="H25" s="82"/>
      <c r="I25" s="81"/>
      <c r="J25" s="83"/>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row>
    <row r="26" spans="1:77" ht="16.5" thickBot="1">
      <c r="A26" s="896" t="s">
        <v>923</v>
      </c>
      <c r="B26" s="899">
        <f>B24/'{z}MF-P input'!B8</f>
        <v>0.6236250231246326</v>
      </c>
      <c r="C26" s="79"/>
      <c r="D26" s="79"/>
      <c r="E26" s="79"/>
      <c r="F26" s="79"/>
      <c r="G26" s="79"/>
      <c r="H26" s="82"/>
      <c r="I26" s="87" t="s">
        <v>231</v>
      </c>
      <c r="J26" s="85">
        <f>ROUND(B24*(('{z}MF-P input'!B40/100*(1+'{z}MF-P input'!B40/100)^'{z}MF-P input'!B39)/(('{z}MF-P input'!B40/100+1)^'{z}MF-P input'!B39-1)),-3)</f>
        <v>4530000</v>
      </c>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row>
    <row r="27" spans="1:77" ht="12.75">
      <c r="A27" s="79"/>
      <c r="B27" s="79"/>
      <c r="C27" s="79"/>
      <c r="D27" s="79"/>
      <c r="E27" s="79"/>
      <c r="F27" s="79"/>
      <c r="G27" s="79"/>
      <c r="H27" s="82"/>
      <c r="I27" s="87" t="s">
        <v>930</v>
      </c>
      <c r="J27" s="893">
        <f>J14</f>
        <v>2670490.529347887</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row>
    <row r="28" spans="1:77" ht="12.75">
      <c r="A28" s="79"/>
      <c r="B28" s="79"/>
      <c r="C28" s="79"/>
      <c r="D28" s="79"/>
      <c r="E28" s="79"/>
      <c r="F28" s="79"/>
      <c r="G28" s="79"/>
      <c r="H28" s="82"/>
      <c r="I28" s="87"/>
      <c r="J28" s="83"/>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row>
    <row r="29" spans="1:77" ht="12.75">
      <c r="A29" s="79"/>
      <c r="B29" s="79"/>
      <c r="C29" s="79"/>
      <c r="D29" s="79"/>
      <c r="E29" s="79"/>
      <c r="F29" s="79"/>
      <c r="G29" s="79"/>
      <c r="H29" s="82"/>
      <c r="I29" s="894" t="s">
        <v>267</v>
      </c>
      <c r="J29" s="1638">
        <f>J26+J27</f>
        <v>7200490.529347887</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row>
    <row r="30" spans="1:77" ht="14.25">
      <c r="A30" s="79"/>
      <c r="B30" s="79"/>
      <c r="C30" s="79"/>
      <c r="D30" s="79"/>
      <c r="E30" s="79"/>
      <c r="F30" s="79"/>
      <c r="G30" s="79"/>
      <c r="H30" s="82"/>
      <c r="I30" s="1564" t="s">
        <v>873</v>
      </c>
      <c r="J30" s="1639">
        <f>J29/('{z}MF-P input'!B8/264*365*'{z}MF-P input'!B14/100)</f>
        <v>0.054827264970464404</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row>
    <row r="31" spans="1:77" ht="12.75">
      <c r="A31" s="79"/>
      <c r="B31" s="79"/>
      <c r="C31" s="79"/>
      <c r="D31" s="79"/>
      <c r="E31" s="79"/>
      <c r="F31" s="79"/>
      <c r="G31" s="79"/>
      <c r="H31" s="82"/>
      <c r="I31" s="1564" t="s">
        <v>666</v>
      </c>
      <c r="J31" s="1640">
        <f>J29/('{z}MF-P input'!B8*365*'{z}MF-P input'!B14/100)*1000</f>
        <v>0.20767903397903187</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row>
    <row r="32" spans="1:77" ht="13.5" thickBot="1">
      <c r="A32" s="1414" t="s">
        <v>1621</v>
      </c>
      <c r="B32" s="79"/>
      <c r="C32" s="79"/>
      <c r="D32" s="79"/>
      <c r="E32" s="79"/>
      <c r="F32" s="79"/>
      <c r="G32" s="79"/>
      <c r="H32" s="82"/>
      <c r="I32" s="1566" t="s">
        <v>670</v>
      </c>
      <c r="J32" s="1641">
        <f>J30*1233.4</f>
        <v>67.6239486145708</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row>
    <row r="33" spans="1:77" ht="12.75">
      <c r="A33" s="1415" t="s">
        <v>1622</v>
      </c>
      <c r="B33" s="79"/>
      <c r="C33" s="79"/>
      <c r="D33" s="79"/>
      <c r="E33" s="79"/>
      <c r="F33" s="79"/>
      <c r="G33" s="79"/>
      <c r="H33" s="82"/>
      <c r="I33" s="270"/>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row>
    <row r="34" spans="1:77" ht="12.75">
      <c r="A34" s="79"/>
      <c r="B34" s="79"/>
      <c r="C34" s="79"/>
      <c r="D34" s="79"/>
      <c r="E34" s="79"/>
      <c r="F34" s="79"/>
      <c r="G34" s="79"/>
      <c r="H34" s="82"/>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row>
    <row r="35" spans="1:77" ht="12.75">
      <c r="A35" s="80" t="s">
        <v>277</v>
      </c>
      <c r="B35" s="79"/>
      <c r="C35" s="79"/>
      <c r="D35" s="79"/>
      <c r="E35" s="79"/>
      <c r="F35" s="79"/>
      <c r="G35" s="79"/>
      <c r="H35" s="82"/>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row>
    <row r="36" spans="1:77" ht="12.75">
      <c r="A36" s="79"/>
      <c r="B36" s="79"/>
      <c r="C36" s="79"/>
      <c r="D36" s="79"/>
      <c r="E36" s="79"/>
      <c r="F36" s="79"/>
      <c r="G36" s="79"/>
      <c r="H36" s="82"/>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row>
    <row r="37" spans="1:77" ht="12.75">
      <c r="A37" s="79"/>
      <c r="B37" s="79"/>
      <c r="C37" s="79"/>
      <c r="D37" s="79"/>
      <c r="E37" s="79"/>
      <c r="F37" s="79"/>
      <c r="G37" s="79"/>
      <c r="H37" s="82"/>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row>
    <row r="38" spans="1:77" ht="12.75">
      <c r="A38" s="79"/>
      <c r="B38" s="79"/>
      <c r="C38" s="79"/>
      <c r="D38" s="79"/>
      <c r="E38" s="79"/>
      <c r="F38" s="79"/>
      <c r="G38" s="79"/>
      <c r="H38" s="82"/>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row>
    <row r="39" spans="1:77" ht="15">
      <c r="A39" s="79"/>
      <c r="B39" s="79"/>
      <c r="C39" s="79"/>
      <c r="D39" s="79"/>
      <c r="E39" s="79"/>
      <c r="F39" s="79"/>
      <c r="G39" s="79"/>
      <c r="H39" s="103"/>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row>
    <row r="40" spans="1:77" ht="12.75">
      <c r="A40" s="79"/>
      <c r="B40" s="79"/>
      <c r="C40" s="79"/>
      <c r="D40" s="79"/>
      <c r="E40" s="79"/>
      <c r="F40" s="79"/>
      <c r="G40" s="79"/>
      <c r="H40" s="82"/>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row>
    <row r="41" spans="1:77" ht="12.75">
      <c r="A41" s="79"/>
      <c r="B41" s="79"/>
      <c r="C41" s="79"/>
      <c r="D41" s="79"/>
      <c r="E41" s="79"/>
      <c r="F41" s="79"/>
      <c r="G41" s="79"/>
      <c r="H41" s="82"/>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row>
    <row r="42" spans="1:77" ht="12.75">
      <c r="A42" s="79"/>
      <c r="B42" s="79"/>
      <c r="C42" s="79"/>
      <c r="D42" s="79"/>
      <c r="E42" s="79"/>
      <c r="F42" s="79"/>
      <c r="G42" s="79"/>
      <c r="H42" s="82"/>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row>
    <row r="43" spans="1:77" ht="12.75">
      <c r="A43" s="79"/>
      <c r="B43" s="79"/>
      <c r="C43" s="79"/>
      <c r="D43" s="79"/>
      <c r="E43" s="79"/>
      <c r="F43" s="79"/>
      <c r="G43" s="79"/>
      <c r="H43" s="82"/>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row>
    <row r="44" spans="1:77" ht="12.75">
      <c r="A44" s="79"/>
      <c r="B44" s="79"/>
      <c r="C44" s="79"/>
      <c r="D44" s="79"/>
      <c r="E44" s="79"/>
      <c r="F44" s="79"/>
      <c r="G44" s="79"/>
      <c r="H44" s="82"/>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2.75">
      <c r="A45" s="79"/>
      <c r="B45" s="79"/>
      <c r="C45" s="79"/>
      <c r="D45" s="79"/>
      <c r="E45" s="79"/>
      <c r="F45" s="79"/>
      <c r="G45" s="79"/>
      <c r="H45" s="82"/>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row>
    <row r="46" spans="1:77" ht="12.75">
      <c r="A46" s="79"/>
      <c r="B46" s="79"/>
      <c r="C46" s="79"/>
      <c r="D46" s="79"/>
      <c r="E46" s="79"/>
      <c r="F46" s="79"/>
      <c r="G46" s="79"/>
      <c r="H46" s="82"/>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row>
    <row r="47" spans="1:77" ht="12.75">
      <c r="A47" s="79"/>
      <c r="B47" s="79"/>
      <c r="C47" s="79"/>
      <c r="D47" s="79"/>
      <c r="E47" s="79"/>
      <c r="F47" s="79"/>
      <c r="G47" s="79"/>
      <c r="H47" s="82"/>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row>
    <row r="48" spans="1:77" ht="12.75">
      <c r="A48" s="79"/>
      <c r="B48" s="79"/>
      <c r="C48" s="79"/>
      <c r="D48" s="79"/>
      <c r="E48" s="79"/>
      <c r="F48" s="79"/>
      <c r="G48" s="79"/>
      <c r="H48" s="82"/>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row>
    <row r="49" spans="1:77" ht="12.75">
      <c r="A49" s="79"/>
      <c r="B49" s="79"/>
      <c r="C49" s="79"/>
      <c r="D49" s="79"/>
      <c r="E49" s="79"/>
      <c r="F49" s="79"/>
      <c r="G49" s="79"/>
      <c r="H49" s="82"/>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row>
    <row r="50" spans="1:77" ht="12.75">
      <c r="A50" s="79"/>
      <c r="B50" s="79"/>
      <c r="C50" s="79"/>
      <c r="D50" s="79"/>
      <c r="E50" s="79"/>
      <c r="F50" s="79"/>
      <c r="G50" s="79"/>
      <c r="H50" s="82"/>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row>
    <row r="51" spans="1:77" ht="12.75">
      <c r="A51" s="79"/>
      <c r="B51" s="79"/>
      <c r="C51" s="79"/>
      <c r="D51" s="79"/>
      <c r="E51" s="79"/>
      <c r="F51" s="79"/>
      <c r="G51" s="79"/>
      <c r="H51" s="82"/>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row>
  </sheetData>
  <printOptions/>
  <pageMargins left="0.75" right="0.75" top="1" bottom="1" header="0.5" footer="0.5"/>
  <pageSetup fitToHeight="1" fitToWidth="1" horizontalDpi="300" verticalDpi="300" orientation="landscape" scale="89" r:id="rId1"/>
</worksheet>
</file>

<file path=xl/worksheets/sheet34.xml><?xml version="1.0" encoding="utf-8"?>
<worksheet xmlns="http://schemas.openxmlformats.org/spreadsheetml/2006/main" xmlns:r="http://schemas.openxmlformats.org/officeDocument/2006/relationships">
  <sheetPr codeName="Sheet111">
    <pageSetUpPr fitToPage="1"/>
  </sheetPr>
  <dimension ref="A1:IU157"/>
  <sheetViews>
    <sheetView workbookViewId="0" topLeftCell="A1">
      <selection activeCell="B22" sqref="B22"/>
    </sheetView>
  </sheetViews>
  <sheetFormatPr defaultColWidth="9.140625" defaultRowHeight="12.75"/>
  <cols>
    <col min="1" max="1" width="31.28125" style="273" customWidth="1"/>
    <col min="2" max="2" width="14.421875" style="273" bestFit="1" customWidth="1"/>
    <col min="3" max="4" width="12.57421875" style="273" bestFit="1" customWidth="1"/>
    <col min="5" max="5" width="11.7109375" style="273" customWidth="1"/>
    <col min="6" max="8" width="10.57421875" style="273" bestFit="1" customWidth="1"/>
    <col min="9" max="9" width="10.421875" style="273" customWidth="1"/>
    <col min="10" max="10" width="12.28125" style="273" bestFit="1" customWidth="1"/>
    <col min="11" max="11" width="13.8515625" style="273" customWidth="1"/>
    <col min="12" max="27" width="10.7109375" style="273" bestFit="1" customWidth="1"/>
    <col min="28" max="28" width="9.140625" style="273" customWidth="1"/>
    <col min="29" max="29" width="14.00390625" style="273" customWidth="1"/>
    <col min="30" max="30" width="9.140625" style="273" customWidth="1"/>
    <col min="31" max="31" width="12.140625" style="273" customWidth="1"/>
    <col min="32" max="36" width="9.140625" style="273" customWidth="1"/>
    <col min="37" max="37" width="12.421875" style="273" customWidth="1"/>
    <col min="38" max="38" width="9.140625" style="273" customWidth="1"/>
    <col min="39" max="39" width="13.28125" style="273" customWidth="1"/>
    <col min="40" max="48" width="9.140625" style="273" customWidth="1"/>
    <col min="49" max="49" width="11.00390625" style="273" customWidth="1"/>
    <col min="50" max="50" width="10.7109375" style="273" customWidth="1"/>
    <col min="51" max="51" width="11.00390625" style="273" customWidth="1"/>
    <col min="52" max="52" width="12.421875" style="273" customWidth="1"/>
    <col min="53" max="16384" width="9.140625" style="27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ht="12.75"/>
    <row r="4" ht="18">
      <c r="A4" s="1445" t="s">
        <v>1240</v>
      </c>
    </row>
    <row r="5" ht="12.75">
      <c r="A5" s="1416"/>
    </row>
    <row r="6" spans="1:4" ht="12.75">
      <c r="A6" s="1425"/>
      <c r="B6" s="1426" t="s">
        <v>1006</v>
      </c>
      <c r="C6" s="1426" t="s">
        <v>1007</v>
      </c>
      <c r="D6" s="1702" t="s">
        <v>680</v>
      </c>
    </row>
    <row r="7" spans="1:181" ht="14.25">
      <c r="A7" s="1425" t="s">
        <v>949</v>
      </c>
      <c r="B7" s="1427">
        <f>'{f}RO&amp;NF Input'!B31/86400</f>
        <v>0.0002662037037037037</v>
      </c>
      <c r="C7" s="1427">
        <f>'{f}RO&amp;NF Input'!I10/86400</f>
        <v>3.9660379684418148</v>
      </c>
      <c r="D7" s="170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CL7" s="275"/>
      <c r="CM7" s="275"/>
      <c r="CN7" s="275"/>
      <c r="CO7" s="275"/>
      <c r="CP7" s="275"/>
      <c r="CQ7" s="275"/>
      <c r="DI7" s="274"/>
      <c r="DJ7" s="274"/>
      <c r="DK7" s="274"/>
      <c r="DL7" s="274"/>
      <c r="DM7" s="274"/>
      <c r="DN7" s="274"/>
      <c r="DO7" s="274"/>
      <c r="DP7" s="274"/>
      <c r="DY7" s="274"/>
      <c r="DZ7" s="274"/>
      <c r="EA7" s="274"/>
      <c r="EB7" s="274"/>
      <c r="EC7" s="274"/>
      <c r="ED7" s="274"/>
      <c r="EE7" s="274"/>
      <c r="EF7" s="274"/>
      <c r="EG7" s="274"/>
      <c r="EH7" s="274"/>
      <c r="EI7" s="274"/>
      <c r="EJ7" s="274"/>
      <c r="EK7" s="274"/>
      <c r="EL7" s="274"/>
      <c r="EM7" s="274"/>
      <c r="FL7" s="274"/>
      <c r="FM7" s="274"/>
      <c r="FN7" s="274"/>
      <c r="FO7" s="274"/>
      <c r="FP7" s="274"/>
      <c r="FQ7" s="274"/>
      <c r="FR7" s="274"/>
      <c r="FS7" s="274"/>
      <c r="FT7" s="274"/>
      <c r="FU7" s="274"/>
      <c r="FV7" s="274"/>
      <c r="FW7" s="274"/>
      <c r="FX7" s="274"/>
      <c r="FY7" s="274"/>
    </row>
    <row r="8" spans="1:255" ht="14.25">
      <c r="A8" s="1425" t="s">
        <v>957</v>
      </c>
      <c r="B8" s="1427">
        <f>B7*100/'{f}RO&amp;NF Input'!B38</f>
        <v>0.002662037037037037</v>
      </c>
      <c r="C8" s="1428">
        <f>C7*100/'{f}RO&amp;NF Input'!B38</f>
        <v>39.660379684418146</v>
      </c>
      <c r="D8" s="170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7"/>
      <c r="CM8" s="277"/>
      <c r="CN8" s="278"/>
      <c r="CO8" s="279"/>
      <c r="CP8" s="280"/>
      <c r="CQ8" s="280"/>
      <c r="CT8" s="276"/>
      <c r="CU8" s="276"/>
      <c r="CV8" s="276"/>
      <c r="CW8" s="276"/>
      <c r="CX8" s="276"/>
      <c r="CY8" s="276"/>
      <c r="CZ8" s="276"/>
      <c r="DI8" s="276"/>
      <c r="DJ8" s="276"/>
      <c r="DK8" s="276"/>
      <c r="DL8" s="276"/>
      <c r="DM8" s="276"/>
      <c r="DN8" s="276"/>
      <c r="DO8" s="276"/>
      <c r="DP8" s="276"/>
      <c r="DY8" s="276"/>
      <c r="DZ8" s="276"/>
      <c r="EA8" s="276"/>
      <c r="EB8" s="276"/>
      <c r="EC8" s="276"/>
      <c r="ED8" s="276"/>
      <c r="EE8" s="276"/>
      <c r="EF8" s="276"/>
      <c r="EG8" s="276"/>
      <c r="EH8" s="276"/>
      <c r="EI8" s="276"/>
      <c r="EJ8" s="276"/>
      <c r="EK8" s="276"/>
      <c r="EL8" s="276"/>
      <c r="EM8" s="276"/>
      <c r="FL8" s="276"/>
      <c r="FM8" s="276"/>
      <c r="FN8" s="276"/>
      <c r="FO8" s="276"/>
      <c r="FP8" s="276"/>
      <c r="FQ8" s="276"/>
      <c r="FR8" s="276"/>
      <c r="FS8" s="276"/>
      <c r="FT8" s="276"/>
      <c r="FU8" s="276"/>
      <c r="FV8" s="276"/>
      <c r="FW8" s="276"/>
      <c r="FX8" s="276"/>
      <c r="FY8" s="276"/>
      <c r="ID8" s="276"/>
      <c r="IE8" s="276"/>
      <c r="IF8" s="276"/>
      <c r="IG8" s="276"/>
      <c r="IH8" s="276"/>
      <c r="II8" s="276"/>
      <c r="IJ8" s="276"/>
      <c r="IK8" s="276"/>
      <c r="IL8" s="276"/>
      <c r="IM8" s="276"/>
      <c r="IN8" s="276"/>
      <c r="IO8" s="276"/>
      <c r="IP8" s="276"/>
      <c r="IQ8" s="276"/>
      <c r="IR8" s="276"/>
      <c r="IS8" s="276"/>
      <c r="IT8" s="276"/>
      <c r="IU8" s="276"/>
    </row>
    <row r="9" spans="1:255" ht="12.75">
      <c r="A9" s="1429" t="s">
        <v>943</v>
      </c>
      <c r="B9" s="1637">
        <f>'{f}RO&amp;NF Input'!B33*1000</f>
        <v>1550000</v>
      </c>
      <c r="C9" s="1637">
        <f>'{f}RO&amp;NF Input'!B50*1000</f>
        <v>1404096.1127604018</v>
      </c>
      <c r="D9" s="1713"/>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L9" s="277"/>
      <c r="CM9" s="277"/>
      <c r="CN9" s="278"/>
      <c r="CO9" s="279"/>
      <c r="CP9" s="280"/>
      <c r="CQ9" s="280"/>
      <c r="DI9" s="276"/>
      <c r="DJ9" s="276"/>
      <c r="DK9" s="276"/>
      <c r="DL9" s="276"/>
      <c r="DM9" s="276"/>
      <c r="DN9" s="276"/>
      <c r="DO9" s="276"/>
      <c r="DP9" s="276"/>
      <c r="DY9" s="276"/>
      <c r="DZ9" s="276"/>
      <c r="EA9" s="276"/>
      <c r="EB9" s="276"/>
      <c r="EC9" s="276"/>
      <c r="ED9" s="276"/>
      <c r="EE9" s="276"/>
      <c r="EF9" s="276"/>
      <c r="EG9" s="276"/>
      <c r="EH9" s="276"/>
      <c r="EI9" s="276"/>
      <c r="EJ9" s="276"/>
      <c r="EK9" s="276"/>
      <c r="EL9" s="276"/>
      <c r="EM9" s="276"/>
      <c r="FL9" s="276"/>
      <c r="FM9" s="276"/>
      <c r="FN9" s="276"/>
      <c r="FO9" s="276"/>
      <c r="FP9" s="276"/>
      <c r="FQ9" s="276"/>
      <c r="FR9" s="276"/>
      <c r="FS9" s="276"/>
      <c r="FT9" s="276"/>
      <c r="FU9" s="276"/>
      <c r="FV9" s="276"/>
      <c r="FW9" s="276"/>
      <c r="FX9" s="276"/>
      <c r="FY9" s="276"/>
      <c r="ID9" s="276"/>
      <c r="IE9" s="276"/>
      <c r="IF9" s="276"/>
      <c r="IG9" s="276"/>
      <c r="IH9" s="276"/>
      <c r="II9" s="276"/>
      <c r="IJ9" s="276"/>
      <c r="IK9" s="276"/>
      <c r="IL9" s="276"/>
      <c r="IM9" s="276"/>
      <c r="IN9" s="276"/>
      <c r="IO9" s="276"/>
      <c r="IP9" s="276"/>
      <c r="IQ9" s="276"/>
      <c r="IR9" s="276"/>
      <c r="IS9" s="276"/>
      <c r="IT9" s="276"/>
      <c r="IU9" s="276"/>
    </row>
    <row r="10" spans="1:255" ht="14.25">
      <c r="A10" s="1425" t="s">
        <v>958</v>
      </c>
      <c r="B10" s="1431">
        <f>'{f}RO&amp;NF Input'!B32</f>
        <v>37</v>
      </c>
      <c r="C10" s="1430">
        <f>B10*C7/B7</f>
        <v>551244.7903267301</v>
      </c>
      <c r="D10" s="1704"/>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7"/>
      <c r="CM10" s="277"/>
      <c r="CN10" s="278"/>
      <c r="CO10" s="279"/>
      <c r="CP10" s="280"/>
      <c r="CQ10" s="280"/>
      <c r="CT10" s="274"/>
      <c r="CU10" s="274"/>
      <c r="CV10" s="274"/>
      <c r="CW10" s="274"/>
      <c r="CX10" s="274"/>
      <c r="CY10" s="274"/>
      <c r="CZ10" s="274"/>
      <c r="DI10" s="276"/>
      <c r="DJ10" s="276"/>
      <c r="DK10" s="276"/>
      <c r="DL10" s="276"/>
      <c r="DM10" s="276"/>
      <c r="DN10" s="276"/>
      <c r="DO10" s="276"/>
      <c r="DP10" s="276"/>
      <c r="DY10" s="276"/>
      <c r="DZ10" s="276"/>
      <c r="EA10" s="276"/>
      <c r="EB10" s="276"/>
      <c r="EC10" s="276"/>
      <c r="ED10" s="276"/>
      <c r="EE10" s="276"/>
      <c r="EF10" s="276"/>
      <c r="EG10" s="276"/>
      <c r="EH10" s="276"/>
      <c r="EI10" s="276"/>
      <c r="EJ10" s="276"/>
      <c r="EK10" s="276"/>
      <c r="EL10" s="276"/>
      <c r="EM10" s="276"/>
      <c r="FL10" s="276"/>
      <c r="FM10" s="276"/>
      <c r="FN10" s="276"/>
      <c r="FO10" s="276"/>
      <c r="FP10" s="276"/>
      <c r="FQ10" s="276"/>
      <c r="FR10" s="276"/>
      <c r="FS10" s="276"/>
      <c r="FT10" s="276"/>
      <c r="FU10" s="276"/>
      <c r="FV10" s="276"/>
      <c r="FW10" s="276"/>
      <c r="FX10" s="276"/>
      <c r="FY10" s="276"/>
      <c r="ID10" s="276"/>
      <c r="IE10" s="276"/>
      <c r="IF10" s="276"/>
      <c r="IG10" s="276"/>
      <c r="IH10" s="276"/>
      <c r="II10" s="276"/>
      <c r="IJ10" s="276"/>
      <c r="IK10" s="276"/>
      <c r="IL10" s="276"/>
      <c r="IM10" s="276"/>
      <c r="IN10" s="276"/>
      <c r="IO10" s="276"/>
      <c r="IP10" s="276"/>
      <c r="IQ10" s="276"/>
      <c r="IR10" s="276"/>
      <c r="IS10" s="276"/>
      <c r="IT10" s="276"/>
      <c r="IU10" s="276"/>
    </row>
    <row r="11" spans="1:255" ht="15.75">
      <c r="A11" s="1432" t="s">
        <v>959</v>
      </c>
      <c r="B11" s="1433">
        <v>1E-05</v>
      </c>
      <c r="C11" s="1433">
        <v>1E-05</v>
      </c>
      <c r="D11" s="1704"/>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7"/>
      <c r="CM11" s="277"/>
      <c r="CN11" s="278"/>
      <c r="CO11" s="279"/>
      <c r="CP11" s="280"/>
      <c r="CQ11" s="280"/>
      <c r="CT11" s="276"/>
      <c r="CU11" s="276"/>
      <c r="CV11" s="276"/>
      <c r="CW11" s="276"/>
      <c r="CX11" s="276"/>
      <c r="CY11" s="276"/>
      <c r="CZ11" s="276"/>
      <c r="DI11" s="281"/>
      <c r="DJ11" s="281"/>
      <c r="DK11" s="281"/>
      <c r="DL11" s="281"/>
      <c r="DM11" s="281"/>
      <c r="DN11" s="281"/>
      <c r="DO11" s="281"/>
      <c r="DP11" s="281"/>
      <c r="DY11" s="281"/>
      <c r="DZ11" s="281"/>
      <c r="EA11" s="281"/>
      <c r="EB11" s="281"/>
      <c r="EC11" s="281"/>
      <c r="ED11" s="281"/>
      <c r="EE11" s="281"/>
      <c r="EF11" s="281"/>
      <c r="EG11" s="281"/>
      <c r="EH11" s="281"/>
      <c r="EI11" s="281"/>
      <c r="EJ11" s="281"/>
      <c r="EK11" s="281"/>
      <c r="EL11" s="281"/>
      <c r="EM11" s="281"/>
      <c r="FL11" s="281"/>
      <c r="FM11" s="281"/>
      <c r="FN11" s="281"/>
      <c r="FO11" s="281"/>
      <c r="FP11" s="281"/>
      <c r="FQ11" s="281"/>
      <c r="FR11" s="281"/>
      <c r="FS11" s="281"/>
      <c r="FT11" s="281"/>
      <c r="FU11" s="281"/>
      <c r="FV11" s="281"/>
      <c r="FW11" s="281"/>
      <c r="FX11" s="281"/>
      <c r="FY11" s="281"/>
      <c r="ID11" s="276"/>
      <c r="IE11" s="276"/>
      <c r="IF11" s="276"/>
      <c r="IG11" s="276"/>
      <c r="IH11" s="276"/>
      <c r="II11" s="276"/>
      <c r="IJ11" s="276"/>
      <c r="IK11" s="276"/>
      <c r="IL11" s="276"/>
      <c r="IM11" s="276"/>
      <c r="IN11" s="276"/>
      <c r="IO11" s="276"/>
      <c r="IP11" s="276"/>
      <c r="IQ11" s="276"/>
      <c r="IR11" s="276"/>
      <c r="IS11" s="276"/>
      <c r="IT11" s="276"/>
      <c r="IU11" s="276"/>
    </row>
    <row r="12" spans="1:255" ht="15.75">
      <c r="A12" s="1432" t="s">
        <v>960</v>
      </c>
      <c r="B12" s="1434">
        <f>'{f}RO&amp;NF Input'!B42</f>
        <v>25.684931506849317</v>
      </c>
      <c r="C12" s="1434">
        <f>'{f}RO&amp;NF Input'!B51</f>
        <v>13.96017068450066</v>
      </c>
      <c r="D12" s="1704"/>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7"/>
      <c r="CM12" s="277"/>
      <c r="CN12" s="278"/>
      <c r="CO12" s="279"/>
      <c r="CP12" s="280"/>
      <c r="CQ12" s="280"/>
      <c r="CT12" s="276"/>
      <c r="CU12" s="276"/>
      <c r="CV12" s="276"/>
      <c r="CW12" s="276"/>
      <c r="CX12" s="276"/>
      <c r="CY12" s="276"/>
      <c r="CZ12" s="276"/>
      <c r="DI12" s="274"/>
      <c r="DJ12" s="274"/>
      <c r="DK12" s="274"/>
      <c r="DL12" s="274"/>
      <c r="DM12" s="274"/>
      <c r="DN12" s="274"/>
      <c r="DO12" s="274"/>
      <c r="DP12" s="274"/>
      <c r="DY12" s="274"/>
      <c r="DZ12" s="274"/>
      <c r="EA12" s="274"/>
      <c r="EB12" s="274"/>
      <c r="EC12" s="274"/>
      <c r="ED12" s="274"/>
      <c r="EE12" s="274"/>
      <c r="EF12" s="274"/>
      <c r="EG12" s="274"/>
      <c r="EH12" s="274"/>
      <c r="EI12" s="274"/>
      <c r="EJ12" s="274"/>
      <c r="EK12" s="274"/>
      <c r="EL12" s="274"/>
      <c r="EM12" s="274"/>
      <c r="FL12" s="274"/>
      <c r="FM12" s="274"/>
      <c r="FN12" s="274"/>
      <c r="FO12" s="274"/>
      <c r="FP12" s="274"/>
      <c r="FQ12" s="274"/>
      <c r="FR12" s="274"/>
      <c r="FS12" s="274"/>
      <c r="FT12" s="274"/>
      <c r="FU12" s="274"/>
      <c r="FV12" s="274"/>
      <c r="FW12" s="274"/>
      <c r="FX12" s="274"/>
      <c r="FY12" s="274"/>
      <c r="ID12" s="274"/>
      <c r="IE12" s="274"/>
      <c r="IF12" s="274"/>
      <c r="IG12" s="274"/>
      <c r="IH12" s="274"/>
      <c r="II12" s="274"/>
      <c r="IJ12" s="274"/>
      <c r="IK12" s="274"/>
      <c r="IL12" s="274"/>
      <c r="IM12" s="274"/>
      <c r="IN12" s="274"/>
      <c r="IO12" s="274"/>
      <c r="IP12" s="274"/>
      <c r="IQ12" s="274"/>
      <c r="IR12" s="274"/>
      <c r="IS12" s="274"/>
      <c r="IT12" s="274"/>
      <c r="IU12" s="274"/>
    </row>
    <row r="13" spans="1:255" ht="14.25">
      <c r="A13" s="1432" t="s">
        <v>961</v>
      </c>
      <c r="B13" s="1435">
        <v>1000</v>
      </c>
      <c r="C13" s="1693">
        <f>B13</f>
        <v>1000</v>
      </c>
      <c r="D13" s="170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77"/>
      <c r="CM13" s="277"/>
      <c r="CN13" s="278"/>
      <c r="CO13" s="279"/>
      <c r="CP13" s="280"/>
      <c r="CQ13" s="280"/>
      <c r="CT13" s="281"/>
      <c r="CU13" s="281"/>
      <c r="CV13" s="281"/>
      <c r="CW13" s="281"/>
      <c r="CX13" s="281"/>
      <c r="CY13" s="281"/>
      <c r="CZ13" s="281"/>
      <c r="DI13" s="278"/>
      <c r="DJ13" s="278"/>
      <c r="DK13" s="278"/>
      <c r="DL13" s="278"/>
      <c r="DM13" s="278"/>
      <c r="DN13" s="278"/>
      <c r="DO13" s="278"/>
      <c r="DP13" s="278"/>
      <c r="DY13" s="278"/>
      <c r="DZ13" s="278"/>
      <c r="EA13" s="278"/>
      <c r="EB13" s="278"/>
      <c r="EC13" s="278"/>
      <c r="ED13" s="278"/>
      <c r="EE13" s="278"/>
      <c r="EF13" s="278"/>
      <c r="EG13" s="278"/>
      <c r="EH13" s="278"/>
      <c r="EI13" s="278"/>
      <c r="EJ13" s="278"/>
      <c r="EK13" s="278"/>
      <c r="EL13" s="278"/>
      <c r="EM13" s="278"/>
      <c r="FL13" s="282"/>
      <c r="FM13" s="282"/>
      <c r="FN13" s="282"/>
      <c r="FO13" s="282"/>
      <c r="FP13" s="282"/>
      <c r="FQ13" s="282"/>
      <c r="FR13" s="282"/>
      <c r="FS13" s="282"/>
      <c r="FT13" s="282"/>
      <c r="FU13" s="282"/>
      <c r="FV13" s="282"/>
      <c r="FW13" s="282"/>
      <c r="FX13" s="282"/>
      <c r="FY13" s="282"/>
      <c r="ID13" s="282"/>
      <c r="IE13" s="282"/>
      <c r="IF13" s="282"/>
      <c r="IG13" s="282"/>
      <c r="IH13" s="282"/>
      <c r="II13" s="282"/>
      <c r="IJ13" s="282"/>
      <c r="IK13" s="282"/>
      <c r="IL13" s="282"/>
      <c r="IM13" s="282"/>
      <c r="IN13" s="282"/>
      <c r="IO13" s="282"/>
      <c r="IP13" s="282"/>
      <c r="IQ13" s="282"/>
      <c r="IR13" s="282"/>
      <c r="IS13" s="282"/>
      <c r="IT13" s="282"/>
      <c r="IU13" s="282"/>
    </row>
    <row r="14" spans="1:255" ht="12.75">
      <c r="A14" s="1432" t="s">
        <v>944</v>
      </c>
      <c r="B14" s="1443">
        <f>1.005/1000</f>
        <v>0.0010049999999999998</v>
      </c>
      <c r="C14" s="1694">
        <f>B14</f>
        <v>0.0010049999999999998</v>
      </c>
      <c r="D14" s="170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7"/>
      <c r="CM14" s="277"/>
      <c r="CN14" s="278"/>
      <c r="CO14" s="279"/>
      <c r="CP14" s="280"/>
      <c r="CQ14" s="280"/>
      <c r="CT14" s="274"/>
      <c r="CU14" s="274"/>
      <c r="CV14" s="274"/>
      <c r="CW14" s="274"/>
      <c r="CX14" s="274"/>
      <c r="CY14" s="274"/>
      <c r="CZ14" s="274"/>
      <c r="DI14" s="282"/>
      <c r="DJ14" s="282"/>
      <c r="DK14" s="282"/>
      <c r="DL14" s="282"/>
      <c r="DM14" s="282"/>
      <c r="DN14" s="282"/>
      <c r="DO14" s="282"/>
      <c r="DP14" s="282"/>
      <c r="DY14" s="282"/>
      <c r="DZ14" s="282"/>
      <c r="EA14" s="282"/>
      <c r="EB14" s="282"/>
      <c r="EC14" s="282"/>
      <c r="ED14" s="282"/>
      <c r="EE14" s="282"/>
      <c r="EF14" s="282"/>
      <c r="EG14" s="282"/>
      <c r="EH14" s="282"/>
      <c r="EI14" s="282"/>
      <c r="EJ14" s="282"/>
      <c r="EK14" s="282"/>
      <c r="EL14" s="282"/>
      <c r="EM14" s="282"/>
      <c r="FL14" s="283"/>
      <c r="FM14" s="283"/>
      <c r="FN14" s="283"/>
      <c r="FO14" s="283"/>
      <c r="FP14" s="283"/>
      <c r="FQ14" s="283"/>
      <c r="FR14" s="283"/>
      <c r="FS14" s="283"/>
      <c r="FT14" s="283"/>
      <c r="FU14" s="283"/>
      <c r="FV14" s="283"/>
      <c r="FW14" s="283"/>
      <c r="FX14" s="283"/>
      <c r="FY14" s="283"/>
      <c r="ID14" s="283"/>
      <c r="IE14" s="283"/>
      <c r="IF14" s="283"/>
      <c r="IG14" s="283"/>
      <c r="IH14" s="283"/>
      <c r="II14" s="283"/>
      <c r="IJ14" s="283"/>
      <c r="IK14" s="283"/>
      <c r="IL14" s="283"/>
      <c r="IM14" s="283"/>
      <c r="IN14" s="283"/>
      <c r="IO14" s="283"/>
      <c r="IP14" s="283"/>
      <c r="IQ14" s="283"/>
      <c r="IR14" s="283"/>
      <c r="IS14" s="283"/>
      <c r="IT14" s="283"/>
      <c r="IU14" s="283"/>
    </row>
    <row r="15" spans="1:143" ht="14.25">
      <c r="A15" s="1436" t="s">
        <v>962</v>
      </c>
      <c r="B15" s="1437">
        <v>4908</v>
      </c>
      <c r="C15" s="1436">
        <f>B15</f>
        <v>4908</v>
      </c>
      <c r="D15" s="170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7"/>
      <c r="CM15" s="277"/>
      <c r="CN15" s="278"/>
      <c r="CO15" s="279"/>
      <c r="CP15" s="280"/>
      <c r="CQ15" s="280"/>
      <c r="CT15" s="276"/>
      <c r="CU15" s="276"/>
      <c r="CV15" s="276"/>
      <c r="CW15" s="276"/>
      <c r="CX15" s="276"/>
      <c r="CY15" s="276"/>
      <c r="CZ15" s="276"/>
      <c r="DI15" s="283"/>
      <c r="DJ15" s="283"/>
      <c r="DK15" s="283"/>
      <c r="DL15" s="283"/>
      <c r="DM15" s="283"/>
      <c r="DN15" s="283"/>
      <c r="DO15" s="283"/>
      <c r="DP15" s="283"/>
      <c r="DY15" s="283"/>
      <c r="DZ15" s="283"/>
      <c r="EA15" s="283"/>
      <c r="EB15" s="283"/>
      <c r="EC15" s="283"/>
      <c r="ED15" s="283"/>
      <c r="EE15" s="283"/>
      <c r="EF15" s="283"/>
      <c r="EG15" s="283"/>
      <c r="EH15" s="283"/>
      <c r="EI15" s="283"/>
      <c r="EJ15" s="283"/>
      <c r="EK15" s="283"/>
      <c r="EL15" s="283"/>
      <c r="EM15" s="283"/>
    </row>
    <row r="16" spans="1:120" ht="14.25">
      <c r="A16" s="1436" t="s">
        <v>965</v>
      </c>
      <c r="B16" s="1438">
        <f>0.0000000012</f>
        <v>1.2E-09</v>
      </c>
      <c r="C16" s="1695">
        <f>B16</f>
        <v>1.2E-09</v>
      </c>
      <c r="D16" s="1704"/>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77"/>
      <c r="CM16" s="277"/>
      <c r="CN16" s="278"/>
      <c r="CO16" s="279"/>
      <c r="CP16" s="280"/>
      <c r="CQ16" s="280"/>
      <c r="CT16" s="282"/>
      <c r="CU16" s="282"/>
      <c r="CV16" s="282"/>
      <c r="CW16" s="282"/>
      <c r="CX16" s="282"/>
      <c r="CY16" s="282"/>
      <c r="CZ16" s="282"/>
      <c r="DI16" s="285"/>
      <c r="DJ16" s="285"/>
      <c r="DK16" s="285"/>
      <c r="DL16" s="285"/>
      <c r="DM16" s="285"/>
      <c r="DN16" s="285"/>
      <c r="DO16" s="285"/>
      <c r="DP16" s="285"/>
    </row>
    <row r="17" spans="1:120" ht="12.75">
      <c r="A17" s="284"/>
      <c r="B17" s="274"/>
      <c r="C17" s="274"/>
      <c r="D17" s="1704"/>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77"/>
      <c r="CM17" s="277"/>
      <c r="CN17" s="278"/>
      <c r="CO17" s="279"/>
      <c r="CP17" s="280"/>
      <c r="CQ17" s="280"/>
      <c r="CT17" s="282"/>
      <c r="CU17" s="282"/>
      <c r="CV17" s="282"/>
      <c r="CW17" s="282"/>
      <c r="CX17" s="282"/>
      <c r="CY17" s="282"/>
      <c r="CZ17" s="282"/>
      <c r="DI17" s="285"/>
      <c r="DJ17" s="285"/>
      <c r="DK17" s="285"/>
      <c r="DL17" s="285"/>
      <c r="DM17" s="285"/>
      <c r="DN17" s="285"/>
      <c r="DO17" s="285"/>
      <c r="DP17" s="285"/>
    </row>
    <row r="18" spans="1:120" ht="29.25" customHeight="1">
      <c r="A18" s="2572" t="s">
        <v>945</v>
      </c>
      <c r="B18" s="2572"/>
      <c r="C18" s="2572"/>
      <c r="D18" s="1704"/>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77"/>
      <c r="CM18" s="277"/>
      <c r="CN18" s="278"/>
      <c r="CO18" s="279"/>
      <c r="CP18" s="280"/>
      <c r="CQ18" s="280"/>
      <c r="CT18" s="282"/>
      <c r="CU18" s="282"/>
      <c r="CV18" s="282"/>
      <c r="CW18" s="282"/>
      <c r="CX18" s="282"/>
      <c r="CY18" s="282"/>
      <c r="CZ18" s="282"/>
      <c r="DI18" s="285"/>
      <c r="DJ18" s="285"/>
      <c r="DK18" s="285"/>
      <c r="DL18" s="285"/>
      <c r="DM18" s="285"/>
      <c r="DN18" s="285"/>
      <c r="DO18" s="285"/>
      <c r="DP18" s="285"/>
    </row>
    <row r="19" spans="1:104" ht="15.75">
      <c r="A19" s="1436" t="s">
        <v>966</v>
      </c>
      <c r="B19" s="1439">
        <f>B7/B10</f>
        <v>7.194694694694695E-06</v>
      </c>
      <c r="C19" s="1439">
        <f>C7/C10</f>
        <v>7.194694694694695E-06</v>
      </c>
      <c r="D19" s="1703" t="s">
        <v>1295</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77"/>
      <c r="CM19" s="277"/>
      <c r="CN19" s="278"/>
      <c r="CO19" s="279"/>
      <c r="CP19" s="280"/>
      <c r="CQ19" s="280"/>
      <c r="CT19" s="286"/>
      <c r="CU19" s="286"/>
      <c r="CV19" s="286"/>
      <c r="CW19" s="286"/>
      <c r="CX19" s="286"/>
      <c r="CY19" s="286"/>
      <c r="CZ19" s="286"/>
    </row>
    <row r="20" spans="1:112" ht="15.75">
      <c r="A20" s="1432" t="s">
        <v>967</v>
      </c>
      <c r="B20" s="1439">
        <f>B19/B9</f>
        <v>4.641738512706255E-12</v>
      </c>
      <c r="C20" s="1439">
        <f>C19/C9</f>
        <v>5.124075645042694E-12</v>
      </c>
      <c r="D20" s="1703" t="s">
        <v>1295</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77"/>
      <c r="CM20" s="277"/>
      <c r="CN20" s="278"/>
      <c r="CO20" s="279"/>
      <c r="CP20" s="280"/>
      <c r="CQ20" s="280"/>
      <c r="CT20" s="283"/>
      <c r="CU20" s="283"/>
      <c r="CV20" s="283"/>
      <c r="CW20" s="283"/>
      <c r="CX20" s="283"/>
      <c r="CY20" s="283"/>
      <c r="CZ20" s="283"/>
      <c r="DA20" s="276"/>
      <c r="DB20" s="276"/>
      <c r="DC20" s="276"/>
      <c r="DD20" s="276"/>
      <c r="DE20" s="276"/>
      <c r="DF20" s="276"/>
      <c r="DG20" s="276"/>
      <c r="DH20" s="276"/>
    </row>
    <row r="21" spans="1:112" ht="15.75">
      <c r="A21" s="1436" t="s">
        <v>973</v>
      </c>
      <c r="B21" s="1427">
        <f>B8*2/(B10*B11)</f>
        <v>14.389389389389388</v>
      </c>
      <c r="C21" s="1427">
        <f>C8*2/(C10*C11)</f>
        <v>14.389389389389388</v>
      </c>
      <c r="D21" s="1703" t="s">
        <v>1295</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77"/>
      <c r="CM21" s="277"/>
      <c r="CN21" s="278"/>
      <c r="CO21" s="279"/>
      <c r="CP21" s="280"/>
      <c r="CQ21" s="280"/>
      <c r="CT21" s="285"/>
      <c r="CU21" s="285"/>
      <c r="CV21" s="285"/>
      <c r="CW21" s="285"/>
      <c r="CX21" s="285"/>
      <c r="CY21" s="285"/>
      <c r="CZ21" s="285"/>
      <c r="DA21" s="276"/>
      <c r="DB21" s="276"/>
      <c r="DC21" s="276"/>
      <c r="DD21" s="276"/>
      <c r="DE21" s="276"/>
      <c r="DF21" s="276"/>
      <c r="DG21" s="276"/>
      <c r="DH21" s="276"/>
    </row>
    <row r="22" spans="1:112" ht="12.75">
      <c r="A22" s="1432" t="s">
        <v>946</v>
      </c>
      <c r="B22" s="1430">
        <f>B14/(B13*B16)</f>
        <v>837.4999999999999</v>
      </c>
      <c r="C22" s="1430">
        <f>C14/(C13*C16)</f>
        <v>837.4999999999999</v>
      </c>
      <c r="D22" s="1703" t="s">
        <v>1295</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77"/>
      <c r="CM22" s="277"/>
      <c r="CN22" s="278"/>
      <c r="CO22" s="279"/>
      <c r="CP22" s="280"/>
      <c r="CQ22" s="280"/>
      <c r="CT22" s="285"/>
      <c r="CU22" s="285"/>
      <c r="CV22" s="285"/>
      <c r="CW22" s="285"/>
      <c r="CX22" s="285"/>
      <c r="CY22" s="285"/>
      <c r="CZ22" s="285"/>
      <c r="DA22" s="276"/>
      <c r="DB22" s="276"/>
      <c r="DC22" s="276"/>
      <c r="DD22" s="276"/>
      <c r="DE22" s="276"/>
      <c r="DF22" s="276"/>
      <c r="DG22" s="276"/>
      <c r="DH22" s="276"/>
    </row>
    <row r="23" spans="1:56" ht="12.75">
      <c r="A23" s="1432" t="s">
        <v>1645</v>
      </c>
      <c r="B23" s="1430">
        <f>B11*B21*B13/B14</f>
        <v>143.1780038745213</v>
      </c>
      <c r="C23" s="1430">
        <f>C11*C21*C13/C14</f>
        <v>143.1780038745213</v>
      </c>
      <c r="D23" s="1703" t="s">
        <v>1295</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56" ht="12.75">
      <c r="A24" s="1432" t="s">
        <v>527</v>
      </c>
      <c r="B24" s="1443">
        <v>0.875</v>
      </c>
      <c r="C24" s="1441">
        <v>0.875</v>
      </c>
      <c r="D24" s="1703" t="s">
        <v>1296</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43" ht="12.75">
      <c r="A25" s="1429" t="s">
        <v>528</v>
      </c>
      <c r="B25" s="1443">
        <v>0.25</v>
      </c>
      <c r="C25" s="1441">
        <v>0.25</v>
      </c>
      <c r="D25" s="1703" t="s">
        <v>1296</v>
      </c>
      <c r="J25" s="275"/>
      <c r="K25" s="275"/>
      <c r="L25" s="279"/>
      <c r="M25" s="279"/>
      <c r="N25" s="279"/>
      <c r="O25" s="279"/>
      <c r="P25" s="279"/>
      <c r="Q25" s="279"/>
      <c r="R25" s="279"/>
      <c r="AK25" s="277"/>
      <c r="AL25" s="277"/>
      <c r="AM25" s="278"/>
      <c r="AN25" s="279"/>
      <c r="AO25" s="280"/>
      <c r="AP25" s="280"/>
      <c r="AQ25" s="278"/>
    </row>
    <row r="26" spans="1:43" ht="12.75">
      <c r="A26" s="1429" t="s">
        <v>947</v>
      </c>
      <c r="B26" s="1442">
        <v>0.065</v>
      </c>
      <c r="C26" s="1441">
        <v>0.065</v>
      </c>
      <c r="D26" s="1703" t="s">
        <v>1296</v>
      </c>
      <c r="I26" s="275"/>
      <c r="L26" s="275"/>
      <c r="M26" s="275"/>
      <c r="AK26" s="277"/>
      <c r="AL26" s="277"/>
      <c r="AM26" s="278"/>
      <c r="AN26" s="279"/>
      <c r="AO26" s="280"/>
      <c r="AP26" s="280"/>
      <c r="AQ26" s="278"/>
    </row>
    <row r="27" spans="1:43" ht="12.75">
      <c r="A27" s="1429" t="s">
        <v>1644</v>
      </c>
      <c r="B27" s="1440">
        <f>B16/B11*B26*B23^B24*B22^B25</f>
        <v>0.0032302234981864894</v>
      </c>
      <c r="C27" s="1440">
        <f>C16/C11*C26*C23^C24*C22^C25</f>
        <v>0.0032302234981864894</v>
      </c>
      <c r="D27" s="1703" t="s">
        <v>1665</v>
      </c>
      <c r="E27"/>
      <c r="F27"/>
      <c r="G27"/>
      <c r="H27"/>
      <c r="I27" s="275"/>
      <c r="AK27" s="277"/>
      <c r="AL27" s="277"/>
      <c r="AM27" s="278"/>
      <c r="AN27" s="279"/>
      <c r="AO27" s="280"/>
      <c r="AP27" s="280"/>
      <c r="AQ27" s="278"/>
    </row>
    <row r="28" spans="2:43" ht="13.5" thickBot="1">
      <c r="B28" s="274"/>
      <c r="I28" s="275"/>
      <c r="AK28" s="277"/>
      <c r="AL28" s="277"/>
      <c r="AM28" s="278"/>
      <c r="AN28" s="279"/>
      <c r="AO28" s="280"/>
      <c r="AP28" s="280"/>
      <c r="AQ28" s="278"/>
    </row>
    <row r="29" spans="1:52" ht="12.75">
      <c r="A29" s="2573" t="s">
        <v>1666</v>
      </c>
      <c r="B29" s="2574"/>
      <c r="C29" s="2574"/>
      <c r="D29" s="2574"/>
      <c r="E29" s="2574"/>
      <c r="F29" s="2574"/>
      <c r="G29" s="2574"/>
      <c r="H29" s="2574"/>
      <c r="I29" s="2574"/>
      <c r="J29" s="2574"/>
      <c r="K29" s="2574"/>
      <c r="L29" s="2574"/>
      <c r="M29" s="2574"/>
      <c r="N29" s="2574"/>
      <c r="O29" s="2574"/>
      <c r="P29" s="2574"/>
      <c r="Q29" s="2574"/>
      <c r="R29" s="2574"/>
      <c r="S29" s="2574"/>
      <c r="T29" s="2574"/>
      <c r="U29" s="2574"/>
      <c r="V29" s="2574"/>
      <c r="W29" s="2574"/>
      <c r="X29" s="2574"/>
      <c r="Y29" s="2574"/>
      <c r="Z29" s="2574"/>
      <c r="AA29" s="2574"/>
      <c r="AB29" s="2574"/>
      <c r="AC29" s="2574"/>
      <c r="AD29" s="2574"/>
      <c r="AE29" s="2574"/>
      <c r="AF29" s="2574"/>
      <c r="AG29" s="2574"/>
      <c r="AH29" s="2574"/>
      <c r="AI29" s="2574"/>
      <c r="AJ29" s="2574"/>
      <c r="AK29" s="2574"/>
      <c r="AL29" s="2574"/>
      <c r="AM29" s="2574"/>
      <c r="AN29" s="2574"/>
      <c r="AO29" s="2574"/>
      <c r="AP29" s="2574"/>
      <c r="AQ29" s="2574"/>
      <c r="AR29" s="2574"/>
      <c r="AS29" s="2574"/>
      <c r="AT29" s="2574"/>
      <c r="AU29" s="2574"/>
      <c r="AV29" s="2574"/>
      <c r="AW29" s="2574"/>
      <c r="AX29" s="2574"/>
      <c r="AY29" s="2574"/>
      <c r="AZ29" s="2575"/>
    </row>
    <row r="30" spans="1:52" ht="12.75">
      <c r="A30" s="1448" t="s">
        <v>948</v>
      </c>
      <c r="B30" s="1449">
        <v>1</v>
      </c>
      <c r="C30" s="1449">
        <v>2</v>
      </c>
      <c r="D30" s="1449">
        <v>3</v>
      </c>
      <c r="E30" s="1449">
        <v>4</v>
      </c>
      <c r="F30" s="1449">
        <v>5</v>
      </c>
      <c r="G30" s="1449">
        <v>6</v>
      </c>
      <c r="H30" s="1449">
        <v>7</v>
      </c>
      <c r="I30" s="1449">
        <v>8</v>
      </c>
      <c r="J30" s="1449">
        <v>9</v>
      </c>
      <c r="K30" s="1449">
        <v>10</v>
      </c>
      <c r="L30" s="1449">
        <v>11</v>
      </c>
      <c r="M30" s="1449">
        <v>12</v>
      </c>
      <c r="N30" s="1449">
        <v>13</v>
      </c>
      <c r="O30" s="1449">
        <v>14</v>
      </c>
      <c r="P30" s="1449">
        <v>15</v>
      </c>
      <c r="Q30" s="1449">
        <v>16</v>
      </c>
      <c r="R30" s="1449">
        <v>17</v>
      </c>
      <c r="S30" s="1449">
        <v>18</v>
      </c>
      <c r="T30" s="1449">
        <v>19</v>
      </c>
      <c r="U30" s="1449">
        <v>20</v>
      </c>
      <c r="V30" s="1449">
        <v>21</v>
      </c>
      <c r="W30" s="1449">
        <v>22</v>
      </c>
      <c r="X30" s="1449">
        <v>23</v>
      </c>
      <c r="Y30" s="1449">
        <v>24</v>
      </c>
      <c r="Z30" s="1449">
        <v>25</v>
      </c>
      <c r="AA30" s="1449">
        <v>26</v>
      </c>
      <c r="AB30" s="1449">
        <v>27</v>
      </c>
      <c r="AC30" s="1449">
        <v>28</v>
      </c>
      <c r="AD30" s="1449">
        <v>29</v>
      </c>
      <c r="AE30" s="1449">
        <v>30</v>
      </c>
      <c r="AF30" s="1449">
        <v>31</v>
      </c>
      <c r="AG30" s="1449">
        <v>32</v>
      </c>
      <c r="AH30" s="1449">
        <v>33</v>
      </c>
      <c r="AI30" s="1449">
        <v>34</v>
      </c>
      <c r="AJ30" s="1449">
        <v>35</v>
      </c>
      <c r="AK30" s="1449">
        <v>36</v>
      </c>
      <c r="AL30" s="1449">
        <v>37</v>
      </c>
      <c r="AM30" s="1449">
        <v>38</v>
      </c>
      <c r="AN30" s="1449">
        <v>39</v>
      </c>
      <c r="AO30" s="1449">
        <v>40</v>
      </c>
      <c r="AP30" s="1449">
        <v>41</v>
      </c>
      <c r="AQ30" s="1449">
        <v>42</v>
      </c>
      <c r="AR30" s="1449">
        <v>43</v>
      </c>
      <c r="AS30" s="1449">
        <v>44</v>
      </c>
      <c r="AT30" s="1449">
        <v>45</v>
      </c>
      <c r="AU30" s="1449">
        <v>46</v>
      </c>
      <c r="AV30" s="1449">
        <v>47</v>
      </c>
      <c r="AW30" s="1449">
        <v>48</v>
      </c>
      <c r="AX30" s="1449">
        <v>49</v>
      </c>
      <c r="AY30" s="1449">
        <v>50</v>
      </c>
      <c r="AZ30" s="1450"/>
    </row>
    <row r="31" spans="1:52" ht="15.75">
      <c r="A31" s="1451" t="s">
        <v>974</v>
      </c>
      <c r="B31" s="1434">
        <f>B$19/B$27</f>
        <v>0.0022273055405404416</v>
      </c>
      <c r="C31" s="1434">
        <f>B$38/$B$27</f>
        <v>0.0020264804729384885</v>
      </c>
      <c r="D31" s="1434">
        <f aca="true" t="shared" si="0" ref="D31:AH31">C38/$B$27</f>
        <v>0.002028503420830567</v>
      </c>
      <c r="E31" s="1434">
        <f t="shared" si="0"/>
        <v>0.0020284832425517033</v>
      </c>
      <c r="F31" s="1434">
        <f t="shared" si="0"/>
        <v>0.0020284834438436135</v>
      </c>
      <c r="G31" s="1434">
        <f t="shared" si="0"/>
        <v>0.002028483441835593</v>
      </c>
      <c r="H31" s="1434">
        <f t="shared" si="0"/>
        <v>0.0020284834418556243</v>
      </c>
      <c r="I31" s="1434">
        <f t="shared" si="0"/>
        <v>0.0020284834418554244</v>
      </c>
      <c r="J31" s="1434">
        <f t="shared" si="0"/>
        <v>0.002028483441855426</v>
      </c>
      <c r="K31" s="1434">
        <f t="shared" si="0"/>
        <v>0.002028483441855426</v>
      </c>
      <c r="L31" s="1434">
        <f t="shared" si="0"/>
        <v>0.002028483441855426</v>
      </c>
      <c r="M31" s="1434">
        <f t="shared" si="0"/>
        <v>0.002028483441855426</v>
      </c>
      <c r="N31" s="1434">
        <f t="shared" si="0"/>
        <v>0.002028483441855426</v>
      </c>
      <c r="O31" s="1434">
        <f t="shared" si="0"/>
        <v>0.002028483441855426</v>
      </c>
      <c r="P31" s="1434">
        <f t="shared" si="0"/>
        <v>0.002028483441855426</v>
      </c>
      <c r="Q31" s="1434">
        <f t="shared" si="0"/>
        <v>0.002028483441855426</v>
      </c>
      <c r="R31" s="1434">
        <f t="shared" si="0"/>
        <v>0.002028483441855426</v>
      </c>
      <c r="S31" s="1434">
        <f t="shared" si="0"/>
        <v>0.002028483441855426</v>
      </c>
      <c r="T31" s="1434">
        <f t="shared" si="0"/>
        <v>0.002028483441855426</v>
      </c>
      <c r="U31" s="1434">
        <f t="shared" si="0"/>
        <v>0.002028483441855426</v>
      </c>
      <c r="V31" s="1434">
        <f t="shared" si="0"/>
        <v>0.002028483441855426</v>
      </c>
      <c r="W31" s="1434">
        <f t="shared" si="0"/>
        <v>0.002028483441855426</v>
      </c>
      <c r="X31" s="1434">
        <f t="shared" si="0"/>
        <v>0.002028483441855426</v>
      </c>
      <c r="Y31" s="1434">
        <f t="shared" si="0"/>
        <v>0.002028483441855426</v>
      </c>
      <c r="Z31" s="1434">
        <f t="shared" si="0"/>
        <v>0.002028483441855426</v>
      </c>
      <c r="AA31" s="1434">
        <f t="shared" si="0"/>
        <v>0.002028483441855426</v>
      </c>
      <c r="AB31" s="1434">
        <f t="shared" si="0"/>
        <v>0.002028483441855426</v>
      </c>
      <c r="AC31" s="1434">
        <f t="shared" si="0"/>
        <v>0.002028483441855426</v>
      </c>
      <c r="AD31" s="1434">
        <f t="shared" si="0"/>
        <v>0.002028483441855426</v>
      </c>
      <c r="AE31" s="1434">
        <f t="shared" si="0"/>
        <v>0.002028483441855426</v>
      </c>
      <c r="AF31" s="1434">
        <f t="shared" si="0"/>
        <v>0.002028483441855426</v>
      </c>
      <c r="AG31" s="1434">
        <f t="shared" si="0"/>
        <v>0.002028483441855426</v>
      </c>
      <c r="AH31" s="1434">
        <f t="shared" si="0"/>
        <v>0.002028483441855426</v>
      </c>
      <c r="AI31" s="1434">
        <f aca="true" t="shared" si="1" ref="AI31:AZ31">AH38/$B$27</f>
        <v>0.002028483441855426</v>
      </c>
      <c r="AJ31" s="1434">
        <f t="shared" si="1"/>
        <v>0.002028483441855426</v>
      </c>
      <c r="AK31" s="1434">
        <f t="shared" si="1"/>
        <v>0.002028483441855426</v>
      </c>
      <c r="AL31" s="1434">
        <f t="shared" si="1"/>
        <v>0.002028483441855426</v>
      </c>
      <c r="AM31" s="1434">
        <f t="shared" si="1"/>
        <v>0.002028483441855426</v>
      </c>
      <c r="AN31" s="1434">
        <f t="shared" si="1"/>
        <v>0.002028483441855426</v>
      </c>
      <c r="AO31" s="1434">
        <f t="shared" si="1"/>
        <v>0.002028483441855426</v>
      </c>
      <c r="AP31" s="1434">
        <f t="shared" si="1"/>
        <v>0.002028483441855426</v>
      </c>
      <c r="AQ31" s="1434">
        <f t="shared" si="1"/>
        <v>0.002028483441855426</v>
      </c>
      <c r="AR31" s="1434">
        <f t="shared" si="1"/>
        <v>0.002028483441855426</v>
      </c>
      <c r="AS31" s="1434">
        <f t="shared" si="1"/>
        <v>0.002028483441855426</v>
      </c>
      <c r="AT31" s="1434">
        <f t="shared" si="1"/>
        <v>0.002028483441855426</v>
      </c>
      <c r="AU31" s="1434">
        <f t="shared" si="1"/>
        <v>0.002028483441855426</v>
      </c>
      <c r="AV31" s="1434">
        <f t="shared" si="1"/>
        <v>0.002028483441855426</v>
      </c>
      <c r="AW31" s="1434">
        <f t="shared" si="1"/>
        <v>0.002028483441855426</v>
      </c>
      <c r="AX31" s="1434">
        <f t="shared" si="1"/>
        <v>0.002028483441855426</v>
      </c>
      <c r="AY31" s="1434">
        <f t="shared" si="1"/>
        <v>0.002028483441855426</v>
      </c>
      <c r="AZ31" s="1452">
        <f t="shared" si="1"/>
        <v>0.002028483441855426</v>
      </c>
    </row>
    <row r="32" spans="1:52" ht="12.75">
      <c r="A32" s="1451" t="s">
        <v>1534</v>
      </c>
      <c r="B32" s="1444">
        <f>B$7/B$8</f>
        <v>0.1</v>
      </c>
      <c r="C32" s="1444">
        <f>B$38*$B$10/$B$8</f>
        <v>0.09098349714726502</v>
      </c>
      <c r="D32" s="1444">
        <f aca="true" t="shared" si="2" ref="D32:AH32">C38*$B$10/$B$8</f>
        <v>0.09107432204107765</v>
      </c>
      <c r="E32" s="1444">
        <f t="shared" si="2"/>
        <v>0.09107341609088374</v>
      </c>
      <c r="F32" s="1444">
        <f t="shared" si="2"/>
        <v>0.09107342512834656</v>
      </c>
      <c r="G32" s="1444">
        <f t="shared" si="2"/>
        <v>0.09107342503819187</v>
      </c>
      <c r="H32" s="1444">
        <f t="shared" si="2"/>
        <v>0.09107342503909123</v>
      </c>
      <c r="I32" s="1444">
        <f t="shared" si="2"/>
        <v>0.09107342503908225</v>
      </c>
      <c r="J32" s="1444">
        <f t="shared" si="2"/>
        <v>0.09107342503908232</v>
      </c>
      <c r="K32" s="1444">
        <f t="shared" si="2"/>
        <v>0.09107342503908232</v>
      </c>
      <c r="L32" s="1444">
        <f t="shared" si="2"/>
        <v>0.09107342503908232</v>
      </c>
      <c r="M32" s="1444">
        <f t="shared" si="2"/>
        <v>0.09107342503908232</v>
      </c>
      <c r="N32" s="1444">
        <f t="shared" si="2"/>
        <v>0.09107342503908232</v>
      </c>
      <c r="O32" s="1444">
        <f t="shared" si="2"/>
        <v>0.09107342503908232</v>
      </c>
      <c r="P32" s="1444">
        <f t="shared" si="2"/>
        <v>0.09107342503908232</v>
      </c>
      <c r="Q32" s="1444">
        <f t="shared" si="2"/>
        <v>0.09107342503908232</v>
      </c>
      <c r="R32" s="1444">
        <f t="shared" si="2"/>
        <v>0.09107342503908232</v>
      </c>
      <c r="S32" s="1444">
        <f t="shared" si="2"/>
        <v>0.09107342503908232</v>
      </c>
      <c r="T32" s="1444">
        <f t="shared" si="2"/>
        <v>0.09107342503908232</v>
      </c>
      <c r="U32" s="1444">
        <f t="shared" si="2"/>
        <v>0.09107342503908232</v>
      </c>
      <c r="V32" s="1444">
        <f t="shared" si="2"/>
        <v>0.09107342503908232</v>
      </c>
      <c r="W32" s="1444">
        <f t="shared" si="2"/>
        <v>0.09107342503908232</v>
      </c>
      <c r="X32" s="1444">
        <f t="shared" si="2"/>
        <v>0.09107342503908232</v>
      </c>
      <c r="Y32" s="1444">
        <f t="shared" si="2"/>
        <v>0.09107342503908232</v>
      </c>
      <c r="Z32" s="1444">
        <f t="shared" si="2"/>
        <v>0.09107342503908232</v>
      </c>
      <c r="AA32" s="1444">
        <f t="shared" si="2"/>
        <v>0.09107342503908232</v>
      </c>
      <c r="AB32" s="1444">
        <f t="shared" si="2"/>
        <v>0.09107342503908232</v>
      </c>
      <c r="AC32" s="1444">
        <f t="shared" si="2"/>
        <v>0.09107342503908232</v>
      </c>
      <c r="AD32" s="1444">
        <f t="shared" si="2"/>
        <v>0.09107342503908232</v>
      </c>
      <c r="AE32" s="1444">
        <f t="shared" si="2"/>
        <v>0.09107342503908232</v>
      </c>
      <c r="AF32" s="1444">
        <f t="shared" si="2"/>
        <v>0.09107342503908232</v>
      </c>
      <c r="AG32" s="1444">
        <f t="shared" si="2"/>
        <v>0.09107342503908232</v>
      </c>
      <c r="AH32" s="1444">
        <f t="shared" si="2"/>
        <v>0.09107342503908232</v>
      </c>
      <c r="AI32" s="1444">
        <f aca="true" t="shared" si="3" ref="AI32:AZ32">AH38*$B$10/$B$8</f>
        <v>0.09107342503908232</v>
      </c>
      <c r="AJ32" s="1444">
        <f t="shared" si="3"/>
        <v>0.09107342503908232</v>
      </c>
      <c r="AK32" s="1444">
        <f t="shared" si="3"/>
        <v>0.09107342503908232</v>
      </c>
      <c r="AL32" s="1444">
        <f t="shared" si="3"/>
        <v>0.09107342503908232</v>
      </c>
      <c r="AM32" s="1444">
        <f t="shared" si="3"/>
        <v>0.09107342503908232</v>
      </c>
      <c r="AN32" s="1444">
        <f t="shared" si="3"/>
        <v>0.09107342503908232</v>
      </c>
      <c r="AO32" s="1444">
        <f t="shared" si="3"/>
        <v>0.09107342503908232</v>
      </c>
      <c r="AP32" s="1444">
        <f t="shared" si="3"/>
        <v>0.09107342503908232</v>
      </c>
      <c r="AQ32" s="1444">
        <f t="shared" si="3"/>
        <v>0.09107342503908232</v>
      </c>
      <c r="AR32" s="1444">
        <f t="shared" si="3"/>
        <v>0.09107342503908232</v>
      </c>
      <c r="AS32" s="1444">
        <f t="shared" si="3"/>
        <v>0.09107342503908232</v>
      </c>
      <c r="AT32" s="1444">
        <f t="shared" si="3"/>
        <v>0.09107342503908232</v>
      </c>
      <c r="AU32" s="1444">
        <f t="shared" si="3"/>
        <v>0.09107342503908232</v>
      </c>
      <c r="AV32" s="1444">
        <f t="shared" si="3"/>
        <v>0.09107342503908232</v>
      </c>
      <c r="AW32" s="1444">
        <f t="shared" si="3"/>
        <v>0.09107342503908232</v>
      </c>
      <c r="AX32" s="1444">
        <f t="shared" si="3"/>
        <v>0.09107342503908232</v>
      </c>
      <c r="AY32" s="1444">
        <f t="shared" si="3"/>
        <v>0.09107342503908232</v>
      </c>
      <c r="AZ32" s="1453">
        <f t="shared" si="3"/>
        <v>0.09107342503908232</v>
      </c>
    </row>
    <row r="33" spans="1:52" ht="14.25">
      <c r="A33" s="1451" t="s">
        <v>975</v>
      </c>
      <c r="B33" s="1425">
        <f>'{f}RO&amp;NF Input'!P$16</f>
        <v>0.996</v>
      </c>
      <c r="C33" s="1425">
        <f>1-B$36/B$35</f>
        <v>0.996</v>
      </c>
      <c r="D33" s="1425">
        <f aca="true" t="shared" si="4" ref="D33:AH33">1-C36/C35</f>
        <v>0.996</v>
      </c>
      <c r="E33" s="1425">
        <f t="shared" si="4"/>
        <v>0.996</v>
      </c>
      <c r="F33" s="1425">
        <f t="shared" si="4"/>
        <v>0.996</v>
      </c>
      <c r="G33" s="1425">
        <f t="shared" si="4"/>
        <v>0.996</v>
      </c>
      <c r="H33" s="1425">
        <f t="shared" si="4"/>
        <v>0.996</v>
      </c>
      <c r="I33" s="1425">
        <f t="shared" si="4"/>
        <v>0.996</v>
      </c>
      <c r="J33" s="1425">
        <f t="shared" si="4"/>
        <v>0.996</v>
      </c>
      <c r="K33" s="1425">
        <f t="shared" si="4"/>
        <v>0.996</v>
      </c>
      <c r="L33" s="1425">
        <f t="shared" si="4"/>
        <v>0.996</v>
      </c>
      <c r="M33" s="1425">
        <f t="shared" si="4"/>
        <v>0.996</v>
      </c>
      <c r="N33" s="1425">
        <f t="shared" si="4"/>
        <v>0.996</v>
      </c>
      <c r="O33" s="1425">
        <f t="shared" si="4"/>
        <v>0.996</v>
      </c>
      <c r="P33" s="1425">
        <f t="shared" si="4"/>
        <v>0.996</v>
      </c>
      <c r="Q33" s="1425">
        <f t="shared" si="4"/>
        <v>0.996</v>
      </c>
      <c r="R33" s="1425">
        <f t="shared" si="4"/>
        <v>0.996</v>
      </c>
      <c r="S33" s="1425">
        <f t="shared" si="4"/>
        <v>0.996</v>
      </c>
      <c r="T33" s="1425">
        <f t="shared" si="4"/>
        <v>0.996</v>
      </c>
      <c r="U33" s="1425">
        <f t="shared" si="4"/>
        <v>0.996</v>
      </c>
      <c r="V33" s="1425">
        <f t="shared" si="4"/>
        <v>0.996</v>
      </c>
      <c r="W33" s="1425">
        <f t="shared" si="4"/>
        <v>0.996</v>
      </c>
      <c r="X33" s="1425">
        <f t="shared" si="4"/>
        <v>0.996</v>
      </c>
      <c r="Y33" s="1425">
        <f t="shared" si="4"/>
        <v>0.996</v>
      </c>
      <c r="Z33" s="1425">
        <f t="shared" si="4"/>
        <v>0.996</v>
      </c>
      <c r="AA33" s="1425">
        <f t="shared" si="4"/>
        <v>0.996</v>
      </c>
      <c r="AB33" s="1425">
        <f t="shared" si="4"/>
        <v>0.996</v>
      </c>
      <c r="AC33" s="1425">
        <f t="shared" si="4"/>
        <v>0.996</v>
      </c>
      <c r="AD33" s="1425">
        <f t="shared" si="4"/>
        <v>0.996</v>
      </c>
      <c r="AE33" s="1425">
        <f t="shared" si="4"/>
        <v>0.996</v>
      </c>
      <c r="AF33" s="1425">
        <f t="shared" si="4"/>
        <v>0.996</v>
      </c>
      <c r="AG33" s="1425">
        <f t="shared" si="4"/>
        <v>0.996</v>
      </c>
      <c r="AH33" s="1425">
        <f t="shared" si="4"/>
        <v>0.996</v>
      </c>
      <c r="AI33" s="1425">
        <f aca="true" t="shared" si="5" ref="AI33:AZ33">1-AH36/AH35</f>
        <v>0.996</v>
      </c>
      <c r="AJ33" s="1425">
        <f t="shared" si="5"/>
        <v>0.996</v>
      </c>
      <c r="AK33" s="1425">
        <f t="shared" si="5"/>
        <v>0.996</v>
      </c>
      <c r="AL33" s="1425">
        <f t="shared" si="5"/>
        <v>0.996</v>
      </c>
      <c r="AM33" s="1425">
        <f t="shared" si="5"/>
        <v>0.996</v>
      </c>
      <c r="AN33" s="1425">
        <f t="shared" si="5"/>
        <v>0.996</v>
      </c>
      <c r="AO33" s="1425">
        <f t="shared" si="5"/>
        <v>0.996</v>
      </c>
      <c r="AP33" s="1425">
        <f t="shared" si="5"/>
        <v>0.996</v>
      </c>
      <c r="AQ33" s="1425">
        <f t="shared" si="5"/>
        <v>0.996</v>
      </c>
      <c r="AR33" s="1425">
        <f t="shared" si="5"/>
        <v>0.996</v>
      </c>
      <c r="AS33" s="1425">
        <f t="shared" si="5"/>
        <v>0.996</v>
      </c>
      <c r="AT33" s="1425">
        <f t="shared" si="5"/>
        <v>0.996</v>
      </c>
      <c r="AU33" s="1425">
        <f t="shared" si="5"/>
        <v>0.996</v>
      </c>
      <c r="AV33" s="1425">
        <f t="shared" si="5"/>
        <v>0.996</v>
      </c>
      <c r="AW33" s="1425">
        <f t="shared" si="5"/>
        <v>0.996</v>
      </c>
      <c r="AX33" s="1425">
        <f t="shared" si="5"/>
        <v>0.996</v>
      </c>
      <c r="AY33" s="1425">
        <f t="shared" si="5"/>
        <v>0.996</v>
      </c>
      <c r="AZ33" s="1454">
        <f t="shared" si="5"/>
        <v>0.996</v>
      </c>
    </row>
    <row r="34" spans="1:52" ht="15.75">
      <c r="A34" s="1451" t="s">
        <v>976</v>
      </c>
      <c r="B34" s="1444">
        <f>1-B$36/$B$12</f>
        <v>0.9955476683248639</v>
      </c>
      <c r="C34" s="1444">
        <f>1-C$36/$B$12</f>
        <v>0.9955925174818172</v>
      </c>
      <c r="D34" s="1444">
        <f aca="true" t="shared" si="6" ref="D34:AG34">1-D36/$B$12</f>
        <v>0.9955920701253631</v>
      </c>
      <c r="E34" s="1444">
        <f t="shared" si="6"/>
        <v>0.9955920745880448</v>
      </c>
      <c r="F34" s="1444">
        <f t="shared" si="6"/>
        <v>0.9955920745435266</v>
      </c>
      <c r="G34" s="1444">
        <f t="shared" si="6"/>
        <v>0.9955920745439707</v>
      </c>
      <c r="H34" s="1444">
        <f t="shared" si="6"/>
        <v>0.9955920745439663</v>
      </c>
      <c r="I34" s="1444">
        <f t="shared" si="6"/>
        <v>0.9955920745439663</v>
      </c>
      <c r="J34" s="1444">
        <f t="shared" si="6"/>
        <v>0.9955920745439663</v>
      </c>
      <c r="K34" s="1444">
        <f t="shared" si="6"/>
        <v>0.9955920745439663</v>
      </c>
      <c r="L34" s="1444">
        <f t="shared" si="6"/>
        <v>0.9955920745439663</v>
      </c>
      <c r="M34" s="1444">
        <f t="shared" si="6"/>
        <v>0.9955920745439663</v>
      </c>
      <c r="N34" s="1444">
        <f t="shared" si="6"/>
        <v>0.9955920745439663</v>
      </c>
      <c r="O34" s="1444">
        <f t="shared" si="6"/>
        <v>0.9955920745439663</v>
      </c>
      <c r="P34" s="1444">
        <f t="shared" si="6"/>
        <v>0.9955920745439663</v>
      </c>
      <c r="Q34" s="1444">
        <f t="shared" si="6"/>
        <v>0.9955920745439663</v>
      </c>
      <c r="R34" s="1444">
        <f t="shared" si="6"/>
        <v>0.9955920745439663</v>
      </c>
      <c r="S34" s="1444">
        <f t="shared" si="6"/>
        <v>0.9955920745439663</v>
      </c>
      <c r="T34" s="1444">
        <f t="shared" si="6"/>
        <v>0.9955920745439663</v>
      </c>
      <c r="U34" s="1444">
        <f t="shared" si="6"/>
        <v>0.9955920745439663</v>
      </c>
      <c r="V34" s="1444">
        <f t="shared" si="6"/>
        <v>0.9955920745439663</v>
      </c>
      <c r="W34" s="1444">
        <f t="shared" si="6"/>
        <v>0.9955920745439663</v>
      </c>
      <c r="X34" s="1444">
        <f t="shared" si="6"/>
        <v>0.9955920745439663</v>
      </c>
      <c r="Y34" s="1444">
        <f t="shared" si="6"/>
        <v>0.9955920745439663</v>
      </c>
      <c r="Z34" s="1444">
        <f t="shared" si="6"/>
        <v>0.9955920745439663</v>
      </c>
      <c r="AA34" s="1444">
        <f t="shared" si="6"/>
        <v>0.9955920745439663</v>
      </c>
      <c r="AB34" s="1444">
        <f t="shared" si="6"/>
        <v>0.9955920745439663</v>
      </c>
      <c r="AC34" s="1444">
        <f t="shared" si="6"/>
        <v>0.9955920745439663</v>
      </c>
      <c r="AD34" s="1444">
        <f t="shared" si="6"/>
        <v>0.9955920745439663</v>
      </c>
      <c r="AE34" s="1444">
        <f t="shared" si="6"/>
        <v>0.9955920745439663</v>
      </c>
      <c r="AF34" s="1444">
        <f t="shared" si="6"/>
        <v>0.9955920745439663</v>
      </c>
      <c r="AG34" s="1444">
        <f t="shared" si="6"/>
        <v>0.9955920745439663</v>
      </c>
      <c r="AH34" s="1444">
        <f aca="true" t="shared" si="7" ref="AH34:AZ34">1-AH36/$B$12</f>
        <v>0.9955920745439663</v>
      </c>
      <c r="AI34" s="1444">
        <f t="shared" si="7"/>
        <v>0.9955920745439663</v>
      </c>
      <c r="AJ34" s="1444">
        <f t="shared" si="7"/>
        <v>0.9955920745439663</v>
      </c>
      <c r="AK34" s="1444">
        <f t="shared" si="7"/>
        <v>0.9955920745439663</v>
      </c>
      <c r="AL34" s="1444">
        <f t="shared" si="7"/>
        <v>0.9955920745439663</v>
      </c>
      <c r="AM34" s="1444">
        <f t="shared" si="7"/>
        <v>0.9955920745439663</v>
      </c>
      <c r="AN34" s="1444">
        <f t="shared" si="7"/>
        <v>0.9955920745439663</v>
      </c>
      <c r="AO34" s="1444">
        <f t="shared" si="7"/>
        <v>0.9955920745439663</v>
      </c>
      <c r="AP34" s="1444">
        <f t="shared" si="7"/>
        <v>0.9955920745439663</v>
      </c>
      <c r="AQ34" s="1444">
        <f t="shared" si="7"/>
        <v>0.9955920745439663</v>
      </c>
      <c r="AR34" s="1444">
        <f t="shared" si="7"/>
        <v>0.9955920745439663</v>
      </c>
      <c r="AS34" s="1444">
        <f t="shared" si="7"/>
        <v>0.9955920745439663</v>
      </c>
      <c r="AT34" s="1444">
        <f t="shared" si="7"/>
        <v>0.9955920745439663</v>
      </c>
      <c r="AU34" s="1444">
        <f t="shared" si="7"/>
        <v>0.9955920745439663</v>
      </c>
      <c r="AV34" s="1444">
        <f t="shared" si="7"/>
        <v>0.9955920745439663</v>
      </c>
      <c r="AW34" s="1444">
        <f t="shared" si="7"/>
        <v>0.9955920745439663</v>
      </c>
      <c r="AX34" s="1444">
        <f t="shared" si="7"/>
        <v>0.9955920745439663</v>
      </c>
      <c r="AY34" s="1444">
        <f t="shared" si="7"/>
        <v>0.9955920745439663</v>
      </c>
      <c r="AZ34" s="1453">
        <f t="shared" si="7"/>
        <v>0.9955920745439663</v>
      </c>
    </row>
    <row r="35" spans="1:52" ht="15.75">
      <c r="A35" s="1451" t="s">
        <v>977</v>
      </c>
      <c r="B35" s="1444">
        <f>B$37*(B$39/($B$33+(1-$B$33)*B$39))</f>
        <v>28.58945853041187</v>
      </c>
      <c r="C35" s="1439">
        <f aca="true" t="shared" si="8" ref="C35:AG35">C37*(C39/($B$33+(1-$B$33)*C39))</f>
        <v>28.30147164929</v>
      </c>
      <c r="D35" s="1439">
        <f t="shared" si="8"/>
        <v>28.304344229260632</v>
      </c>
      <c r="E35" s="1439">
        <f t="shared" si="8"/>
        <v>28.304315573342407</v>
      </c>
      <c r="F35" s="1439">
        <f t="shared" si="8"/>
        <v>28.3043158592042</v>
      </c>
      <c r="G35" s="1439">
        <f t="shared" si="8"/>
        <v>28.30431585635253</v>
      </c>
      <c r="H35" s="1439">
        <f t="shared" si="8"/>
        <v>28.30431585638098</v>
      </c>
      <c r="I35" s="1439">
        <f t="shared" si="8"/>
        <v>28.304315856380697</v>
      </c>
      <c r="J35" s="1439">
        <f t="shared" si="8"/>
        <v>28.3043158563807</v>
      </c>
      <c r="K35" s="1439">
        <f t="shared" si="8"/>
        <v>28.3043158563807</v>
      </c>
      <c r="L35" s="1439">
        <f t="shared" si="8"/>
        <v>28.3043158563807</v>
      </c>
      <c r="M35" s="1439">
        <f t="shared" si="8"/>
        <v>28.3043158563807</v>
      </c>
      <c r="N35" s="1439">
        <f t="shared" si="8"/>
        <v>28.3043158563807</v>
      </c>
      <c r="O35" s="1439">
        <f t="shared" si="8"/>
        <v>28.3043158563807</v>
      </c>
      <c r="P35" s="1439">
        <f t="shared" si="8"/>
        <v>28.3043158563807</v>
      </c>
      <c r="Q35" s="1439">
        <f t="shared" si="8"/>
        <v>28.3043158563807</v>
      </c>
      <c r="R35" s="1439">
        <f t="shared" si="8"/>
        <v>28.3043158563807</v>
      </c>
      <c r="S35" s="1439">
        <f t="shared" si="8"/>
        <v>28.3043158563807</v>
      </c>
      <c r="T35" s="1439">
        <f t="shared" si="8"/>
        <v>28.3043158563807</v>
      </c>
      <c r="U35" s="1439">
        <f t="shared" si="8"/>
        <v>28.3043158563807</v>
      </c>
      <c r="V35" s="1439">
        <f t="shared" si="8"/>
        <v>28.3043158563807</v>
      </c>
      <c r="W35" s="1439">
        <f t="shared" si="8"/>
        <v>28.3043158563807</v>
      </c>
      <c r="X35" s="1439">
        <f t="shared" si="8"/>
        <v>28.3043158563807</v>
      </c>
      <c r="Y35" s="1439">
        <f t="shared" si="8"/>
        <v>28.3043158563807</v>
      </c>
      <c r="Z35" s="1439">
        <f t="shared" si="8"/>
        <v>28.3043158563807</v>
      </c>
      <c r="AA35" s="1439">
        <f t="shared" si="8"/>
        <v>28.3043158563807</v>
      </c>
      <c r="AB35" s="1439">
        <f t="shared" si="8"/>
        <v>28.3043158563807</v>
      </c>
      <c r="AC35" s="1439">
        <f t="shared" si="8"/>
        <v>28.3043158563807</v>
      </c>
      <c r="AD35" s="1439">
        <f t="shared" si="8"/>
        <v>28.3043158563807</v>
      </c>
      <c r="AE35" s="1439">
        <f t="shared" si="8"/>
        <v>28.3043158563807</v>
      </c>
      <c r="AF35" s="1439">
        <f t="shared" si="8"/>
        <v>28.3043158563807</v>
      </c>
      <c r="AG35" s="1439">
        <f t="shared" si="8"/>
        <v>28.3043158563807</v>
      </c>
      <c r="AH35" s="1439">
        <f aca="true" t="shared" si="9" ref="AH35:AZ35">AH37*(AH39/($B$33+(1-$B$33)*AH39))</f>
        <v>28.3043158563807</v>
      </c>
      <c r="AI35" s="1439">
        <f t="shared" si="9"/>
        <v>28.3043158563807</v>
      </c>
      <c r="AJ35" s="1439">
        <f t="shared" si="9"/>
        <v>28.3043158563807</v>
      </c>
      <c r="AK35" s="1439">
        <f t="shared" si="9"/>
        <v>28.3043158563807</v>
      </c>
      <c r="AL35" s="1439">
        <f t="shared" si="9"/>
        <v>28.3043158563807</v>
      </c>
      <c r="AM35" s="1439">
        <f t="shared" si="9"/>
        <v>28.3043158563807</v>
      </c>
      <c r="AN35" s="1439">
        <f t="shared" si="9"/>
        <v>28.3043158563807</v>
      </c>
      <c r="AO35" s="1439">
        <f t="shared" si="9"/>
        <v>28.3043158563807</v>
      </c>
      <c r="AP35" s="1439">
        <f t="shared" si="9"/>
        <v>28.3043158563807</v>
      </c>
      <c r="AQ35" s="1439">
        <f t="shared" si="9"/>
        <v>28.3043158563807</v>
      </c>
      <c r="AR35" s="1439">
        <f t="shared" si="9"/>
        <v>28.3043158563807</v>
      </c>
      <c r="AS35" s="1439">
        <f t="shared" si="9"/>
        <v>28.3043158563807</v>
      </c>
      <c r="AT35" s="1439">
        <f t="shared" si="9"/>
        <v>28.3043158563807</v>
      </c>
      <c r="AU35" s="1439">
        <f t="shared" si="9"/>
        <v>28.3043158563807</v>
      </c>
      <c r="AV35" s="1439">
        <f t="shared" si="9"/>
        <v>28.3043158563807</v>
      </c>
      <c r="AW35" s="1439">
        <f t="shared" si="9"/>
        <v>28.3043158563807</v>
      </c>
      <c r="AX35" s="1439">
        <f t="shared" si="9"/>
        <v>28.3043158563807</v>
      </c>
      <c r="AY35" s="1439">
        <f t="shared" si="9"/>
        <v>28.3043158563807</v>
      </c>
      <c r="AZ35" s="1455">
        <f t="shared" si="9"/>
        <v>28.3043158563807</v>
      </c>
    </row>
    <row r="36" spans="1:52" ht="15.75">
      <c r="A36" s="1451" t="s">
        <v>978</v>
      </c>
      <c r="B36" s="1444">
        <f>B$37*(1-$B$33)*B$39/($B$33+(1-$B$33)*B$39)</f>
        <v>0.11435783412164759</v>
      </c>
      <c r="C36" s="1439">
        <f aca="true" t="shared" si="10" ref="C36:AG36">C37*(1-$B$33)*C39/($B$33+(1-$B$33)*C39)</f>
        <v>0.11320588659716009</v>
      </c>
      <c r="D36" s="1439">
        <f t="shared" si="10"/>
        <v>0.11321737691704262</v>
      </c>
      <c r="E36" s="1439">
        <f t="shared" si="10"/>
        <v>0.11321726229336973</v>
      </c>
      <c r="F36" s="1439">
        <f t="shared" si="10"/>
        <v>0.1132172634368169</v>
      </c>
      <c r="G36" s="1439">
        <f t="shared" si="10"/>
        <v>0.11321726342541023</v>
      </c>
      <c r="H36" s="1439">
        <f t="shared" si="10"/>
        <v>0.11321726342552403</v>
      </c>
      <c r="I36" s="1439">
        <f t="shared" si="10"/>
        <v>0.1132172634255229</v>
      </c>
      <c r="J36" s="1439">
        <f t="shared" si="10"/>
        <v>0.11321726342552291</v>
      </c>
      <c r="K36" s="1439">
        <f t="shared" si="10"/>
        <v>0.11321726342552291</v>
      </c>
      <c r="L36" s="1439">
        <f t="shared" si="10"/>
        <v>0.11321726342552291</v>
      </c>
      <c r="M36" s="1439">
        <f t="shared" si="10"/>
        <v>0.11321726342552291</v>
      </c>
      <c r="N36" s="1439">
        <f t="shared" si="10"/>
        <v>0.11321726342552291</v>
      </c>
      <c r="O36" s="1439">
        <f t="shared" si="10"/>
        <v>0.11321726342552291</v>
      </c>
      <c r="P36" s="1439">
        <f t="shared" si="10"/>
        <v>0.11321726342552291</v>
      </c>
      <c r="Q36" s="1439">
        <f t="shared" si="10"/>
        <v>0.11321726342552291</v>
      </c>
      <c r="R36" s="1439">
        <f t="shared" si="10"/>
        <v>0.11321726342552291</v>
      </c>
      <c r="S36" s="1439">
        <f t="shared" si="10"/>
        <v>0.11321726342552291</v>
      </c>
      <c r="T36" s="1439">
        <f t="shared" si="10"/>
        <v>0.11321726342552291</v>
      </c>
      <c r="U36" s="1439">
        <f t="shared" si="10"/>
        <v>0.11321726342552291</v>
      </c>
      <c r="V36" s="1439">
        <f t="shared" si="10"/>
        <v>0.11321726342552291</v>
      </c>
      <c r="W36" s="1439">
        <f t="shared" si="10"/>
        <v>0.11321726342552291</v>
      </c>
      <c r="X36" s="1439">
        <f t="shared" si="10"/>
        <v>0.11321726342552291</v>
      </c>
      <c r="Y36" s="1439">
        <f t="shared" si="10"/>
        <v>0.11321726342552291</v>
      </c>
      <c r="Z36" s="1439">
        <f t="shared" si="10"/>
        <v>0.11321726342552291</v>
      </c>
      <c r="AA36" s="1439">
        <f t="shared" si="10"/>
        <v>0.11321726342552291</v>
      </c>
      <c r="AB36" s="1439">
        <f t="shared" si="10"/>
        <v>0.11321726342552291</v>
      </c>
      <c r="AC36" s="1439">
        <f t="shared" si="10"/>
        <v>0.11321726342552291</v>
      </c>
      <c r="AD36" s="1439">
        <f t="shared" si="10"/>
        <v>0.11321726342552291</v>
      </c>
      <c r="AE36" s="1439">
        <f t="shared" si="10"/>
        <v>0.11321726342552291</v>
      </c>
      <c r="AF36" s="1439">
        <f t="shared" si="10"/>
        <v>0.11321726342552291</v>
      </c>
      <c r="AG36" s="1439">
        <f t="shared" si="10"/>
        <v>0.11321726342552291</v>
      </c>
      <c r="AH36" s="1439">
        <f aca="true" t="shared" si="11" ref="AH36:AZ36">AH37*(1-$B$33)*AH39/($B$33+(1-$B$33)*AH39)</f>
        <v>0.11321726342552291</v>
      </c>
      <c r="AI36" s="1439">
        <f t="shared" si="11"/>
        <v>0.11321726342552291</v>
      </c>
      <c r="AJ36" s="1439">
        <f t="shared" si="11"/>
        <v>0.11321726342552291</v>
      </c>
      <c r="AK36" s="1439">
        <f t="shared" si="11"/>
        <v>0.11321726342552291</v>
      </c>
      <c r="AL36" s="1439">
        <f t="shared" si="11"/>
        <v>0.11321726342552291</v>
      </c>
      <c r="AM36" s="1439">
        <f t="shared" si="11"/>
        <v>0.11321726342552291</v>
      </c>
      <c r="AN36" s="1439">
        <f t="shared" si="11"/>
        <v>0.11321726342552291</v>
      </c>
      <c r="AO36" s="1439">
        <f t="shared" si="11"/>
        <v>0.11321726342552291</v>
      </c>
      <c r="AP36" s="1439">
        <f t="shared" si="11"/>
        <v>0.11321726342552291</v>
      </c>
      <c r="AQ36" s="1439">
        <f t="shared" si="11"/>
        <v>0.11321726342552291</v>
      </c>
      <c r="AR36" s="1439">
        <f t="shared" si="11"/>
        <v>0.11321726342552291</v>
      </c>
      <c r="AS36" s="1439">
        <f t="shared" si="11"/>
        <v>0.11321726342552291</v>
      </c>
      <c r="AT36" s="1439">
        <f t="shared" si="11"/>
        <v>0.11321726342552291</v>
      </c>
      <c r="AU36" s="1439">
        <f t="shared" si="11"/>
        <v>0.11321726342552291</v>
      </c>
      <c r="AV36" s="1439">
        <f t="shared" si="11"/>
        <v>0.11321726342552291</v>
      </c>
      <c r="AW36" s="1439">
        <f t="shared" si="11"/>
        <v>0.11321726342552291</v>
      </c>
      <c r="AX36" s="1439">
        <f t="shared" si="11"/>
        <v>0.11321726342552291</v>
      </c>
      <c r="AY36" s="1439">
        <f t="shared" si="11"/>
        <v>0.11321726342552291</v>
      </c>
      <c r="AZ36" s="1455">
        <f t="shared" si="11"/>
        <v>0.11321726342552291</v>
      </c>
    </row>
    <row r="37" spans="1:52" ht="15.75">
      <c r="A37" s="1451" t="s">
        <v>997</v>
      </c>
      <c r="B37" s="1444">
        <f>$B$12/((1-B$32)+(B$32*(1-B$33)*B$39)/(B$33+(1-B$33)*B$39))</f>
        <v>28.526106359374616</v>
      </c>
      <c r="C37" s="1444">
        <f aca="true" t="shared" si="12" ref="C37:AG37">$B$12/((1-C32)+(C32*(1-C33)*C39)/(C33+(1-C33)*C39))</f>
        <v>28.24440651937038</v>
      </c>
      <c r="D37" s="1444">
        <f t="shared" si="12"/>
        <v>28.24721639359787</v>
      </c>
      <c r="E37" s="1444">
        <f t="shared" si="12"/>
        <v>28.247188363212192</v>
      </c>
      <c r="F37" s="1444">
        <f t="shared" si="12"/>
        <v>28.247188642833883</v>
      </c>
      <c r="G37" s="1444">
        <f t="shared" si="12"/>
        <v>28.247188640044467</v>
      </c>
      <c r="H37" s="1444">
        <f t="shared" si="12"/>
        <v>28.247188640072295</v>
      </c>
      <c r="I37" s="1444">
        <f t="shared" si="12"/>
        <v>28.247188640072018</v>
      </c>
      <c r="J37" s="1444">
        <f t="shared" si="12"/>
        <v>28.24718864007202</v>
      </c>
      <c r="K37" s="1444">
        <f t="shared" si="12"/>
        <v>28.24718864007202</v>
      </c>
      <c r="L37" s="1444">
        <f t="shared" si="12"/>
        <v>28.24718864007202</v>
      </c>
      <c r="M37" s="1444">
        <f t="shared" si="12"/>
        <v>28.24718864007202</v>
      </c>
      <c r="N37" s="1444">
        <f t="shared" si="12"/>
        <v>28.24718864007202</v>
      </c>
      <c r="O37" s="1444">
        <f t="shared" si="12"/>
        <v>28.24718864007202</v>
      </c>
      <c r="P37" s="1444">
        <f t="shared" si="12"/>
        <v>28.24718864007202</v>
      </c>
      <c r="Q37" s="1444">
        <f t="shared" si="12"/>
        <v>28.24718864007202</v>
      </c>
      <c r="R37" s="1444">
        <f t="shared" si="12"/>
        <v>28.24718864007202</v>
      </c>
      <c r="S37" s="1444">
        <f t="shared" si="12"/>
        <v>28.24718864007202</v>
      </c>
      <c r="T37" s="1444">
        <f t="shared" si="12"/>
        <v>28.24718864007202</v>
      </c>
      <c r="U37" s="1444">
        <f t="shared" si="12"/>
        <v>28.24718864007202</v>
      </c>
      <c r="V37" s="1444">
        <f t="shared" si="12"/>
        <v>28.24718864007202</v>
      </c>
      <c r="W37" s="1444">
        <f t="shared" si="12"/>
        <v>28.24718864007202</v>
      </c>
      <c r="X37" s="1444">
        <f t="shared" si="12"/>
        <v>28.24718864007202</v>
      </c>
      <c r="Y37" s="1444">
        <f t="shared" si="12"/>
        <v>28.24718864007202</v>
      </c>
      <c r="Z37" s="1444">
        <f t="shared" si="12"/>
        <v>28.24718864007202</v>
      </c>
      <c r="AA37" s="1444">
        <f t="shared" si="12"/>
        <v>28.24718864007202</v>
      </c>
      <c r="AB37" s="1444">
        <f t="shared" si="12"/>
        <v>28.24718864007202</v>
      </c>
      <c r="AC37" s="1444">
        <f t="shared" si="12"/>
        <v>28.24718864007202</v>
      </c>
      <c r="AD37" s="1444">
        <f t="shared" si="12"/>
        <v>28.24718864007202</v>
      </c>
      <c r="AE37" s="1444">
        <f t="shared" si="12"/>
        <v>28.24718864007202</v>
      </c>
      <c r="AF37" s="1444">
        <f t="shared" si="12"/>
        <v>28.24718864007202</v>
      </c>
      <c r="AG37" s="1444">
        <f t="shared" si="12"/>
        <v>28.24718864007202</v>
      </c>
      <c r="AH37" s="1444">
        <f aca="true" t="shared" si="13" ref="AH37:AZ37">$B$12/((1-AH32)+(AH32*(1-AH33)*AH39)/(AH33+(1-AH33)*AH39))</f>
        <v>28.24718864007202</v>
      </c>
      <c r="AI37" s="1444">
        <f t="shared" si="13"/>
        <v>28.24718864007202</v>
      </c>
      <c r="AJ37" s="1444">
        <f t="shared" si="13"/>
        <v>28.24718864007202</v>
      </c>
      <c r="AK37" s="1444">
        <f t="shared" si="13"/>
        <v>28.24718864007202</v>
      </c>
      <c r="AL37" s="1444">
        <f t="shared" si="13"/>
        <v>28.24718864007202</v>
      </c>
      <c r="AM37" s="1444">
        <f t="shared" si="13"/>
        <v>28.24718864007202</v>
      </c>
      <c r="AN37" s="1444">
        <f t="shared" si="13"/>
        <v>28.24718864007202</v>
      </c>
      <c r="AO37" s="1444">
        <f t="shared" si="13"/>
        <v>28.24718864007202</v>
      </c>
      <c r="AP37" s="1444">
        <f t="shared" si="13"/>
        <v>28.24718864007202</v>
      </c>
      <c r="AQ37" s="1444">
        <f t="shared" si="13"/>
        <v>28.24718864007202</v>
      </c>
      <c r="AR37" s="1444">
        <f t="shared" si="13"/>
        <v>28.24718864007202</v>
      </c>
      <c r="AS37" s="1444">
        <f t="shared" si="13"/>
        <v>28.24718864007202</v>
      </c>
      <c r="AT37" s="1444">
        <f t="shared" si="13"/>
        <v>28.24718864007202</v>
      </c>
      <c r="AU37" s="1444">
        <f t="shared" si="13"/>
        <v>28.24718864007202</v>
      </c>
      <c r="AV37" s="1444">
        <f t="shared" si="13"/>
        <v>28.24718864007202</v>
      </c>
      <c r="AW37" s="1444">
        <f t="shared" si="13"/>
        <v>28.24718864007202</v>
      </c>
      <c r="AX37" s="1444">
        <f t="shared" si="13"/>
        <v>28.24718864007202</v>
      </c>
      <c r="AY37" s="1444">
        <f t="shared" si="13"/>
        <v>28.24718864007202</v>
      </c>
      <c r="AZ37" s="1453">
        <f t="shared" si="13"/>
        <v>28.24718864007202</v>
      </c>
    </row>
    <row r="38" spans="1:52" ht="15.75">
      <c r="A38" s="1456" t="s">
        <v>999</v>
      </c>
      <c r="B38" s="1427">
        <f>$B$20*($B$9-$B$15*$B$33*B35)</f>
        <v>6.545984842301975E-06</v>
      </c>
      <c r="C38" s="1439">
        <f aca="true" t="shared" si="14" ref="C38:AG38">$B$20*($B$9-$B$15*$B$33*C35)</f>
        <v>6.552519416118575E-06</v>
      </c>
      <c r="D38" s="1439">
        <f t="shared" si="14"/>
        <v>6.552454235768036E-06</v>
      </c>
      <c r="E38" s="1439">
        <f t="shared" si="14"/>
        <v>6.552454885985894E-06</v>
      </c>
      <c r="F38" s="1439">
        <f>$B$20*($B$9-$B$15*$B$33*F35)</f>
        <v>6.552454879499539E-06</v>
      </c>
      <c r="G38" s="1439">
        <f t="shared" si="14"/>
        <v>6.552454879564246E-06</v>
      </c>
      <c r="H38" s="1439">
        <f t="shared" si="14"/>
        <v>6.5524548795635995E-06</v>
      </c>
      <c r="I38" s="1439">
        <f t="shared" si="14"/>
        <v>6.552454879563605E-06</v>
      </c>
      <c r="J38" s="1439">
        <f t="shared" si="14"/>
        <v>6.552454879563605E-06</v>
      </c>
      <c r="K38" s="1439">
        <f t="shared" si="14"/>
        <v>6.552454879563605E-06</v>
      </c>
      <c r="L38" s="1439">
        <f t="shared" si="14"/>
        <v>6.552454879563605E-06</v>
      </c>
      <c r="M38" s="1439">
        <f t="shared" si="14"/>
        <v>6.552454879563605E-06</v>
      </c>
      <c r="N38" s="1439">
        <f t="shared" si="14"/>
        <v>6.552454879563605E-06</v>
      </c>
      <c r="O38" s="1439">
        <f t="shared" si="14"/>
        <v>6.552454879563605E-06</v>
      </c>
      <c r="P38" s="1439">
        <f t="shared" si="14"/>
        <v>6.552454879563605E-06</v>
      </c>
      <c r="Q38" s="1439">
        <f t="shared" si="14"/>
        <v>6.552454879563605E-06</v>
      </c>
      <c r="R38" s="1439">
        <f t="shared" si="14"/>
        <v>6.552454879563605E-06</v>
      </c>
      <c r="S38" s="1439">
        <f t="shared" si="14"/>
        <v>6.552454879563605E-06</v>
      </c>
      <c r="T38" s="1439">
        <f t="shared" si="14"/>
        <v>6.552454879563605E-06</v>
      </c>
      <c r="U38" s="1439">
        <f t="shared" si="14"/>
        <v>6.552454879563605E-06</v>
      </c>
      <c r="V38" s="1439">
        <f t="shared" si="14"/>
        <v>6.552454879563605E-06</v>
      </c>
      <c r="W38" s="1439">
        <f t="shared" si="14"/>
        <v>6.552454879563605E-06</v>
      </c>
      <c r="X38" s="1439">
        <f t="shared" si="14"/>
        <v>6.552454879563605E-06</v>
      </c>
      <c r="Y38" s="1439">
        <f t="shared" si="14"/>
        <v>6.552454879563605E-06</v>
      </c>
      <c r="Z38" s="1439">
        <f t="shared" si="14"/>
        <v>6.552454879563605E-06</v>
      </c>
      <c r="AA38" s="1439">
        <f t="shared" si="14"/>
        <v>6.552454879563605E-06</v>
      </c>
      <c r="AB38" s="1439">
        <f t="shared" si="14"/>
        <v>6.552454879563605E-06</v>
      </c>
      <c r="AC38" s="1439">
        <f t="shared" si="14"/>
        <v>6.552454879563605E-06</v>
      </c>
      <c r="AD38" s="1439">
        <f t="shared" si="14"/>
        <v>6.552454879563605E-06</v>
      </c>
      <c r="AE38" s="1439">
        <f t="shared" si="14"/>
        <v>6.552454879563605E-06</v>
      </c>
      <c r="AF38" s="1439">
        <f t="shared" si="14"/>
        <v>6.552454879563605E-06</v>
      </c>
      <c r="AG38" s="1439">
        <f t="shared" si="14"/>
        <v>6.552454879563605E-06</v>
      </c>
      <c r="AH38" s="1439">
        <f aca="true" t="shared" si="15" ref="AH38:AZ38">$B$20*($B$9-$B$15*$B$33*AH35)</f>
        <v>6.552454879563605E-06</v>
      </c>
      <c r="AI38" s="1439">
        <f t="shared" si="15"/>
        <v>6.552454879563605E-06</v>
      </c>
      <c r="AJ38" s="1439">
        <f t="shared" si="15"/>
        <v>6.552454879563605E-06</v>
      </c>
      <c r="AK38" s="1439">
        <f t="shared" si="15"/>
        <v>6.552454879563605E-06</v>
      </c>
      <c r="AL38" s="1439">
        <f t="shared" si="15"/>
        <v>6.552454879563605E-06</v>
      </c>
      <c r="AM38" s="1439">
        <f t="shared" si="15"/>
        <v>6.552454879563605E-06</v>
      </c>
      <c r="AN38" s="1439">
        <f t="shared" si="15"/>
        <v>6.552454879563605E-06</v>
      </c>
      <c r="AO38" s="1439">
        <f t="shared" si="15"/>
        <v>6.552454879563605E-06</v>
      </c>
      <c r="AP38" s="1439">
        <f t="shared" si="15"/>
        <v>6.552454879563605E-06</v>
      </c>
      <c r="AQ38" s="1439">
        <f t="shared" si="15"/>
        <v>6.552454879563605E-06</v>
      </c>
      <c r="AR38" s="1439">
        <f t="shared" si="15"/>
        <v>6.552454879563605E-06</v>
      </c>
      <c r="AS38" s="1439">
        <f t="shared" si="15"/>
        <v>6.552454879563605E-06</v>
      </c>
      <c r="AT38" s="1439">
        <f t="shared" si="15"/>
        <v>6.552454879563605E-06</v>
      </c>
      <c r="AU38" s="1439">
        <f t="shared" si="15"/>
        <v>6.552454879563605E-06</v>
      </c>
      <c r="AV38" s="1439">
        <f t="shared" si="15"/>
        <v>6.552454879563605E-06</v>
      </c>
      <c r="AW38" s="1439">
        <f t="shared" si="15"/>
        <v>6.552454879563605E-06</v>
      </c>
      <c r="AX38" s="1439">
        <f t="shared" si="15"/>
        <v>6.552454879563605E-06</v>
      </c>
      <c r="AY38" s="1439">
        <f t="shared" si="15"/>
        <v>6.552454879563605E-06</v>
      </c>
      <c r="AZ38" s="1455">
        <f t="shared" si="15"/>
        <v>6.552454879563605E-06</v>
      </c>
    </row>
    <row r="39" spans="1:52" ht="15.75">
      <c r="A39" s="1451" t="s">
        <v>998</v>
      </c>
      <c r="B39" s="1434">
        <f>EXP(B31)</f>
        <v>1.0022297878281214</v>
      </c>
      <c r="C39" s="1434">
        <f>EXP(C31)</f>
        <v>1.0020285351721936</v>
      </c>
      <c r="D39" s="1434">
        <f aca="true" t="shared" si="16" ref="D39:AG39">EXP(D31)</f>
        <v>1.002030562225757</v>
      </c>
      <c r="E39" s="1434">
        <f t="shared" si="16"/>
        <v>1.002030542006505</v>
      </c>
      <c r="F39" s="1434">
        <f t="shared" si="16"/>
        <v>1.0020305422082056</v>
      </c>
      <c r="G39" s="1434">
        <f t="shared" si="16"/>
        <v>1.0020305422061937</v>
      </c>
      <c r="H39" s="1434">
        <f t="shared" si="16"/>
        <v>1.0020305422062137</v>
      </c>
      <c r="I39" s="1434">
        <f t="shared" si="16"/>
        <v>1.0020305422062135</v>
      </c>
      <c r="J39" s="1434">
        <f t="shared" si="16"/>
        <v>1.0020305422062135</v>
      </c>
      <c r="K39" s="1434">
        <f t="shared" si="16"/>
        <v>1.0020305422062135</v>
      </c>
      <c r="L39" s="1434">
        <f t="shared" si="16"/>
        <v>1.0020305422062135</v>
      </c>
      <c r="M39" s="1434">
        <f t="shared" si="16"/>
        <v>1.0020305422062135</v>
      </c>
      <c r="N39" s="1434">
        <f t="shared" si="16"/>
        <v>1.0020305422062135</v>
      </c>
      <c r="O39" s="1434">
        <f t="shared" si="16"/>
        <v>1.0020305422062135</v>
      </c>
      <c r="P39" s="1434">
        <f t="shared" si="16"/>
        <v>1.0020305422062135</v>
      </c>
      <c r="Q39" s="1434">
        <f t="shared" si="16"/>
        <v>1.0020305422062135</v>
      </c>
      <c r="R39" s="1434">
        <f t="shared" si="16"/>
        <v>1.0020305422062135</v>
      </c>
      <c r="S39" s="1434">
        <f t="shared" si="16"/>
        <v>1.0020305422062135</v>
      </c>
      <c r="T39" s="1434">
        <f t="shared" si="16"/>
        <v>1.0020305422062135</v>
      </c>
      <c r="U39" s="1434">
        <f t="shared" si="16"/>
        <v>1.0020305422062135</v>
      </c>
      <c r="V39" s="1434">
        <f t="shared" si="16"/>
        <v>1.0020305422062135</v>
      </c>
      <c r="W39" s="1434">
        <f t="shared" si="16"/>
        <v>1.0020305422062135</v>
      </c>
      <c r="X39" s="1434">
        <f t="shared" si="16"/>
        <v>1.0020305422062135</v>
      </c>
      <c r="Y39" s="1434">
        <f t="shared" si="16"/>
        <v>1.0020305422062135</v>
      </c>
      <c r="Z39" s="1434">
        <f t="shared" si="16"/>
        <v>1.0020305422062135</v>
      </c>
      <c r="AA39" s="1434">
        <f t="shared" si="16"/>
        <v>1.0020305422062135</v>
      </c>
      <c r="AB39" s="1434">
        <f t="shared" si="16"/>
        <v>1.0020305422062135</v>
      </c>
      <c r="AC39" s="1434">
        <f t="shared" si="16"/>
        <v>1.0020305422062135</v>
      </c>
      <c r="AD39" s="1434">
        <f t="shared" si="16"/>
        <v>1.0020305422062135</v>
      </c>
      <c r="AE39" s="1434">
        <f t="shared" si="16"/>
        <v>1.0020305422062135</v>
      </c>
      <c r="AF39" s="1434">
        <f t="shared" si="16"/>
        <v>1.0020305422062135</v>
      </c>
      <c r="AG39" s="1434">
        <f t="shared" si="16"/>
        <v>1.0020305422062135</v>
      </c>
      <c r="AH39" s="1434">
        <f aca="true" t="shared" si="17" ref="AH39:AZ39">EXP(AH31)</f>
        <v>1.0020305422062135</v>
      </c>
      <c r="AI39" s="1434">
        <f t="shared" si="17"/>
        <v>1.0020305422062135</v>
      </c>
      <c r="AJ39" s="1434">
        <f t="shared" si="17"/>
        <v>1.0020305422062135</v>
      </c>
      <c r="AK39" s="1434">
        <f t="shared" si="17"/>
        <v>1.0020305422062135</v>
      </c>
      <c r="AL39" s="1434">
        <f t="shared" si="17"/>
        <v>1.0020305422062135</v>
      </c>
      <c r="AM39" s="1434">
        <f t="shared" si="17"/>
        <v>1.0020305422062135</v>
      </c>
      <c r="AN39" s="1434">
        <f t="shared" si="17"/>
        <v>1.0020305422062135</v>
      </c>
      <c r="AO39" s="1434">
        <f t="shared" si="17"/>
        <v>1.0020305422062135</v>
      </c>
      <c r="AP39" s="1434">
        <f t="shared" si="17"/>
        <v>1.0020305422062135</v>
      </c>
      <c r="AQ39" s="1434">
        <f t="shared" si="17"/>
        <v>1.0020305422062135</v>
      </c>
      <c r="AR39" s="1434">
        <f t="shared" si="17"/>
        <v>1.0020305422062135</v>
      </c>
      <c r="AS39" s="1434">
        <f t="shared" si="17"/>
        <v>1.0020305422062135</v>
      </c>
      <c r="AT39" s="1434">
        <f t="shared" si="17"/>
        <v>1.0020305422062135</v>
      </c>
      <c r="AU39" s="1434">
        <f t="shared" si="17"/>
        <v>1.0020305422062135</v>
      </c>
      <c r="AV39" s="1434">
        <f t="shared" si="17"/>
        <v>1.0020305422062135</v>
      </c>
      <c r="AW39" s="1434">
        <f t="shared" si="17"/>
        <v>1.0020305422062135</v>
      </c>
      <c r="AX39" s="1434">
        <f t="shared" si="17"/>
        <v>1.0020305422062135</v>
      </c>
      <c r="AY39" s="1434">
        <f t="shared" si="17"/>
        <v>1.0020305422062135</v>
      </c>
      <c r="AZ39" s="1452">
        <f t="shared" si="17"/>
        <v>1.0020305422062135</v>
      </c>
    </row>
    <row r="40" spans="1:52" ht="12.75">
      <c r="A40" s="1457"/>
      <c r="B40" s="1458"/>
      <c r="C40" s="1458"/>
      <c r="D40" s="1458"/>
      <c r="E40" s="1458"/>
      <c r="F40" s="1458"/>
      <c r="G40" s="1458"/>
      <c r="H40" s="1458"/>
      <c r="I40" s="1458"/>
      <c r="J40" s="1458"/>
      <c r="K40" s="1458"/>
      <c r="L40" s="1458"/>
      <c r="M40" s="1458"/>
      <c r="N40" s="1458"/>
      <c r="O40" s="1458"/>
      <c r="P40" s="1458"/>
      <c r="Q40" s="1458"/>
      <c r="R40" s="1458"/>
      <c r="S40" s="1458"/>
      <c r="T40" s="1458"/>
      <c r="U40" s="1458"/>
      <c r="V40" s="1458"/>
      <c r="W40" s="1458"/>
      <c r="X40" s="1458"/>
      <c r="Y40" s="1458"/>
      <c r="Z40" s="1458"/>
      <c r="AA40" s="1458"/>
      <c r="AB40" s="1458"/>
      <c r="AC40" s="1458"/>
      <c r="AD40" s="1458"/>
      <c r="AE40" s="1458"/>
      <c r="AF40" s="1458"/>
      <c r="AG40" s="1458"/>
      <c r="AH40" s="1458"/>
      <c r="AI40" s="1458"/>
      <c r="AJ40" s="1458"/>
      <c r="AK40" s="1458"/>
      <c r="AL40" s="1458"/>
      <c r="AM40" s="1458"/>
      <c r="AN40" s="1458"/>
      <c r="AO40" s="1458"/>
      <c r="AP40" s="1458"/>
      <c r="AQ40" s="1458"/>
      <c r="AR40" s="1458"/>
      <c r="AS40" s="1458"/>
      <c r="AT40" s="1458"/>
      <c r="AU40" s="1458"/>
      <c r="AV40" s="1458"/>
      <c r="AW40" s="1458"/>
      <c r="AX40" s="1458"/>
      <c r="AY40" s="1458"/>
      <c r="AZ40" s="1459"/>
    </row>
    <row r="41" spans="1:52" ht="12.75">
      <c r="A41" s="1448" t="s">
        <v>1008</v>
      </c>
      <c r="B41" s="1"/>
      <c r="C41" s="1"/>
      <c r="D41" s="1"/>
      <c r="E41" s="1"/>
      <c r="F41" s="1"/>
      <c r="G41" s="1"/>
      <c r="H41" s="1"/>
      <c r="I41" s="1"/>
      <c r="J41" s="1"/>
      <c r="K41" s="1"/>
      <c r="L41" s="1"/>
      <c r="M41" s="1"/>
      <c r="N41" s="1"/>
      <c r="O41" s="1"/>
      <c r="P41" s="1"/>
      <c r="Q41" s="1449"/>
      <c r="R41" s="1449"/>
      <c r="S41" s="1449"/>
      <c r="T41" s="1449"/>
      <c r="U41" s="1449"/>
      <c r="V41" s="1449"/>
      <c r="W41" s="1449"/>
      <c r="X41" s="1449"/>
      <c r="Y41" s="1449"/>
      <c r="Z41" s="1449"/>
      <c r="AA41" s="1449"/>
      <c r="AB41" s="1449"/>
      <c r="AC41" s="1449"/>
      <c r="AD41" s="1449"/>
      <c r="AE41" s="1449"/>
      <c r="AF41" s="1449"/>
      <c r="AG41" s="1449"/>
      <c r="AH41" s="1449"/>
      <c r="AI41" s="1449"/>
      <c r="AJ41" s="1449"/>
      <c r="AK41" s="1449"/>
      <c r="AL41" s="1449"/>
      <c r="AM41" s="1449"/>
      <c r="AN41" s="1449"/>
      <c r="AO41" s="1449"/>
      <c r="AP41" s="1449"/>
      <c r="AQ41" s="1449"/>
      <c r="AR41" s="1449"/>
      <c r="AS41" s="1449"/>
      <c r="AT41" s="1449"/>
      <c r="AU41" s="1449"/>
      <c r="AV41" s="1449"/>
      <c r="AW41" s="1449"/>
      <c r="AX41" s="1449"/>
      <c r="AY41" s="1449"/>
      <c r="AZ41" s="1450"/>
    </row>
    <row r="42" spans="1:52" ht="15.75">
      <c r="A42" s="1451" t="s">
        <v>974</v>
      </c>
      <c r="B42" s="1434">
        <f>$C19/$C27</f>
        <v>0.0022273055405404416</v>
      </c>
      <c r="C42" s="1434"/>
      <c r="D42" s="1434">
        <f aca="true" t="shared" si="18" ref="D42:AZ42">D$38/$C$27</f>
        <v>0.0020284832425517033</v>
      </c>
      <c r="E42" s="1434">
        <f t="shared" si="18"/>
        <v>0.0020284834438436135</v>
      </c>
      <c r="F42" s="1434">
        <f t="shared" si="18"/>
        <v>0.002028483441835593</v>
      </c>
      <c r="G42" s="1434">
        <f t="shared" si="18"/>
        <v>0.0020284834418556243</v>
      </c>
      <c r="H42" s="1434">
        <f t="shared" si="18"/>
        <v>0.0020284834418554244</v>
      </c>
      <c r="I42" s="1434">
        <f t="shared" si="18"/>
        <v>0.002028483441855426</v>
      </c>
      <c r="J42" s="1434">
        <f t="shared" si="18"/>
        <v>0.002028483441855426</v>
      </c>
      <c r="K42" s="1434">
        <f t="shared" si="18"/>
        <v>0.002028483441855426</v>
      </c>
      <c r="L42" s="1434">
        <f t="shared" si="18"/>
        <v>0.002028483441855426</v>
      </c>
      <c r="M42" s="1434">
        <f t="shared" si="18"/>
        <v>0.002028483441855426</v>
      </c>
      <c r="N42" s="1434">
        <f t="shared" si="18"/>
        <v>0.002028483441855426</v>
      </c>
      <c r="O42" s="1434">
        <f t="shared" si="18"/>
        <v>0.002028483441855426</v>
      </c>
      <c r="P42" s="1434">
        <f t="shared" si="18"/>
        <v>0.002028483441855426</v>
      </c>
      <c r="Q42" s="1434">
        <f t="shared" si="18"/>
        <v>0.002028483441855426</v>
      </c>
      <c r="R42" s="1434">
        <f t="shared" si="18"/>
        <v>0.002028483441855426</v>
      </c>
      <c r="S42" s="1434">
        <f t="shared" si="18"/>
        <v>0.002028483441855426</v>
      </c>
      <c r="T42" s="1434">
        <f t="shared" si="18"/>
        <v>0.002028483441855426</v>
      </c>
      <c r="U42" s="1434">
        <f t="shared" si="18"/>
        <v>0.002028483441855426</v>
      </c>
      <c r="V42" s="1434">
        <f t="shared" si="18"/>
        <v>0.002028483441855426</v>
      </c>
      <c r="W42" s="1434">
        <f t="shared" si="18"/>
        <v>0.002028483441855426</v>
      </c>
      <c r="X42" s="1434">
        <f t="shared" si="18"/>
        <v>0.002028483441855426</v>
      </c>
      <c r="Y42" s="1434">
        <f t="shared" si="18"/>
        <v>0.002028483441855426</v>
      </c>
      <c r="Z42" s="1434">
        <f t="shared" si="18"/>
        <v>0.002028483441855426</v>
      </c>
      <c r="AA42" s="1434">
        <f t="shared" si="18"/>
        <v>0.002028483441855426</v>
      </c>
      <c r="AB42" s="1434">
        <f t="shared" si="18"/>
        <v>0.002028483441855426</v>
      </c>
      <c r="AC42" s="1434">
        <f t="shared" si="18"/>
        <v>0.002028483441855426</v>
      </c>
      <c r="AD42" s="1434">
        <f t="shared" si="18"/>
        <v>0.002028483441855426</v>
      </c>
      <c r="AE42" s="1434">
        <f t="shared" si="18"/>
        <v>0.002028483441855426</v>
      </c>
      <c r="AF42" s="1434">
        <f t="shared" si="18"/>
        <v>0.002028483441855426</v>
      </c>
      <c r="AG42" s="1434">
        <f t="shared" si="18"/>
        <v>0.002028483441855426</v>
      </c>
      <c r="AH42" s="1434">
        <f t="shared" si="18"/>
        <v>0.002028483441855426</v>
      </c>
      <c r="AI42" s="1434">
        <f t="shared" si="18"/>
        <v>0.002028483441855426</v>
      </c>
      <c r="AJ42" s="1434">
        <f t="shared" si="18"/>
        <v>0.002028483441855426</v>
      </c>
      <c r="AK42" s="1434">
        <f t="shared" si="18"/>
        <v>0.002028483441855426</v>
      </c>
      <c r="AL42" s="1434">
        <f t="shared" si="18"/>
        <v>0.002028483441855426</v>
      </c>
      <c r="AM42" s="1434">
        <f t="shared" si="18"/>
        <v>0.002028483441855426</v>
      </c>
      <c r="AN42" s="1434">
        <f t="shared" si="18"/>
        <v>0.002028483441855426</v>
      </c>
      <c r="AO42" s="1434">
        <f t="shared" si="18"/>
        <v>0.002028483441855426</v>
      </c>
      <c r="AP42" s="1434">
        <f t="shared" si="18"/>
        <v>0.002028483441855426</v>
      </c>
      <c r="AQ42" s="1434">
        <f t="shared" si="18"/>
        <v>0.002028483441855426</v>
      </c>
      <c r="AR42" s="1434">
        <f t="shared" si="18"/>
        <v>0.002028483441855426</v>
      </c>
      <c r="AS42" s="1434">
        <f t="shared" si="18"/>
        <v>0.002028483441855426</v>
      </c>
      <c r="AT42" s="1434">
        <f t="shared" si="18"/>
        <v>0.002028483441855426</v>
      </c>
      <c r="AU42" s="1434">
        <f t="shared" si="18"/>
        <v>0.002028483441855426</v>
      </c>
      <c r="AV42" s="1434">
        <f t="shared" si="18"/>
        <v>0.002028483441855426</v>
      </c>
      <c r="AW42" s="1434">
        <f t="shared" si="18"/>
        <v>0.002028483441855426</v>
      </c>
      <c r="AX42" s="1434">
        <f t="shared" si="18"/>
        <v>0.002028483441855426</v>
      </c>
      <c r="AY42" s="1434">
        <f t="shared" si="18"/>
        <v>0.002028483441855426</v>
      </c>
      <c r="AZ42" s="1452">
        <f t="shared" si="18"/>
        <v>0.002028483441855426</v>
      </c>
    </row>
    <row r="43" spans="1:52" ht="12.75">
      <c r="A43" s="1451" t="s">
        <v>1534</v>
      </c>
      <c r="B43" s="1444">
        <f>$C7/$C8</f>
        <v>0.1</v>
      </c>
      <c r="C43" s="1444">
        <f>C$38*$C$10/$C$8</f>
        <v>0.09107432204107765</v>
      </c>
      <c r="D43" s="1444">
        <f aca="true" t="shared" si="19" ref="D43:AZ43">D$38*$C$10/$C$8</f>
        <v>0.09107341609088372</v>
      </c>
      <c r="E43" s="1444">
        <f t="shared" si="19"/>
        <v>0.09107342512834654</v>
      </c>
      <c r="F43" s="1444">
        <f t="shared" si="19"/>
        <v>0.09107342503819185</v>
      </c>
      <c r="G43" s="1444">
        <f t="shared" si="19"/>
        <v>0.09107342503909122</v>
      </c>
      <c r="H43" s="1444">
        <f t="shared" si="19"/>
        <v>0.09107342503908224</v>
      </c>
      <c r="I43" s="1444">
        <f t="shared" si="19"/>
        <v>0.09107342503908232</v>
      </c>
      <c r="J43" s="1444">
        <f t="shared" si="19"/>
        <v>0.09107342503908232</v>
      </c>
      <c r="K43" s="1444">
        <f t="shared" si="19"/>
        <v>0.09107342503908232</v>
      </c>
      <c r="L43" s="1444">
        <f t="shared" si="19"/>
        <v>0.09107342503908232</v>
      </c>
      <c r="M43" s="1444">
        <f t="shared" si="19"/>
        <v>0.09107342503908232</v>
      </c>
      <c r="N43" s="1444">
        <f t="shared" si="19"/>
        <v>0.09107342503908232</v>
      </c>
      <c r="O43" s="1444">
        <f t="shared" si="19"/>
        <v>0.09107342503908232</v>
      </c>
      <c r="P43" s="1444">
        <f t="shared" si="19"/>
        <v>0.09107342503908232</v>
      </c>
      <c r="Q43" s="1444">
        <f t="shared" si="19"/>
        <v>0.09107342503908232</v>
      </c>
      <c r="R43" s="1444">
        <f t="shared" si="19"/>
        <v>0.09107342503908232</v>
      </c>
      <c r="S43" s="1444">
        <f t="shared" si="19"/>
        <v>0.09107342503908232</v>
      </c>
      <c r="T43" s="1444">
        <f t="shared" si="19"/>
        <v>0.09107342503908232</v>
      </c>
      <c r="U43" s="1444">
        <f t="shared" si="19"/>
        <v>0.09107342503908232</v>
      </c>
      <c r="V43" s="1444">
        <f t="shared" si="19"/>
        <v>0.09107342503908232</v>
      </c>
      <c r="W43" s="1444">
        <f t="shared" si="19"/>
        <v>0.09107342503908232</v>
      </c>
      <c r="X43" s="1444">
        <f t="shared" si="19"/>
        <v>0.09107342503908232</v>
      </c>
      <c r="Y43" s="1444">
        <f t="shared" si="19"/>
        <v>0.09107342503908232</v>
      </c>
      <c r="Z43" s="1444">
        <f t="shared" si="19"/>
        <v>0.09107342503908232</v>
      </c>
      <c r="AA43" s="1444">
        <f t="shared" si="19"/>
        <v>0.09107342503908232</v>
      </c>
      <c r="AB43" s="1444">
        <f t="shared" si="19"/>
        <v>0.09107342503908232</v>
      </c>
      <c r="AC43" s="1444">
        <f t="shared" si="19"/>
        <v>0.09107342503908232</v>
      </c>
      <c r="AD43" s="1444">
        <f t="shared" si="19"/>
        <v>0.09107342503908232</v>
      </c>
      <c r="AE43" s="1444">
        <f t="shared" si="19"/>
        <v>0.09107342503908232</v>
      </c>
      <c r="AF43" s="1444">
        <f t="shared" si="19"/>
        <v>0.09107342503908232</v>
      </c>
      <c r="AG43" s="1444">
        <f t="shared" si="19"/>
        <v>0.09107342503908232</v>
      </c>
      <c r="AH43" s="1444">
        <f t="shared" si="19"/>
        <v>0.09107342503908232</v>
      </c>
      <c r="AI43" s="1444">
        <f t="shared" si="19"/>
        <v>0.09107342503908232</v>
      </c>
      <c r="AJ43" s="1444">
        <f t="shared" si="19"/>
        <v>0.09107342503908232</v>
      </c>
      <c r="AK43" s="1444">
        <f t="shared" si="19"/>
        <v>0.09107342503908232</v>
      </c>
      <c r="AL43" s="1444">
        <f t="shared" si="19"/>
        <v>0.09107342503908232</v>
      </c>
      <c r="AM43" s="1444">
        <f t="shared" si="19"/>
        <v>0.09107342503908232</v>
      </c>
      <c r="AN43" s="1444">
        <f t="shared" si="19"/>
        <v>0.09107342503908232</v>
      </c>
      <c r="AO43" s="1444">
        <f t="shared" si="19"/>
        <v>0.09107342503908232</v>
      </c>
      <c r="AP43" s="1444">
        <f t="shared" si="19"/>
        <v>0.09107342503908232</v>
      </c>
      <c r="AQ43" s="1444">
        <f t="shared" si="19"/>
        <v>0.09107342503908232</v>
      </c>
      <c r="AR43" s="1444">
        <f t="shared" si="19"/>
        <v>0.09107342503908232</v>
      </c>
      <c r="AS43" s="1444">
        <f t="shared" si="19"/>
        <v>0.09107342503908232</v>
      </c>
      <c r="AT43" s="1444">
        <f t="shared" si="19"/>
        <v>0.09107342503908232</v>
      </c>
      <c r="AU43" s="1444">
        <f t="shared" si="19"/>
        <v>0.09107342503908232</v>
      </c>
      <c r="AV43" s="1444">
        <f t="shared" si="19"/>
        <v>0.09107342503908232</v>
      </c>
      <c r="AW43" s="1444">
        <f t="shared" si="19"/>
        <v>0.09107342503908232</v>
      </c>
      <c r="AX43" s="1444">
        <f t="shared" si="19"/>
        <v>0.09107342503908232</v>
      </c>
      <c r="AY43" s="1444">
        <f t="shared" si="19"/>
        <v>0.09107342503908232</v>
      </c>
      <c r="AZ43" s="1453">
        <f t="shared" si="19"/>
        <v>0.09107342503908232</v>
      </c>
    </row>
    <row r="44" spans="1:52" ht="14.25">
      <c r="A44" s="1451" t="s">
        <v>975</v>
      </c>
      <c r="B44" s="1425">
        <f>'{f}RO&amp;NF Input'!P$16</f>
        <v>0.996</v>
      </c>
      <c r="C44" s="1439">
        <f>1-B47/B46</f>
        <v>0.996</v>
      </c>
      <c r="D44" s="1439">
        <f aca="true" t="shared" si="20" ref="D44:AY44">1-C47/C46</f>
        <v>0.996</v>
      </c>
      <c r="E44" s="1439">
        <f t="shared" si="20"/>
        <v>0.996</v>
      </c>
      <c r="F44" s="1439">
        <f t="shared" si="20"/>
        <v>0.996</v>
      </c>
      <c r="G44" s="1439">
        <f t="shared" si="20"/>
        <v>0.996</v>
      </c>
      <c r="H44" s="1439">
        <f t="shared" si="20"/>
        <v>0.996</v>
      </c>
      <c r="I44" s="1439">
        <f t="shared" si="20"/>
        <v>0.996</v>
      </c>
      <c r="J44" s="1439">
        <f t="shared" si="20"/>
        <v>0.996</v>
      </c>
      <c r="K44" s="1439">
        <f t="shared" si="20"/>
        <v>0.996</v>
      </c>
      <c r="L44" s="1439">
        <f t="shared" si="20"/>
        <v>0.996</v>
      </c>
      <c r="M44" s="1439">
        <f t="shared" si="20"/>
        <v>0.996</v>
      </c>
      <c r="N44" s="1439">
        <f t="shared" si="20"/>
        <v>0.996</v>
      </c>
      <c r="O44" s="1439">
        <f t="shared" si="20"/>
        <v>0.996</v>
      </c>
      <c r="P44" s="1439">
        <f t="shared" si="20"/>
        <v>0.996</v>
      </c>
      <c r="Q44" s="1439">
        <f t="shared" si="20"/>
        <v>0.996</v>
      </c>
      <c r="R44" s="1439">
        <f t="shared" si="20"/>
        <v>0.996</v>
      </c>
      <c r="S44" s="1439">
        <f t="shared" si="20"/>
        <v>0.996</v>
      </c>
      <c r="T44" s="1439">
        <f t="shared" si="20"/>
        <v>0.996</v>
      </c>
      <c r="U44" s="1439">
        <f t="shared" si="20"/>
        <v>0.996</v>
      </c>
      <c r="V44" s="1439">
        <f t="shared" si="20"/>
        <v>0.996</v>
      </c>
      <c r="W44" s="1439">
        <f t="shared" si="20"/>
        <v>0.996</v>
      </c>
      <c r="X44" s="1439">
        <f t="shared" si="20"/>
        <v>0.996</v>
      </c>
      <c r="Y44" s="1439">
        <f t="shared" si="20"/>
        <v>0.996</v>
      </c>
      <c r="Z44" s="1439">
        <f t="shared" si="20"/>
        <v>0.996</v>
      </c>
      <c r="AA44" s="1439">
        <f t="shared" si="20"/>
        <v>0.996</v>
      </c>
      <c r="AB44" s="1439">
        <f t="shared" si="20"/>
        <v>0.996</v>
      </c>
      <c r="AC44" s="1439">
        <f t="shared" si="20"/>
        <v>0.996</v>
      </c>
      <c r="AD44" s="1439">
        <f t="shared" si="20"/>
        <v>0.996</v>
      </c>
      <c r="AE44" s="1439">
        <f t="shared" si="20"/>
        <v>0.996</v>
      </c>
      <c r="AF44" s="1439">
        <f t="shared" si="20"/>
        <v>0.996</v>
      </c>
      <c r="AG44" s="1439">
        <f t="shared" si="20"/>
        <v>0.996</v>
      </c>
      <c r="AH44" s="1439">
        <f t="shared" si="20"/>
        <v>0.996</v>
      </c>
      <c r="AI44" s="1439">
        <f t="shared" si="20"/>
        <v>0.996</v>
      </c>
      <c r="AJ44" s="1439">
        <f t="shared" si="20"/>
        <v>0.996</v>
      </c>
      <c r="AK44" s="1439">
        <f t="shared" si="20"/>
        <v>0.996</v>
      </c>
      <c r="AL44" s="1439">
        <f t="shared" si="20"/>
        <v>0.996</v>
      </c>
      <c r="AM44" s="1439">
        <f t="shared" si="20"/>
        <v>0.996</v>
      </c>
      <c r="AN44" s="1439">
        <f t="shared" si="20"/>
        <v>0.996</v>
      </c>
      <c r="AO44" s="1439">
        <f t="shared" si="20"/>
        <v>0.996</v>
      </c>
      <c r="AP44" s="1439">
        <f t="shared" si="20"/>
        <v>0.996</v>
      </c>
      <c r="AQ44" s="1439">
        <f t="shared" si="20"/>
        <v>0.996</v>
      </c>
      <c r="AR44" s="1439">
        <f t="shared" si="20"/>
        <v>0.996</v>
      </c>
      <c r="AS44" s="1439">
        <f t="shared" si="20"/>
        <v>0.996</v>
      </c>
      <c r="AT44" s="1439">
        <f t="shared" si="20"/>
        <v>0.996</v>
      </c>
      <c r="AU44" s="1439">
        <f t="shared" si="20"/>
        <v>0.996</v>
      </c>
      <c r="AV44" s="1439">
        <f t="shared" si="20"/>
        <v>0.996</v>
      </c>
      <c r="AW44" s="1439">
        <f t="shared" si="20"/>
        <v>0.996</v>
      </c>
      <c r="AX44" s="1439">
        <f t="shared" si="20"/>
        <v>0.996</v>
      </c>
      <c r="AY44" s="1439">
        <f t="shared" si="20"/>
        <v>0.996</v>
      </c>
      <c r="AZ44" s="1455">
        <f>1-AY47/AY46</f>
        <v>0.996</v>
      </c>
    </row>
    <row r="45" spans="1:52" ht="15.75">
      <c r="A45" s="1451" t="s">
        <v>976</v>
      </c>
      <c r="B45" s="1444">
        <f>1-C47/$C$12</f>
        <v>0.9956009632692662</v>
      </c>
      <c r="C45" s="1444">
        <f>1-C47/$C$12</f>
        <v>0.9956009632692662</v>
      </c>
      <c r="D45" s="1444">
        <f aca="true" t="shared" si="21" ref="D45:AY45">1-D47/$C$12</f>
        <v>0.9955920745880448</v>
      </c>
      <c r="E45" s="1444">
        <f t="shared" si="21"/>
        <v>0.9955920745435266</v>
      </c>
      <c r="F45" s="1444">
        <f t="shared" si="21"/>
        <v>0.9955920745439707</v>
      </c>
      <c r="G45" s="1444">
        <f t="shared" si="21"/>
        <v>0.9955920745439663</v>
      </c>
      <c r="H45" s="1444">
        <f t="shared" si="21"/>
        <v>0.9955920745439663</v>
      </c>
      <c r="I45" s="1444">
        <f t="shared" si="21"/>
        <v>0.9955920745439663</v>
      </c>
      <c r="J45" s="1444">
        <f t="shared" si="21"/>
        <v>0.9955920745439663</v>
      </c>
      <c r="K45" s="1444">
        <f t="shared" si="21"/>
        <v>0.9955920745439663</v>
      </c>
      <c r="L45" s="1444">
        <f t="shared" si="21"/>
        <v>0.9955920745439663</v>
      </c>
      <c r="M45" s="1444">
        <f t="shared" si="21"/>
        <v>0.9955920745439663</v>
      </c>
      <c r="N45" s="1444">
        <f t="shared" si="21"/>
        <v>0.9955920745439663</v>
      </c>
      <c r="O45" s="1444">
        <f t="shared" si="21"/>
        <v>0.9955920745439663</v>
      </c>
      <c r="P45" s="1444">
        <f t="shared" si="21"/>
        <v>0.9955920745439663</v>
      </c>
      <c r="Q45" s="1444">
        <f t="shared" si="21"/>
        <v>0.9955920745439663</v>
      </c>
      <c r="R45" s="1444">
        <f t="shared" si="21"/>
        <v>0.9955920745439663</v>
      </c>
      <c r="S45" s="1444">
        <f t="shared" si="21"/>
        <v>0.9955920745439663</v>
      </c>
      <c r="T45" s="1444">
        <f t="shared" si="21"/>
        <v>0.9955920745439663</v>
      </c>
      <c r="U45" s="1444">
        <f t="shared" si="21"/>
        <v>0.9955920745439663</v>
      </c>
      <c r="V45" s="1444">
        <f t="shared" si="21"/>
        <v>0.9955920745439663</v>
      </c>
      <c r="W45" s="1444">
        <f t="shared" si="21"/>
        <v>0.9955920745439663</v>
      </c>
      <c r="X45" s="1444">
        <f t="shared" si="21"/>
        <v>0.9955920745439663</v>
      </c>
      <c r="Y45" s="1444">
        <f t="shared" si="21"/>
        <v>0.9955920745439663</v>
      </c>
      <c r="Z45" s="1444">
        <f t="shared" si="21"/>
        <v>0.9955920745439663</v>
      </c>
      <c r="AA45" s="1444">
        <f t="shared" si="21"/>
        <v>0.9955920745439663</v>
      </c>
      <c r="AB45" s="1444">
        <f t="shared" si="21"/>
        <v>0.9955920745439663</v>
      </c>
      <c r="AC45" s="1444">
        <f t="shared" si="21"/>
        <v>0.9955920745439663</v>
      </c>
      <c r="AD45" s="1444">
        <f t="shared" si="21"/>
        <v>0.9955920745439663</v>
      </c>
      <c r="AE45" s="1444">
        <f t="shared" si="21"/>
        <v>0.9955920745439663</v>
      </c>
      <c r="AF45" s="1444">
        <f t="shared" si="21"/>
        <v>0.9955920745439663</v>
      </c>
      <c r="AG45" s="1444">
        <f t="shared" si="21"/>
        <v>0.9955920745439663</v>
      </c>
      <c r="AH45" s="1444">
        <f t="shared" si="21"/>
        <v>0.9955920745439663</v>
      </c>
      <c r="AI45" s="1444">
        <f t="shared" si="21"/>
        <v>0.9955920745439663</v>
      </c>
      <c r="AJ45" s="1444">
        <f t="shared" si="21"/>
        <v>0.9955920745439663</v>
      </c>
      <c r="AK45" s="1444">
        <f t="shared" si="21"/>
        <v>0.9955920745439663</v>
      </c>
      <c r="AL45" s="1444">
        <f t="shared" si="21"/>
        <v>0.9955920745439663</v>
      </c>
      <c r="AM45" s="1444">
        <f t="shared" si="21"/>
        <v>0.9955920745439663</v>
      </c>
      <c r="AN45" s="1444">
        <f t="shared" si="21"/>
        <v>0.9955920745439663</v>
      </c>
      <c r="AO45" s="1444">
        <f t="shared" si="21"/>
        <v>0.9955920745439663</v>
      </c>
      <c r="AP45" s="1444">
        <f t="shared" si="21"/>
        <v>0.9955920745439663</v>
      </c>
      <c r="AQ45" s="1444">
        <f t="shared" si="21"/>
        <v>0.9955920745439663</v>
      </c>
      <c r="AR45" s="1444">
        <f t="shared" si="21"/>
        <v>0.9955920745439663</v>
      </c>
      <c r="AS45" s="1444">
        <f t="shared" si="21"/>
        <v>0.9955920745439663</v>
      </c>
      <c r="AT45" s="1444">
        <f t="shared" si="21"/>
        <v>0.9955920745439663</v>
      </c>
      <c r="AU45" s="1444">
        <f t="shared" si="21"/>
        <v>0.9955920745439663</v>
      </c>
      <c r="AV45" s="1444">
        <f t="shared" si="21"/>
        <v>0.9955920745439663</v>
      </c>
      <c r="AW45" s="1444">
        <f t="shared" si="21"/>
        <v>0.9955920745439663</v>
      </c>
      <c r="AX45" s="1444">
        <f t="shared" si="21"/>
        <v>0.9955920745439663</v>
      </c>
      <c r="AY45" s="1444">
        <f t="shared" si="21"/>
        <v>0.9955920745439663</v>
      </c>
      <c r="AZ45" s="1453">
        <f>1-AZ47/$C$12</f>
        <v>0.9955920745439663</v>
      </c>
    </row>
    <row r="46" spans="1:52" ht="15.75">
      <c r="A46" s="1451" t="s">
        <v>977</v>
      </c>
      <c r="B46" s="1430">
        <f>B48*(B50/(B44+(1-B44)*B50))</f>
        <v>15.538827532227321</v>
      </c>
      <c r="C46" s="1430">
        <f>C48*(C50/($B$44+(1-$B$44)*C50))</f>
        <v>15.352825902108052</v>
      </c>
      <c r="D46" s="1430">
        <f aca="true" t="shared" si="22" ref="D46:AZ46">D48*(D50/($B$44+(1-$B$44)*D50))</f>
        <v>15.383847778860588</v>
      </c>
      <c r="E46" s="1430">
        <f t="shared" si="22"/>
        <v>15.383847934231035</v>
      </c>
      <c r="F46" s="1430">
        <f t="shared" si="22"/>
        <v>15.383847932681112</v>
      </c>
      <c r="G46" s="1430">
        <f t="shared" si="22"/>
        <v>15.383847932696575</v>
      </c>
      <c r="H46" s="1439">
        <f t="shared" si="22"/>
        <v>15.38384793269642</v>
      </c>
      <c r="I46" s="1439">
        <f t="shared" si="22"/>
        <v>15.383847932696423</v>
      </c>
      <c r="J46" s="1439">
        <f t="shared" si="22"/>
        <v>15.383847932696423</v>
      </c>
      <c r="K46" s="1439">
        <f t="shared" si="22"/>
        <v>15.383847932696423</v>
      </c>
      <c r="L46" s="1439">
        <f t="shared" si="22"/>
        <v>15.383847932696423</v>
      </c>
      <c r="M46" s="1439">
        <f t="shared" si="22"/>
        <v>15.383847932696423</v>
      </c>
      <c r="N46" s="1439">
        <f t="shared" si="22"/>
        <v>15.383847932696423</v>
      </c>
      <c r="O46" s="1439">
        <f t="shared" si="22"/>
        <v>15.383847932696423</v>
      </c>
      <c r="P46" s="1439">
        <f t="shared" si="22"/>
        <v>15.383847932696423</v>
      </c>
      <c r="Q46" s="1439">
        <f t="shared" si="22"/>
        <v>15.383847932696423</v>
      </c>
      <c r="R46" s="1439">
        <f t="shared" si="22"/>
        <v>15.383847932696423</v>
      </c>
      <c r="S46" s="1439">
        <f t="shared" si="22"/>
        <v>15.383847932696423</v>
      </c>
      <c r="T46" s="1439">
        <f t="shared" si="22"/>
        <v>15.383847932696423</v>
      </c>
      <c r="U46" s="1439">
        <f t="shared" si="22"/>
        <v>15.383847932696423</v>
      </c>
      <c r="V46" s="1439">
        <f t="shared" si="22"/>
        <v>15.383847932696423</v>
      </c>
      <c r="W46" s="1439">
        <f t="shared" si="22"/>
        <v>15.383847932696423</v>
      </c>
      <c r="X46" s="1439">
        <f t="shared" si="22"/>
        <v>15.383847932696423</v>
      </c>
      <c r="Y46" s="1439">
        <f t="shared" si="22"/>
        <v>15.383847932696423</v>
      </c>
      <c r="Z46" s="1439">
        <f t="shared" si="22"/>
        <v>15.383847932696423</v>
      </c>
      <c r="AA46" s="1439">
        <f t="shared" si="22"/>
        <v>15.383847932696423</v>
      </c>
      <c r="AB46" s="1439">
        <f t="shared" si="22"/>
        <v>15.383847932696423</v>
      </c>
      <c r="AC46" s="1439">
        <f t="shared" si="22"/>
        <v>15.383847932696423</v>
      </c>
      <c r="AD46" s="1439">
        <f t="shared" si="22"/>
        <v>15.383847932696423</v>
      </c>
      <c r="AE46" s="1439">
        <f t="shared" si="22"/>
        <v>15.383847932696423</v>
      </c>
      <c r="AF46" s="1439">
        <f t="shared" si="22"/>
        <v>15.383847932696423</v>
      </c>
      <c r="AG46" s="1439">
        <f t="shared" si="22"/>
        <v>15.383847932696423</v>
      </c>
      <c r="AH46" s="1439">
        <f t="shared" si="22"/>
        <v>15.383847932696423</v>
      </c>
      <c r="AI46" s="1439">
        <f t="shared" si="22"/>
        <v>15.383847932696423</v>
      </c>
      <c r="AJ46" s="1439">
        <f t="shared" si="22"/>
        <v>15.383847932696423</v>
      </c>
      <c r="AK46" s="1439">
        <f t="shared" si="22"/>
        <v>15.383847932696423</v>
      </c>
      <c r="AL46" s="1439">
        <f t="shared" si="22"/>
        <v>15.383847932696423</v>
      </c>
      <c r="AM46" s="1439">
        <f t="shared" si="22"/>
        <v>15.383847932696423</v>
      </c>
      <c r="AN46" s="1439">
        <f t="shared" si="22"/>
        <v>15.383847932696423</v>
      </c>
      <c r="AO46" s="1439">
        <f t="shared" si="22"/>
        <v>15.383847932696423</v>
      </c>
      <c r="AP46" s="1439">
        <f t="shared" si="22"/>
        <v>15.383847932696423</v>
      </c>
      <c r="AQ46" s="1439">
        <f t="shared" si="22"/>
        <v>15.383847932696423</v>
      </c>
      <c r="AR46" s="1439">
        <f t="shared" si="22"/>
        <v>15.383847932696423</v>
      </c>
      <c r="AS46" s="1439">
        <f t="shared" si="22"/>
        <v>15.383847932696423</v>
      </c>
      <c r="AT46" s="1439">
        <f t="shared" si="22"/>
        <v>15.383847932696423</v>
      </c>
      <c r="AU46" s="1439">
        <f t="shared" si="22"/>
        <v>15.383847932696423</v>
      </c>
      <c r="AV46" s="1439">
        <f t="shared" si="22"/>
        <v>15.383847932696423</v>
      </c>
      <c r="AW46" s="1439">
        <f t="shared" si="22"/>
        <v>15.383847932696423</v>
      </c>
      <c r="AX46" s="1439">
        <f t="shared" si="22"/>
        <v>15.383847932696423</v>
      </c>
      <c r="AY46" s="1439">
        <f t="shared" si="22"/>
        <v>15.383847932696423</v>
      </c>
      <c r="AZ46" s="1455">
        <f t="shared" si="22"/>
        <v>15.383847932696423</v>
      </c>
    </row>
    <row r="47" spans="1:52" ht="15.75">
      <c r="A47" s="1451" t="s">
        <v>978</v>
      </c>
      <c r="B47" s="1434">
        <f>B48*(1-B44)*B50/(B44+(1-B44)*B50)</f>
        <v>0.06215531012890935</v>
      </c>
      <c r="C47" s="1434">
        <f>C48*(1-$B$44)*C50/($B$44+(1-$B$44)*C50)</f>
        <v>0.06141130360843226</v>
      </c>
      <c r="D47" s="1434">
        <f aca="true" t="shared" si="23" ref="D47:AZ47">D48*(1-$B$44)*D50/($B$44+(1-$B$44)*D50)</f>
        <v>0.06153539111544241</v>
      </c>
      <c r="E47" s="1434">
        <f t="shared" si="23"/>
        <v>0.0615353917369242</v>
      </c>
      <c r="F47" s="1434">
        <f t="shared" si="23"/>
        <v>0.06153539173072451</v>
      </c>
      <c r="G47" s="1434">
        <f t="shared" si="23"/>
        <v>0.06153539173078636</v>
      </c>
      <c r="H47" s="1439">
        <f t="shared" si="23"/>
        <v>0.06153539173078574</v>
      </c>
      <c r="I47" s="1439">
        <f t="shared" si="23"/>
        <v>0.061535391730785746</v>
      </c>
      <c r="J47" s="1439">
        <f t="shared" si="23"/>
        <v>0.061535391730785746</v>
      </c>
      <c r="K47" s="1439">
        <f t="shared" si="23"/>
        <v>0.061535391730785746</v>
      </c>
      <c r="L47" s="1439">
        <f t="shared" si="23"/>
        <v>0.061535391730785746</v>
      </c>
      <c r="M47" s="1439">
        <f t="shared" si="23"/>
        <v>0.061535391730785746</v>
      </c>
      <c r="N47" s="1439">
        <f t="shared" si="23"/>
        <v>0.061535391730785746</v>
      </c>
      <c r="O47" s="1439">
        <f t="shared" si="23"/>
        <v>0.061535391730785746</v>
      </c>
      <c r="P47" s="1439">
        <f t="shared" si="23"/>
        <v>0.061535391730785746</v>
      </c>
      <c r="Q47" s="1439">
        <f t="shared" si="23"/>
        <v>0.061535391730785746</v>
      </c>
      <c r="R47" s="1439">
        <f t="shared" si="23"/>
        <v>0.061535391730785746</v>
      </c>
      <c r="S47" s="1439">
        <f t="shared" si="23"/>
        <v>0.061535391730785746</v>
      </c>
      <c r="T47" s="1439">
        <f t="shared" si="23"/>
        <v>0.061535391730785746</v>
      </c>
      <c r="U47" s="1439">
        <f t="shared" si="23"/>
        <v>0.061535391730785746</v>
      </c>
      <c r="V47" s="1439">
        <f t="shared" si="23"/>
        <v>0.061535391730785746</v>
      </c>
      <c r="W47" s="1439">
        <f t="shared" si="23"/>
        <v>0.061535391730785746</v>
      </c>
      <c r="X47" s="1439">
        <f t="shared" si="23"/>
        <v>0.061535391730785746</v>
      </c>
      <c r="Y47" s="1439">
        <f t="shared" si="23"/>
        <v>0.061535391730785746</v>
      </c>
      <c r="Z47" s="1439">
        <f t="shared" si="23"/>
        <v>0.061535391730785746</v>
      </c>
      <c r="AA47" s="1439">
        <f t="shared" si="23"/>
        <v>0.061535391730785746</v>
      </c>
      <c r="AB47" s="1439">
        <f t="shared" si="23"/>
        <v>0.061535391730785746</v>
      </c>
      <c r="AC47" s="1439">
        <f t="shared" si="23"/>
        <v>0.061535391730785746</v>
      </c>
      <c r="AD47" s="1439">
        <f t="shared" si="23"/>
        <v>0.061535391730785746</v>
      </c>
      <c r="AE47" s="1439">
        <f t="shared" si="23"/>
        <v>0.061535391730785746</v>
      </c>
      <c r="AF47" s="1439">
        <f t="shared" si="23"/>
        <v>0.061535391730785746</v>
      </c>
      <c r="AG47" s="1439">
        <f t="shared" si="23"/>
        <v>0.061535391730785746</v>
      </c>
      <c r="AH47" s="1439">
        <f t="shared" si="23"/>
        <v>0.061535391730785746</v>
      </c>
      <c r="AI47" s="1439">
        <f t="shared" si="23"/>
        <v>0.061535391730785746</v>
      </c>
      <c r="AJ47" s="1439">
        <f t="shared" si="23"/>
        <v>0.061535391730785746</v>
      </c>
      <c r="AK47" s="1439">
        <f t="shared" si="23"/>
        <v>0.061535391730785746</v>
      </c>
      <c r="AL47" s="1439">
        <f t="shared" si="23"/>
        <v>0.061535391730785746</v>
      </c>
      <c r="AM47" s="1439">
        <f t="shared" si="23"/>
        <v>0.061535391730785746</v>
      </c>
      <c r="AN47" s="1439">
        <f t="shared" si="23"/>
        <v>0.061535391730785746</v>
      </c>
      <c r="AO47" s="1439">
        <f t="shared" si="23"/>
        <v>0.061535391730785746</v>
      </c>
      <c r="AP47" s="1439">
        <f t="shared" si="23"/>
        <v>0.061535391730785746</v>
      </c>
      <c r="AQ47" s="1439">
        <f t="shared" si="23"/>
        <v>0.061535391730785746</v>
      </c>
      <c r="AR47" s="1439">
        <f t="shared" si="23"/>
        <v>0.061535391730785746</v>
      </c>
      <c r="AS47" s="1439">
        <f t="shared" si="23"/>
        <v>0.061535391730785746</v>
      </c>
      <c r="AT47" s="1439">
        <f t="shared" si="23"/>
        <v>0.061535391730785746</v>
      </c>
      <c r="AU47" s="1439">
        <f t="shared" si="23"/>
        <v>0.061535391730785746</v>
      </c>
      <c r="AV47" s="1439">
        <f t="shared" si="23"/>
        <v>0.061535391730785746</v>
      </c>
      <c r="AW47" s="1439">
        <f t="shared" si="23"/>
        <v>0.061535391730785746</v>
      </c>
      <c r="AX47" s="1439">
        <f t="shared" si="23"/>
        <v>0.061535391730785746</v>
      </c>
      <c r="AY47" s="1439">
        <f t="shared" si="23"/>
        <v>0.061535391730785746</v>
      </c>
      <c r="AZ47" s="1455">
        <f t="shared" si="23"/>
        <v>0.061535391730785746</v>
      </c>
    </row>
    <row r="48" spans="1:52" ht="15.75">
      <c r="A48" s="1451" t="s">
        <v>997</v>
      </c>
      <c r="B48" s="1434">
        <f>$C$12/((1-B43)+(B43*(1-B44)*B50)/(B44+(1-B44)*B50))</f>
        <v>15.504394614986412</v>
      </c>
      <c r="C48" s="1434">
        <f>$C$12/((1-C43)+(C43*(1-C44)*C50)/(C44+(1-C44)*C50))</f>
        <v>15.352825902108052</v>
      </c>
      <c r="D48" s="1444">
        <f aca="true" t="shared" si="24" ref="D48:AZ48">$C$12/((1-D43)+(D43*(1-D44)*D50)/(D44+(1-D44)*D50))</f>
        <v>15.352798227339125</v>
      </c>
      <c r="E48" s="1444">
        <f t="shared" si="24"/>
        <v>15.35279837931798</v>
      </c>
      <c r="F48" s="1444">
        <f t="shared" si="24"/>
        <v>15.35279837780189</v>
      </c>
      <c r="G48" s="1444">
        <f t="shared" si="24"/>
        <v>15.352798377817015</v>
      </c>
      <c r="H48" s="1444">
        <f t="shared" si="24"/>
        <v>15.352798377816864</v>
      </c>
      <c r="I48" s="1444">
        <f t="shared" si="24"/>
        <v>15.352798377816866</v>
      </c>
      <c r="J48" s="1444">
        <f t="shared" si="24"/>
        <v>15.352798377816866</v>
      </c>
      <c r="K48" s="1444">
        <f t="shared" si="24"/>
        <v>15.352798377816866</v>
      </c>
      <c r="L48" s="1444">
        <f t="shared" si="24"/>
        <v>15.352798377816866</v>
      </c>
      <c r="M48" s="1444">
        <f t="shared" si="24"/>
        <v>15.352798377816866</v>
      </c>
      <c r="N48" s="1444">
        <f t="shared" si="24"/>
        <v>15.352798377816866</v>
      </c>
      <c r="O48" s="1444">
        <f t="shared" si="24"/>
        <v>15.352798377816866</v>
      </c>
      <c r="P48" s="1444">
        <f t="shared" si="24"/>
        <v>15.352798377816866</v>
      </c>
      <c r="Q48" s="1444">
        <f t="shared" si="24"/>
        <v>15.352798377816866</v>
      </c>
      <c r="R48" s="1444">
        <f t="shared" si="24"/>
        <v>15.352798377816866</v>
      </c>
      <c r="S48" s="1444">
        <f t="shared" si="24"/>
        <v>15.352798377816866</v>
      </c>
      <c r="T48" s="1444">
        <f t="shared" si="24"/>
        <v>15.352798377816866</v>
      </c>
      <c r="U48" s="1444">
        <f t="shared" si="24"/>
        <v>15.352798377816866</v>
      </c>
      <c r="V48" s="1444">
        <f t="shared" si="24"/>
        <v>15.352798377816866</v>
      </c>
      <c r="W48" s="1444">
        <f t="shared" si="24"/>
        <v>15.352798377816866</v>
      </c>
      <c r="X48" s="1444">
        <f t="shared" si="24"/>
        <v>15.352798377816866</v>
      </c>
      <c r="Y48" s="1444">
        <f t="shared" si="24"/>
        <v>15.352798377816866</v>
      </c>
      <c r="Z48" s="1444">
        <f t="shared" si="24"/>
        <v>15.352798377816866</v>
      </c>
      <c r="AA48" s="1444">
        <f t="shared" si="24"/>
        <v>15.352798377816866</v>
      </c>
      <c r="AB48" s="1444">
        <f t="shared" si="24"/>
        <v>15.352798377816866</v>
      </c>
      <c r="AC48" s="1444">
        <f t="shared" si="24"/>
        <v>15.352798377816866</v>
      </c>
      <c r="AD48" s="1444">
        <f t="shared" si="24"/>
        <v>15.352798377816866</v>
      </c>
      <c r="AE48" s="1444">
        <f t="shared" si="24"/>
        <v>15.352798377816866</v>
      </c>
      <c r="AF48" s="1444">
        <f t="shared" si="24"/>
        <v>15.352798377816866</v>
      </c>
      <c r="AG48" s="1444">
        <f t="shared" si="24"/>
        <v>15.352798377816866</v>
      </c>
      <c r="AH48" s="1444">
        <f t="shared" si="24"/>
        <v>15.352798377816866</v>
      </c>
      <c r="AI48" s="1444">
        <f t="shared" si="24"/>
        <v>15.352798377816866</v>
      </c>
      <c r="AJ48" s="1444">
        <f t="shared" si="24"/>
        <v>15.352798377816866</v>
      </c>
      <c r="AK48" s="1444">
        <f t="shared" si="24"/>
        <v>15.352798377816866</v>
      </c>
      <c r="AL48" s="1444">
        <f t="shared" si="24"/>
        <v>15.352798377816866</v>
      </c>
      <c r="AM48" s="1444">
        <f t="shared" si="24"/>
        <v>15.352798377816866</v>
      </c>
      <c r="AN48" s="1444">
        <f t="shared" si="24"/>
        <v>15.352798377816866</v>
      </c>
      <c r="AO48" s="1444">
        <f t="shared" si="24"/>
        <v>15.352798377816866</v>
      </c>
      <c r="AP48" s="1444">
        <f t="shared" si="24"/>
        <v>15.352798377816866</v>
      </c>
      <c r="AQ48" s="1444">
        <f t="shared" si="24"/>
        <v>15.352798377816866</v>
      </c>
      <c r="AR48" s="1444">
        <f t="shared" si="24"/>
        <v>15.352798377816866</v>
      </c>
      <c r="AS48" s="1444">
        <f t="shared" si="24"/>
        <v>15.352798377816866</v>
      </c>
      <c r="AT48" s="1444">
        <f t="shared" si="24"/>
        <v>15.352798377816866</v>
      </c>
      <c r="AU48" s="1444">
        <f t="shared" si="24"/>
        <v>15.352798377816866</v>
      </c>
      <c r="AV48" s="1444">
        <f t="shared" si="24"/>
        <v>15.352798377816866</v>
      </c>
      <c r="AW48" s="1444">
        <f t="shared" si="24"/>
        <v>15.352798377816866</v>
      </c>
      <c r="AX48" s="1444">
        <f t="shared" si="24"/>
        <v>15.352798377816866</v>
      </c>
      <c r="AY48" s="1444">
        <f t="shared" si="24"/>
        <v>15.352798377816866</v>
      </c>
      <c r="AZ48" s="1453">
        <f t="shared" si="24"/>
        <v>15.352798377816866</v>
      </c>
    </row>
    <row r="49" spans="1:52" ht="15.75">
      <c r="A49" s="1456" t="s">
        <v>999</v>
      </c>
      <c r="B49" s="1427">
        <f>$C$20*($C$9-$C$15*$B$44*B46)</f>
        <v>6.805472433503238E-06</v>
      </c>
      <c r="C49" s="1439">
        <f>$C$20*($C$9-$C$15*$B$44*C46)</f>
        <v>6.810131470673847E-06</v>
      </c>
      <c r="D49" s="1439">
        <f aca="true" t="shared" si="25" ref="D49:AY49">$C$20*($C$9-$C$15*$B$44*D46)</f>
        <v>6.809354423307115E-06</v>
      </c>
      <c r="E49" s="1439">
        <f t="shared" si="25"/>
        <v>6.809354419415338E-06</v>
      </c>
      <c r="F49" s="1439">
        <f t="shared" si="25"/>
        <v>6.8093544194541625E-06</v>
      </c>
      <c r="G49" s="1439">
        <f t="shared" si="25"/>
        <v>6.8093544194537745E-06</v>
      </c>
      <c r="H49" s="1439">
        <f t="shared" si="25"/>
        <v>6.809354419453778E-06</v>
      </c>
      <c r="I49" s="1439">
        <f t="shared" si="25"/>
        <v>6.809354419453778E-06</v>
      </c>
      <c r="J49" s="1439">
        <f t="shared" si="25"/>
        <v>6.809354419453778E-06</v>
      </c>
      <c r="K49" s="1439">
        <f t="shared" si="25"/>
        <v>6.809354419453778E-06</v>
      </c>
      <c r="L49" s="1439">
        <f t="shared" si="25"/>
        <v>6.809354419453778E-06</v>
      </c>
      <c r="M49" s="1439">
        <f t="shared" si="25"/>
        <v>6.809354419453778E-06</v>
      </c>
      <c r="N49" s="1439">
        <f t="shared" si="25"/>
        <v>6.809354419453778E-06</v>
      </c>
      <c r="O49" s="1439">
        <f t="shared" si="25"/>
        <v>6.809354419453778E-06</v>
      </c>
      <c r="P49" s="1439">
        <f t="shared" si="25"/>
        <v>6.809354419453778E-06</v>
      </c>
      <c r="Q49" s="1439">
        <f t="shared" si="25"/>
        <v>6.809354419453778E-06</v>
      </c>
      <c r="R49" s="1439">
        <f t="shared" si="25"/>
        <v>6.809354419453778E-06</v>
      </c>
      <c r="S49" s="1439">
        <f t="shared" si="25"/>
        <v>6.809354419453778E-06</v>
      </c>
      <c r="T49" s="1439">
        <f t="shared" si="25"/>
        <v>6.809354419453778E-06</v>
      </c>
      <c r="U49" s="1439">
        <f t="shared" si="25"/>
        <v>6.809354419453778E-06</v>
      </c>
      <c r="V49" s="1439">
        <f t="shared" si="25"/>
        <v>6.809354419453778E-06</v>
      </c>
      <c r="W49" s="1439">
        <f t="shared" si="25"/>
        <v>6.809354419453778E-06</v>
      </c>
      <c r="X49" s="1439">
        <f t="shared" si="25"/>
        <v>6.809354419453778E-06</v>
      </c>
      <c r="Y49" s="1439">
        <f t="shared" si="25"/>
        <v>6.809354419453778E-06</v>
      </c>
      <c r="Z49" s="1439">
        <f t="shared" si="25"/>
        <v>6.809354419453778E-06</v>
      </c>
      <c r="AA49" s="1439">
        <f t="shared" si="25"/>
        <v>6.809354419453778E-06</v>
      </c>
      <c r="AB49" s="1439">
        <f t="shared" si="25"/>
        <v>6.809354419453778E-06</v>
      </c>
      <c r="AC49" s="1439">
        <f t="shared" si="25"/>
        <v>6.809354419453778E-06</v>
      </c>
      <c r="AD49" s="1439">
        <f t="shared" si="25"/>
        <v>6.809354419453778E-06</v>
      </c>
      <c r="AE49" s="1439">
        <f t="shared" si="25"/>
        <v>6.809354419453778E-06</v>
      </c>
      <c r="AF49" s="1439">
        <f t="shared" si="25"/>
        <v>6.809354419453778E-06</v>
      </c>
      <c r="AG49" s="1439">
        <f t="shared" si="25"/>
        <v>6.809354419453778E-06</v>
      </c>
      <c r="AH49" s="1439">
        <f t="shared" si="25"/>
        <v>6.809354419453778E-06</v>
      </c>
      <c r="AI49" s="1439">
        <f t="shared" si="25"/>
        <v>6.809354419453778E-06</v>
      </c>
      <c r="AJ49" s="1439">
        <f t="shared" si="25"/>
        <v>6.809354419453778E-06</v>
      </c>
      <c r="AK49" s="1439">
        <f t="shared" si="25"/>
        <v>6.809354419453778E-06</v>
      </c>
      <c r="AL49" s="1439">
        <f t="shared" si="25"/>
        <v>6.809354419453778E-06</v>
      </c>
      <c r="AM49" s="1439">
        <f t="shared" si="25"/>
        <v>6.809354419453778E-06</v>
      </c>
      <c r="AN49" s="1439">
        <f t="shared" si="25"/>
        <v>6.809354419453778E-06</v>
      </c>
      <c r="AO49" s="1439">
        <f t="shared" si="25"/>
        <v>6.809354419453778E-06</v>
      </c>
      <c r="AP49" s="1439">
        <f t="shared" si="25"/>
        <v>6.809354419453778E-06</v>
      </c>
      <c r="AQ49" s="1439">
        <f t="shared" si="25"/>
        <v>6.809354419453778E-06</v>
      </c>
      <c r="AR49" s="1439">
        <f t="shared" si="25"/>
        <v>6.809354419453778E-06</v>
      </c>
      <c r="AS49" s="1439">
        <f t="shared" si="25"/>
        <v>6.809354419453778E-06</v>
      </c>
      <c r="AT49" s="1439">
        <f t="shared" si="25"/>
        <v>6.809354419453778E-06</v>
      </c>
      <c r="AU49" s="1439">
        <f t="shared" si="25"/>
        <v>6.809354419453778E-06</v>
      </c>
      <c r="AV49" s="1439">
        <f t="shared" si="25"/>
        <v>6.809354419453778E-06</v>
      </c>
      <c r="AW49" s="1439">
        <f t="shared" si="25"/>
        <v>6.809354419453778E-06</v>
      </c>
      <c r="AX49" s="1439">
        <f t="shared" si="25"/>
        <v>6.809354419453778E-06</v>
      </c>
      <c r="AY49" s="1439">
        <f t="shared" si="25"/>
        <v>6.809354419453778E-06</v>
      </c>
      <c r="AZ49" s="1455">
        <f>$C$20*($C$9-$C$15*$B$44*AZ46)</f>
        <v>6.809354419453778E-06</v>
      </c>
    </row>
    <row r="50" spans="1:52" ht="16.5" thickBot="1">
      <c r="A50" s="1451" t="s">
        <v>998</v>
      </c>
      <c r="B50" s="1460">
        <f>EXP(B42)</f>
        <v>1.0022297878281214</v>
      </c>
      <c r="C50" s="1460">
        <f aca="true" t="shared" si="26" ref="C50:AZ50">EXP(C42)</f>
        <v>1</v>
      </c>
      <c r="D50" s="1460">
        <f t="shared" si="26"/>
        <v>1.002030542006505</v>
      </c>
      <c r="E50" s="1460">
        <f t="shared" si="26"/>
        <v>1.0020305422082056</v>
      </c>
      <c r="F50" s="1460">
        <f t="shared" si="26"/>
        <v>1.0020305422061937</v>
      </c>
      <c r="G50" s="1460">
        <f t="shared" si="26"/>
        <v>1.0020305422062137</v>
      </c>
      <c r="H50" s="1460">
        <f t="shared" si="26"/>
        <v>1.0020305422062135</v>
      </c>
      <c r="I50" s="1460">
        <f t="shared" si="26"/>
        <v>1.0020305422062135</v>
      </c>
      <c r="J50" s="1460">
        <f t="shared" si="26"/>
        <v>1.0020305422062135</v>
      </c>
      <c r="K50" s="1460">
        <f t="shared" si="26"/>
        <v>1.0020305422062135</v>
      </c>
      <c r="L50" s="1460">
        <f t="shared" si="26"/>
        <v>1.0020305422062135</v>
      </c>
      <c r="M50" s="1460">
        <f t="shared" si="26"/>
        <v>1.0020305422062135</v>
      </c>
      <c r="N50" s="1460">
        <f t="shared" si="26"/>
        <v>1.0020305422062135</v>
      </c>
      <c r="O50" s="1460">
        <f t="shared" si="26"/>
        <v>1.0020305422062135</v>
      </c>
      <c r="P50" s="1460">
        <f t="shared" si="26"/>
        <v>1.0020305422062135</v>
      </c>
      <c r="Q50" s="1460">
        <f t="shared" si="26"/>
        <v>1.0020305422062135</v>
      </c>
      <c r="R50" s="1460">
        <f t="shared" si="26"/>
        <v>1.0020305422062135</v>
      </c>
      <c r="S50" s="1460">
        <f t="shared" si="26"/>
        <v>1.0020305422062135</v>
      </c>
      <c r="T50" s="1460">
        <f t="shared" si="26"/>
        <v>1.0020305422062135</v>
      </c>
      <c r="U50" s="1460">
        <f t="shared" si="26"/>
        <v>1.0020305422062135</v>
      </c>
      <c r="V50" s="1460">
        <f t="shared" si="26"/>
        <v>1.0020305422062135</v>
      </c>
      <c r="W50" s="1460">
        <f t="shared" si="26"/>
        <v>1.0020305422062135</v>
      </c>
      <c r="X50" s="1460">
        <f t="shared" si="26"/>
        <v>1.0020305422062135</v>
      </c>
      <c r="Y50" s="1460">
        <f t="shared" si="26"/>
        <v>1.0020305422062135</v>
      </c>
      <c r="Z50" s="1460">
        <f t="shared" si="26"/>
        <v>1.0020305422062135</v>
      </c>
      <c r="AA50" s="1460">
        <f t="shared" si="26"/>
        <v>1.0020305422062135</v>
      </c>
      <c r="AB50" s="1460">
        <f t="shared" si="26"/>
        <v>1.0020305422062135</v>
      </c>
      <c r="AC50" s="1460">
        <f t="shared" si="26"/>
        <v>1.0020305422062135</v>
      </c>
      <c r="AD50" s="1460">
        <f t="shared" si="26"/>
        <v>1.0020305422062135</v>
      </c>
      <c r="AE50" s="1460">
        <f t="shared" si="26"/>
        <v>1.0020305422062135</v>
      </c>
      <c r="AF50" s="1460">
        <f t="shared" si="26"/>
        <v>1.0020305422062135</v>
      </c>
      <c r="AG50" s="1460">
        <f t="shared" si="26"/>
        <v>1.0020305422062135</v>
      </c>
      <c r="AH50" s="1460">
        <f t="shared" si="26"/>
        <v>1.0020305422062135</v>
      </c>
      <c r="AI50" s="1460">
        <f t="shared" si="26"/>
        <v>1.0020305422062135</v>
      </c>
      <c r="AJ50" s="1460">
        <f t="shared" si="26"/>
        <v>1.0020305422062135</v>
      </c>
      <c r="AK50" s="1460">
        <f t="shared" si="26"/>
        <v>1.0020305422062135</v>
      </c>
      <c r="AL50" s="1460">
        <f t="shared" si="26"/>
        <v>1.0020305422062135</v>
      </c>
      <c r="AM50" s="1460">
        <f t="shared" si="26"/>
        <v>1.0020305422062135</v>
      </c>
      <c r="AN50" s="1460">
        <f t="shared" si="26"/>
        <v>1.0020305422062135</v>
      </c>
      <c r="AO50" s="1460">
        <f t="shared" si="26"/>
        <v>1.0020305422062135</v>
      </c>
      <c r="AP50" s="1460">
        <f t="shared" si="26"/>
        <v>1.0020305422062135</v>
      </c>
      <c r="AQ50" s="1460">
        <f t="shared" si="26"/>
        <v>1.0020305422062135</v>
      </c>
      <c r="AR50" s="1460">
        <f t="shared" si="26"/>
        <v>1.0020305422062135</v>
      </c>
      <c r="AS50" s="1460">
        <f t="shared" si="26"/>
        <v>1.0020305422062135</v>
      </c>
      <c r="AT50" s="1460">
        <f t="shared" si="26"/>
        <v>1.0020305422062135</v>
      </c>
      <c r="AU50" s="1460">
        <f t="shared" si="26"/>
        <v>1.0020305422062135</v>
      </c>
      <c r="AV50" s="1460">
        <f t="shared" si="26"/>
        <v>1.0020305422062135</v>
      </c>
      <c r="AW50" s="1460">
        <f t="shared" si="26"/>
        <v>1.0020305422062135</v>
      </c>
      <c r="AX50" s="1460">
        <f t="shared" si="26"/>
        <v>1.0020305422062135</v>
      </c>
      <c r="AY50" s="1460">
        <f t="shared" si="26"/>
        <v>1.0020305422062135</v>
      </c>
      <c r="AZ50" s="1461">
        <f t="shared" si="26"/>
        <v>1.0020305422062135</v>
      </c>
    </row>
    <row r="51" spans="1:16" ht="12.75">
      <c r="A51" s="275"/>
      <c r="B51"/>
      <c r="C51"/>
      <c r="D51" s="290"/>
      <c r="E51"/>
      <c r="F51"/>
      <c r="G51"/>
      <c r="H51"/>
      <c r="I51"/>
      <c r="J51"/>
      <c r="K51"/>
      <c r="L51"/>
      <c r="M51"/>
      <c r="N51"/>
      <c r="O51"/>
      <c r="P51"/>
    </row>
    <row r="52" spans="2:16" ht="12.75">
      <c r="B52"/>
      <c r="C52"/>
      <c r="D52"/>
      <c r="E52"/>
      <c r="F52"/>
      <c r="G52"/>
      <c r="H52"/>
      <c r="I52"/>
      <c r="J52"/>
      <c r="K52"/>
      <c r="L52"/>
      <c r="M52"/>
      <c r="N52"/>
      <c r="O52"/>
      <c r="P52"/>
    </row>
    <row r="53" spans="1:16" ht="12.75">
      <c r="A53" s="1447" t="s">
        <v>1295</v>
      </c>
      <c r="B53" s="1447" t="s">
        <v>1664</v>
      </c>
      <c r="C53"/>
      <c r="D53"/>
      <c r="E53"/>
      <c r="F53"/>
      <c r="G53"/>
      <c r="H53"/>
      <c r="I53"/>
      <c r="J53"/>
      <c r="K53"/>
      <c r="L53"/>
      <c r="M53"/>
      <c r="N53"/>
      <c r="O53"/>
      <c r="P53"/>
    </row>
    <row r="54" spans="1:16" ht="12.75">
      <c r="A54" s="1447" t="s">
        <v>1296</v>
      </c>
      <c r="B54" s="1447" t="s">
        <v>584</v>
      </c>
      <c r="C54"/>
      <c r="D54"/>
      <c r="E54"/>
      <c r="F54"/>
      <c r="G54"/>
      <c r="H54"/>
      <c r="I54"/>
      <c r="J54"/>
      <c r="K54"/>
      <c r="L54"/>
      <c r="M54"/>
      <c r="N54"/>
      <c r="O54"/>
      <c r="P54"/>
    </row>
    <row r="55" spans="1:16" ht="12.75">
      <c r="A55" s="275"/>
      <c r="B55"/>
      <c r="C55"/>
      <c r="D55"/>
      <c r="E55"/>
      <c r="F55"/>
      <c r="G55"/>
      <c r="H55"/>
      <c r="I55"/>
      <c r="J55"/>
      <c r="K55"/>
      <c r="L55"/>
      <c r="M55"/>
      <c r="N55"/>
      <c r="O55"/>
      <c r="P55"/>
    </row>
    <row r="56" spans="1:16" ht="12.75">
      <c r="A56" s="275"/>
      <c r="B56"/>
      <c r="C56"/>
      <c r="D56"/>
      <c r="E56"/>
      <c r="F56"/>
      <c r="G56"/>
      <c r="H56"/>
      <c r="I56"/>
      <c r="J56"/>
      <c r="K56"/>
      <c r="L56"/>
      <c r="M56"/>
      <c r="N56"/>
      <c r="O56"/>
      <c r="P56"/>
    </row>
    <row r="57" spans="1:16" ht="12.75">
      <c r="A57" s="275"/>
      <c r="B57"/>
      <c r="C57"/>
      <c r="D57"/>
      <c r="E57"/>
      <c r="F57"/>
      <c r="G57"/>
      <c r="H57"/>
      <c r="I57"/>
      <c r="J57"/>
      <c r="K57"/>
      <c r="L57"/>
      <c r="M57"/>
      <c r="N57"/>
      <c r="O57"/>
      <c r="P57"/>
    </row>
    <row r="58" spans="1:16" ht="12.75">
      <c r="A58" s="275"/>
      <c r="B58"/>
      <c r="C58"/>
      <c r="D58"/>
      <c r="E58"/>
      <c r="F58"/>
      <c r="G58"/>
      <c r="H58"/>
      <c r="I58"/>
      <c r="J58"/>
      <c r="K58"/>
      <c r="L58"/>
      <c r="M58"/>
      <c r="N58"/>
      <c r="O58"/>
      <c r="P58"/>
    </row>
    <row r="59" spans="1:11" ht="12.75">
      <c r="A59" s="275"/>
      <c r="B59" s="274"/>
      <c r="C59" s="274"/>
      <c r="D59" s="274"/>
      <c r="E59" s="274"/>
      <c r="F59" s="274"/>
      <c r="G59" s="274"/>
      <c r="H59" s="274"/>
      <c r="I59" s="274"/>
      <c r="J59" s="276"/>
      <c r="K59" s="276"/>
    </row>
    <row r="60" spans="1:11" ht="12.75">
      <c r="A60" s="275"/>
      <c r="B60" s="285"/>
      <c r="C60" s="285"/>
      <c r="D60" s="285"/>
      <c r="E60" s="285"/>
      <c r="F60" s="285"/>
      <c r="G60" s="285"/>
      <c r="H60" s="285"/>
      <c r="I60" s="285"/>
      <c r="J60" s="274"/>
      <c r="K60" s="274"/>
    </row>
    <row r="61" spans="1:11" ht="12.75">
      <c r="A61" s="275"/>
      <c r="B61" s="282"/>
      <c r="C61" s="282"/>
      <c r="D61" s="282"/>
      <c r="E61" s="282"/>
      <c r="F61" s="282"/>
      <c r="G61" s="282"/>
      <c r="H61" s="282"/>
      <c r="I61" s="282"/>
      <c r="J61" s="282"/>
      <c r="K61" s="282"/>
    </row>
    <row r="62" spans="1:11" ht="12.75">
      <c r="A62" s="275"/>
      <c r="B62" s="283"/>
      <c r="C62" s="283"/>
      <c r="D62" s="283"/>
      <c r="E62" s="283"/>
      <c r="F62" s="283"/>
      <c r="G62" s="283"/>
      <c r="H62" s="283"/>
      <c r="I62" s="283"/>
      <c r="J62" s="283"/>
      <c r="K62" s="283"/>
    </row>
    <row r="63" spans="1:11" ht="12.75">
      <c r="A63" s="275"/>
      <c r="B63" s="285"/>
      <c r="C63" s="285"/>
      <c r="D63" s="285"/>
      <c r="E63" s="285"/>
      <c r="F63" s="285"/>
      <c r="G63" s="285"/>
      <c r="H63" s="285"/>
      <c r="I63" s="285"/>
      <c r="J63" s="283"/>
      <c r="K63" s="283"/>
    </row>
    <row r="64" spans="1:11" ht="12.75">
      <c r="A64" s="275"/>
      <c r="B64" s="285"/>
      <c r="C64" s="285"/>
      <c r="D64" s="285"/>
      <c r="E64" s="285"/>
      <c r="F64" s="285"/>
      <c r="G64" s="285"/>
      <c r="H64" s="285"/>
      <c r="I64" s="285"/>
      <c r="J64" s="283"/>
      <c r="K64" s="283"/>
    </row>
    <row r="65" spans="1:9" ht="12.75">
      <c r="A65" s="275"/>
      <c r="B65" s="283"/>
      <c r="C65" s="283"/>
      <c r="D65" s="283"/>
      <c r="E65" s="283"/>
      <c r="F65" s="283"/>
      <c r="G65" s="283"/>
      <c r="H65" s="283"/>
      <c r="I65" s="283"/>
    </row>
    <row r="66" spans="1:9" ht="12.75">
      <c r="A66" s="275"/>
      <c r="B66" s="274"/>
      <c r="C66" s="274"/>
      <c r="D66" s="274"/>
      <c r="E66" s="274"/>
      <c r="F66" s="274"/>
      <c r="G66" s="274"/>
      <c r="H66" s="274"/>
      <c r="I66" s="274"/>
    </row>
    <row r="67" spans="1:9" ht="12.75">
      <c r="A67" s="275"/>
      <c r="B67" s="276"/>
      <c r="C67" s="276"/>
      <c r="D67" s="276"/>
      <c r="E67" s="276"/>
      <c r="F67" s="276"/>
      <c r="G67" s="276"/>
      <c r="H67" s="276"/>
      <c r="I67" s="276"/>
    </row>
    <row r="68" spans="1:11" ht="12.75">
      <c r="A68" s="275"/>
      <c r="B68" s="276"/>
      <c r="C68" s="276"/>
      <c r="D68" s="276"/>
      <c r="E68" s="276"/>
      <c r="F68" s="276"/>
      <c r="G68" s="276"/>
      <c r="H68" s="276"/>
      <c r="I68" s="276"/>
      <c r="J68" s="276"/>
      <c r="K68" s="276"/>
    </row>
    <row r="69" spans="1:11" ht="12.75">
      <c r="A69" s="275"/>
      <c r="B69" s="276"/>
      <c r="C69" s="276"/>
      <c r="D69" s="276"/>
      <c r="E69" s="276"/>
      <c r="F69" s="276"/>
      <c r="G69" s="276"/>
      <c r="H69" s="276"/>
      <c r="I69" s="276"/>
      <c r="J69" s="276"/>
      <c r="K69" s="276"/>
    </row>
    <row r="70" spans="1:11" ht="12.75">
      <c r="A70" s="275"/>
      <c r="B70" s="281"/>
      <c r="C70" s="281"/>
      <c r="D70" s="281"/>
      <c r="E70" s="281"/>
      <c r="F70" s="281"/>
      <c r="G70" s="281"/>
      <c r="H70" s="281"/>
      <c r="I70" s="281"/>
      <c r="J70" s="276"/>
      <c r="K70" s="276"/>
    </row>
    <row r="71" spans="1:11" ht="12.75">
      <c r="A71" s="275"/>
      <c r="B71" s="274"/>
      <c r="C71" s="274"/>
      <c r="D71" s="274"/>
      <c r="E71" s="274"/>
      <c r="F71" s="274"/>
      <c r="G71" s="274"/>
      <c r="H71" s="274"/>
      <c r="I71" s="274"/>
      <c r="J71" s="276"/>
      <c r="K71" s="276"/>
    </row>
    <row r="72" spans="1:11" ht="12.75">
      <c r="A72" s="275"/>
      <c r="B72" s="285"/>
      <c r="C72" s="285"/>
      <c r="D72" s="285"/>
      <c r="E72" s="285"/>
      <c r="F72" s="285"/>
      <c r="G72" s="285"/>
      <c r="H72" s="285"/>
      <c r="I72" s="285"/>
      <c r="J72" s="274"/>
      <c r="K72" s="274"/>
    </row>
    <row r="73" spans="1:11" ht="12.75">
      <c r="A73" s="275"/>
      <c r="B73" s="282"/>
      <c r="C73" s="282"/>
      <c r="D73" s="282"/>
      <c r="E73" s="282"/>
      <c r="F73" s="282"/>
      <c r="G73" s="282"/>
      <c r="H73" s="282"/>
      <c r="I73" s="282"/>
      <c r="J73" s="282"/>
      <c r="K73" s="282"/>
    </row>
    <row r="74" spans="1:11" ht="12.75">
      <c r="A74" s="275"/>
      <c r="B74" s="283"/>
      <c r="C74" s="283"/>
      <c r="D74" s="283"/>
      <c r="E74" s="283"/>
      <c r="F74" s="283"/>
      <c r="G74" s="283"/>
      <c r="H74" s="283"/>
      <c r="I74" s="283"/>
      <c r="J74" s="283"/>
      <c r="K74" s="283"/>
    </row>
    <row r="75" spans="1:11" ht="12.75">
      <c r="A75" s="275"/>
      <c r="B75" s="285"/>
      <c r="C75" s="285"/>
      <c r="D75" s="285"/>
      <c r="E75" s="285"/>
      <c r="F75" s="285"/>
      <c r="G75" s="285"/>
      <c r="H75" s="285"/>
      <c r="I75" s="285"/>
      <c r="J75" s="283"/>
      <c r="K75" s="283"/>
    </row>
    <row r="76" spans="1:11" ht="12.75">
      <c r="A76" s="275"/>
      <c r="B76" s="285"/>
      <c r="C76" s="285"/>
      <c r="D76" s="285"/>
      <c r="E76" s="285"/>
      <c r="F76" s="285"/>
      <c r="G76" s="285"/>
      <c r="H76" s="285"/>
      <c r="I76" s="285"/>
      <c r="J76" s="283"/>
      <c r="K76" s="283"/>
    </row>
    <row r="77" spans="2:9" ht="12.75">
      <c r="B77" s="283"/>
      <c r="C77" s="283"/>
      <c r="D77" s="283"/>
      <c r="E77" s="283"/>
      <c r="F77" s="283"/>
      <c r="G77" s="283"/>
      <c r="H77" s="283"/>
      <c r="I77" s="283"/>
    </row>
    <row r="78" spans="1:9" ht="12.75">
      <c r="A78" s="275"/>
      <c r="B78" s="274"/>
      <c r="C78" s="274"/>
      <c r="D78" s="274"/>
      <c r="E78" s="274"/>
      <c r="F78" s="274"/>
      <c r="G78" s="274"/>
      <c r="H78" s="274"/>
      <c r="I78" s="274"/>
    </row>
    <row r="79" spans="1:9" ht="12.75">
      <c r="A79" s="275"/>
      <c r="B79" s="276"/>
      <c r="C79" s="276"/>
      <c r="D79" s="276"/>
      <c r="E79" s="276"/>
      <c r="F79" s="276"/>
      <c r="G79" s="276"/>
      <c r="H79" s="276"/>
      <c r="I79" s="276"/>
    </row>
    <row r="80" spans="1:11" ht="12.75">
      <c r="A80" s="275"/>
      <c r="B80" s="276"/>
      <c r="C80" s="276"/>
      <c r="D80" s="276"/>
      <c r="E80" s="276"/>
      <c r="F80" s="276"/>
      <c r="G80" s="276"/>
      <c r="H80" s="276"/>
      <c r="I80" s="276"/>
      <c r="J80" s="276"/>
      <c r="K80" s="276"/>
    </row>
    <row r="81" spans="1:11" ht="12.75">
      <c r="A81" s="275"/>
      <c r="B81" s="276"/>
      <c r="C81" s="276"/>
      <c r="D81" s="276"/>
      <c r="E81" s="276"/>
      <c r="F81" s="276"/>
      <c r="G81" s="276"/>
      <c r="H81" s="276"/>
      <c r="I81" s="276"/>
      <c r="J81" s="276"/>
      <c r="K81" s="276"/>
    </row>
    <row r="82" spans="1:11" ht="12.75">
      <c r="A82" s="275"/>
      <c r="B82" s="281"/>
      <c r="C82" s="281"/>
      <c r="D82" s="281"/>
      <c r="E82" s="281"/>
      <c r="F82" s="281"/>
      <c r="G82" s="281"/>
      <c r="H82" s="281"/>
      <c r="I82" s="281"/>
      <c r="J82" s="276"/>
      <c r="K82" s="276"/>
    </row>
    <row r="83" spans="1:11" ht="12.75">
      <c r="A83" s="275"/>
      <c r="B83" s="274"/>
      <c r="C83" s="274"/>
      <c r="D83" s="274"/>
      <c r="E83" s="274"/>
      <c r="F83" s="274"/>
      <c r="G83" s="274"/>
      <c r="H83" s="274"/>
      <c r="I83" s="274"/>
      <c r="J83" s="276"/>
      <c r="K83" s="276"/>
    </row>
    <row r="84" spans="1:11" ht="12.75">
      <c r="A84" s="275"/>
      <c r="B84" s="279"/>
      <c r="C84" s="279"/>
      <c r="D84" s="279"/>
      <c r="E84" s="279"/>
      <c r="F84" s="279"/>
      <c r="G84" s="279"/>
      <c r="H84" s="279"/>
      <c r="I84" s="279"/>
      <c r="J84" s="274"/>
      <c r="K84" s="274"/>
    </row>
    <row r="85" spans="1:11" ht="12.75">
      <c r="A85" s="275"/>
      <c r="B85" s="282"/>
      <c r="C85" s="282"/>
      <c r="D85" s="282"/>
      <c r="E85" s="282"/>
      <c r="F85" s="282"/>
      <c r="G85" s="282"/>
      <c r="H85" s="282"/>
      <c r="I85" s="282"/>
      <c r="J85" s="282"/>
      <c r="K85" s="282"/>
    </row>
    <row r="86" spans="1:11" ht="12.75">
      <c r="A86" s="275"/>
      <c r="B86" s="283"/>
      <c r="C86" s="283"/>
      <c r="D86" s="283"/>
      <c r="E86" s="283"/>
      <c r="F86" s="283"/>
      <c r="G86" s="283"/>
      <c r="H86" s="283"/>
      <c r="I86" s="283"/>
      <c r="J86" s="283"/>
      <c r="K86" s="283"/>
    </row>
    <row r="87" spans="1:9" ht="12.75">
      <c r="A87" s="275"/>
      <c r="B87" s="285"/>
      <c r="C87" s="285"/>
      <c r="D87" s="285"/>
      <c r="E87" s="285"/>
      <c r="F87" s="285"/>
      <c r="G87" s="285"/>
      <c r="H87" s="285"/>
      <c r="I87" s="285"/>
    </row>
    <row r="88" spans="1:9" ht="12.75">
      <c r="A88" s="275"/>
      <c r="B88" s="285"/>
      <c r="C88" s="285"/>
      <c r="D88" s="285"/>
      <c r="E88" s="285"/>
      <c r="F88" s="285"/>
      <c r="G88" s="285"/>
      <c r="H88" s="285"/>
      <c r="I88" s="285"/>
    </row>
    <row r="89" spans="1:2" ht="12.75">
      <c r="A89" s="275"/>
      <c r="B89" s="275"/>
    </row>
    <row r="90" ht="12.75">
      <c r="A90" s="275"/>
    </row>
    <row r="91" spans="1:10" ht="12.75">
      <c r="A91" s="275"/>
      <c r="B91" s="276"/>
      <c r="C91" s="276"/>
      <c r="D91" s="276"/>
      <c r="E91" s="276"/>
      <c r="F91" s="276"/>
      <c r="G91" s="276"/>
      <c r="H91" s="276"/>
      <c r="I91" s="276"/>
      <c r="J91" s="276"/>
    </row>
    <row r="92" spans="1:10" ht="12.75">
      <c r="A92" s="275"/>
      <c r="B92" s="278"/>
      <c r="C92" s="278"/>
      <c r="D92" s="278"/>
      <c r="E92" s="278"/>
      <c r="F92" s="278"/>
      <c r="G92" s="278"/>
      <c r="H92" s="278"/>
      <c r="I92" s="278"/>
      <c r="J92" s="278"/>
    </row>
    <row r="93" spans="1:10" ht="12.75">
      <c r="A93" s="275"/>
      <c r="B93" s="274"/>
      <c r="C93" s="274"/>
      <c r="D93" s="274"/>
      <c r="E93" s="274"/>
      <c r="F93" s="274"/>
      <c r="G93" s="274"/>
      <c r="H93" s="274"/>
      <c r="I93" s="274"/>
      <c r="J93" s="274"/>
    </row>
    <row r="94" spans="1:10" ht="12.75">
      <c r="A94" s="275"/>
      <c r="B94" s="276"/>
      <c r="C94" s="276"/>
      <c r="D94" s="276"/>
      <c r="E94" s="276"/>
      <c r="F94" s="276"/>
      <c r="G94" s="276"/>
      <c r="H94" s="276"/>
      <c r="I94" s="276"/>
      <c r="J94" s="276"/>
    </row>
    <row r="95" spans="1:10" ht="12.75">
      <c r="A95" s="275"/>
      <c r="B95" s="276"/>
      <c r="C95" s="276"/>
      <c r="D95" s="276"/>
      <c r="E95" s="276"/>
      <c r="F95" s="276"/>
      <c r="G95" s="276"/>
      <c r="H95" s="276"/>
      <c r="I95" s="276"/>
      <c r="J95" s="276"/>
    </row>
    <row r="96" spans="1:10" ht="12.75">
      <c r="A96" s="275"/>
      <c r="B96" s="281"/>
      <c r="C96" s="281"/>
      <c r="D96" s="281"/>
      <c r="E96" s="281"/>
      <c r="F96" s="281"/>
      <c r="G96" s="281"/>
      <c r="H96" s="281"/>
      <c r="I96" s="281"/>
      <c r="J96" s="281"/>
    </row>
    <row r="97" spans="1:10" ht="12.75">
      <c r="A97" s="275"/>
      <c r="B97" s="274"/>
      <c r="C97" s="274"/>
      <c r="D97" s="274"/>
      <c r="E97" s="274"/>
      <c r="F97" s="274"/>
      <c r="G97" s="274"/>
      <c r="H97" s="274"/>
      <c r="I97" s="274"/>
      <c r="J97" s="274"/>
    </row>
    <row r="98" spans="1:10" ht="12.75">
      <c r="A98" s="275"/>
      <c r="B98" s="276"/>
      <c r="C98" s="276"/>
      <c r="D98" s="276"/>
      <c r="E98" s="276"/>
      <c r="F98" s="276"/>
      <c r="G98" s="276"/>
      <c r="H98" s="276"/>
      <c r="I98" s="276"/>
      <c r="J98" s="276"/>
    </row>
    <row r="99" spans="1:10" ht="12.75">
      <c r="A99" s="275"/>
      <c r="B99" s="282"/>
      <c r="C99" s="282"/>
      <c r="D99" s="282"/>
      <c r="E99" s="282"/>
      <c r="F99" s="282"/>
      <c r="G99" s="282"/>
      <c r="H99" s="282"/>
      <c r="I99" s="282"/>
      <c r="J99" s="282"/>
    </row>
    <row r="100" spans="1:10" ht="12.75">
      <c r="A100" s="275"/>
      <c r="B100" s="282"/>
      <c r="C100" s="282"/>
      <c r="D100" s="282"/>
      <c r="E100" s="282"/>
      <c r="F100" s="282"/>
      <c r="G100" s="282"/>
      <c r="H100" s="282"/>
      <c r="I100" s="282"/>
      <c r="J100" s="282"/>
    </row>
    <row r="101" spans="1:10" ht="12.75">
      <c r="A101" s="275"/>
      <c r="B101" s="286"/>
      <c r="C101" s="286"/>
      <c r="D101" s="286"/>
      <c r="E101" s="286"/>
      <c r="F101" s="286"/>
      <c r="G101" s="286"/>
      <c r="H101" s="286"/>
      <c r="I101" s="286"/>
      <c r="J101" s="286"/>
    </row>
    <row r="102" spans="1:10" ht="12.75">
      <c r="A102" s="275"/>
      <c r="B102" s="283"/>
      <c r="C102" s="283"/>
      <c r="D102" s="283"/>
      <c r="E102" s="283"/>
      <c r="F102" s="283"/>
      <c r="G102" s="283"/>
      <c r="H102" s="283"/>
      <c r="I102" s="283"/>
      <c r="J102" s="283"/>
    </row>
    <row r="103" spans="1:10" ht="12.75">
      <c r="A103" s="275"/>
      <c r="B103" s="285"/>
      <c r="C103" s="285"/>
      <c r="D103" s="285"/>
      <c r="E103" s="285"/>
      <c r="F103" s="285"/>
      <c r="G103" s="285"/>
      <c r="H103" s="285"/>
      <c r="I103" s="285"/>
      <c r="J103" s="285"/>
    </row>
    <row r="104" spans="1:10" ht="12.75">
      <c r="A104" s="275"/>
      <c r="B104" s="285"/>
      <c r="C104" s="285"/>
      <c r="D104" s="285"/>
      <c r="E104" s="285"/>
      <c r="F104" s="285"/>
      <c r="G104" s="285"/>
      <c r="H104" s="285"/>
      <c r="I104" s="285"/>
      <c r="J104" s="285"/>
    </row>
    <row r="105" spans="1:9" ht="12.75">
      <c r="A105" s="275"/>
      <c r="B105" s="274"/>
      <c r="C105" s="274"/>
      <c r="D105" s="274"/>
      <c r="E105" s="274"/>
      <c r="F105" s="274"/>
      <c r="G105" s="274"/>
      <c r="H105" s="274"/>
      <c r="I105" s="274"/>
    </row>
    <row r="106" ht="12.75">
      <c r="A106" s="275"/>
    </row>
    <row r="107" spans="1:10" ht="12.75">
      <c r="A107" s="275"/>
      <c r="B107" s="276"/>
      <c r="C107" s="276"/>
      <c r="D107" s="276"/>
      <c r="E107" s="276"/>
      <c r="F107" s="276"/>
      <c r="G107" s="276"/>
      <c r="H107" s="276"/>
      <c r="I107" s="276"/>
      <c r="J107" s="276"/>
    </row>
    <row r="108" spans="1:10" ht="12.75">
      <c r="A108" s="275"/>
      <c r="B108" s="278"/>
      <c r="C108" s="278"/>
      <c r="D108" s="278"/>
      <c r="E108" s="278"/>
      <c r="F108" s="278"/>
      <c r="G108" s="278"/>
      <c r="H108" s="278"/>
      <c r="I108" s="278"/>
      <c r="J108" s="278"/>
    </row>
    <row r="109" spans="1:10" ht="12.75">
      <c r="A109" s="275"/>
      <c r="B109" s="274"/>
      <c r="C109" s="274"/>
      <c r="D109" s="274"/>
      <c r="E109" s="274"/>
      <c r="F109" s="274"/>
      <c r="G109" s="274"/>
      <c r="H109" s="274"/>
      <c r="I109" s="274"/>
      <c r="J109" s="274"/>
    </row>
    <row r="110" spans="1:10" ht="12.75">
      <c r="A110" s="275"/>
      <c r="B110" s="276"/>
      <c r="C110" s="276"/>
      <c r="D110" s="276"/>
      <c r="E110" s="276"/>
      <c r="F110" s="276"/>
      <c r="G110" s="276"/>
      <c r="H110" s="276"/>
      <c r="I110" s="276"/>
      <c r="J110" s="276"/>
    </row>
    <row r="111" spans="1:10" ht="12.75">
      <c r="A111" s="275"/>
      <c r="B111" s="276"/>
      <c r="C111" s="276"/>
      <c r="D111" s="276"/>
      <c r="E111" s="276"/>
      <c r="F111" s="276"/>
      <c r="G111" s="276"/>
      <c r="H111" s="276"/>
      <c r="I111" s="276"/>
      <c r="J111" s="276"/>
    </row>
    <row r="112" spans="1:10" ht="12.75">
      <c r="A112" s="275"/>
      <c r="B112" s="281"/>
      <c r="C112" s="281"/>
      <c r="D112" s="281"/>
      <c r="E112" s="281"/>
      <c r="F112" s="281"/>
      <c r="G112" s="281"/>
      <c r="H112" s="281"/>
      <c r="I112" s="281"/>
      <c r="J112" s="281"/>
    </row>
    <row r="113" spans="1:10" ht="12.75">
      <c r="A113" s="275"/>
      <c r="B113" s="274"/>
      <c r="C113" s="274"/>
      <c r="D113" s="274"/>
      <c r="E113" s="274"/>
      <c r="F113" s="274"/>
      <c r="G113" s="274"/>
      <c r="H113" s="274"/>
      <c r="I113" s="274"/>
      <c r="J113" s="274"/>
    </row>
    <row r="114" spans="1:10" ht="12.75">
      <c r="A114" s="275"/>
      <c r="B114" s="276"/>
      <c r="C114" s="276"/>
      <c r="D114" s="276"/>
      <c r="E114" s="276"/>
      <c r="F114" s="276"/>
      <c r="G114" s="276"/>
      <c r="H114" s="276"/>
      <c r="I114" s="276"/>
      <c r="J114" s="276"/>
    </row>
    <row r="115" spans="1:10" ht="12.75">
      <c r="A115" s="275"/>
      <c r="B115" s="282"/>
      <c r="C115" s="282"/>
      <c r="D115" s="282"/>
      <c r="E115" s="282"/>
      <c r="F115" s="282"/>
      <c r="G115" s="282"/>
      <c r="H115" s="282"/>
      <c r="I115" s="282"/>
      <c r="J115" s="282"/>
    </row>
    <row r="116" spans="1:10" ht="12.75">
      <c r="A116" s="275"/>
      <c r="B116" s="282"/>
      <c r="C116" s="282"/>
      <c r="D116" s="282"/>
      <c r="E116" s="282"/>
      <c r="F116" s="282"/>
      <c r="G116" s="282"/>
      <c r="H116" s="282"/>
      <c r="I116" s="282"/>
      <c r="J116" s="282"/>
    </row>
    <row r="117" spans="1:10" ht="12.75">
      <c r="A117" s="275"/>
      <c r="B117" s="286"/>
      <c r="C117" s="286"/>
      <c r="D117" s="286"/>
      <c r="E117" s="286"/>
      <c r="F117" s="286"/>
      <c r="G117" s="286"/>
      <c r="H117" s="286"/>
      <c r="I117" s="286"/>
      <c r="J117" s="286"/>
    </row>
    <row r="118" spans="1:10" ht="12.75">
      <c r="A118" s="275"/>
      <c r="B118" s="283"/>
      <c r="C118" s="283"/>
      <c r="D118" s="283"/>
      <c r="E118" s="283"/>
      <c r="F118" s="283"/>
      <c r="G118" s="283"/>
      <c r="H118" s="283"/>
      <c r="I118" s="283"/>
      <c r="J118" s="283"/>
    </row>
    <row r="119" spans="1:10" ht="12.75">
      <c r="A119" s="275"/>
      <c r="B119" s="285"/>
      <c r="C119" s="285"/>
      <c r="D119" s="285"/>
      <c r="E119" s="285"/>
      <c r="F119" s="285"/>
      <c r="G119" s="285"/>
      <c r="H119" s="285"/>
      <c r="I119" s="285"/>
      <c r="J119" s="285"/>
    </row>
    <row r="120" spans="1:10" ht="12.75">
      <c r="A120" s="275"/>
      <c r="B120" s="285"/>
      <c r="C120" s="285"/>
      <c r="D120" s="285"/>
      <c r="E120" s="285"/>
      <c r="F120" s="285"/>
      <c r="G120" s="285"/>
      <c r="H120" s="285"/>
      <c r="I120" s="285"/>
      <c r="J120" s="285"/>
    </row>
    <row r="121" spans="1:9" ht="12.75">
      <c r="A121" s="275"/>
      <c r="B121" s="276"/>
      <c r="C121" s="276"/>
      <c r="D121" s="276"/>
      <c r="E121" s="276"/>
      <c r="F121" s="276"/>
      <c r="G121" s="276"/>
      <c r="H121" s="276"/>
      <c r="I121" s="276"/>
    </row>
    <row r="122" ht="12.75">
      <c r="A122" s="275"/>
    </row>
    <row r="123" spans="1:10" ht="12.75">
      <c r="A123" s="275"/>
      <c r="B123" s="276"/>
      <c r="C123" s="276"/>
      <c r="D123" s="276"/>
      <c r="E123" s="276"/>
      <c r="F123" s="276"/>
      <c r="G123" s="276"/>
      <c r="H123" s="276"/>
      <c r="I123" s="276"/>
      <c r="J123" s="276"/>
    </row>
    <row r="124" spans="1:10" ht="12.75">
      <c r="A124" s="275"/>
      <c r="B124" s="278"/>
      <c r="C124" s="278"/>
      <c r="D124" s="278"/>
      <c r="E124" s="278"/>
      <c r="F124" s="278"/>
      <c r="G124" s="278"/>
      <c r="H124" s="278"/>
      <c r="I124" s="278"/>
      <c r="J124" s="278"/>
    </row>
    <row r="125" spans="1:10" ht="12.75">
      <c r="A125" s="275"/>
      <c r="B125" s="274"/>
      <c r="C125" s="274"/>
      <c r="D125" s="274"/>
      <c r="E125" s="274"/>
      <c r="F125" s="274"/>
      <c r="G125" s="274"/>
      <c r="H125" s="274"/>
      <c r="I125" s="274"/>
      <c r="J125" s="274"/>
    </row>
    <row r="126" spans="1:10" ht="12.75">
      <c r="A126" s="275"/>
      <c r="B126" s="276"/>
      <c r="C126" s="276"/>
      <c r="D126" s="276"/>
      <c r="E126" s="276"/>
      <c r="F126" s="276"/>
      <c r="G126" s="276"/>
      <c r="H126" s="276"/>
      <c r="I126" s="276"/>
      <c r="J126" s="276"/>
    </row>
    <row r="127" spans="1:10" ht="12.75">
      <c r="A127" s="275"/>
      <c r="B127" s="276"/>
      <c r="C127" s="276"/>
      <c r="D127" s="276"/>
      <c r="E127" s="276"/>
      <c r="F127" s="276"/>
      <c r="G127" s="276"/>
      <c r="H127" s="276"/>
      <c r="I127" s="276"/>
      <c r="J127" s="276"/>
    </row>
    <row r="128" spans="1:10" ht="12.75">
      <c r="A128" s="275"/>
      <c r="B128" s="281"/>
      <c r="C128" s="281"/>
      <c r="D128" s="281"/>
      <c r="E128" s="281"/>
      <c r="F128" s="281"/>
      <c r="G128" s="281"/>
      <c r="H128" s="281"/>
      <c r="I128" s="281"/>
      <c r="J128" s="281"/>
    </row>
    <row r="129" spans="1:10" ht="12.75">
      <c r="A129" s="275"/>
      <c r="B129" s="274"/>
      <c r="C129" s="274"/>
      <c r="D129" s="274"/>
      <c r="E129" s="274"/>
      <c r="F129" s="274"/>
      <c r="G129" s="274"/>
      <c r="H129" s="274"/>
      <c r="I129" s="274"/>
      <c r="J129" s="274"/>
    </row>
    <row r="130" spans="1:10" ht="12.75">
      <c r="A130" s="275"/>
      <c r="B130" s="276"/>
      <c r="C130" s="276"/>
      <c r="D130" s="276"/>
      <c r="E130" s="276"/>
      <c r="F130" s="276"/>
      <c r="G130" s="276"/>
      <c r="H130" s="276"/>
      <c r="I130" s="276"/>
      <c r="J130" s="276"/>
    </row>
    <row r="131" spans="1:10" ht="12.75">
      <c r="A131" s="275"/>
      <c r="B131" s="282"/>
      <c r="C131" s="282"/>
      <c r="D131" s="282"/>
      <c r="E131" s="282"/>
      <c r="F131" s="282"/>
      <c r="G131" s="282"/>
      <c r="H131" s="282"/>
      <c r="I131" s="282"/>
      <c r="J131" s="282"/>
    </row>
    <row r="132" spans="1:10" ht="12.75">
      <c r="A132" s="275"/>
      <c r="B132" s="282"/>
      <c r="C132" s="282"/>
      <c r="D132" s="282"/>
      <c r="E132" s="282"/>
      <c r="F132" s="282"/>
      <c r="G132" s="282"/>
      <c r="H132" s="282"/>
      <c r="I132" s="282"/>
      <c r="J132" s="282"/>
    </row>
    <row r="133" spans="1:10" ht="12.75">
      <c r="A133" s="275"/>
      <c r="B133" s="286"/>
      <c r="C133" s="286"/>
      <c r="D133" s="286"/>
      <c r="E133" s="286"/>
      <c r="F133" s="286"/>
      <c r="G133" s="286"/>
      <c r="H133" s="286"/>
      <c r="I133" s="286"/>
      <c r="J133" s="286"/>
    </row>
    <row r="134" spans="1:10" ht="12.75">
      <c r="A134" s="275"/>
      <c r="B134" s="283"/>
      <c r="C134" s="283"/>
      <c r="D134" s="283"/>
      <c r="E134" s="283"/>
      <c r="F134" s="283"/>
      <c r="G134" s="283"/>
      <c r="H134" s="283"/>
      <c r="I134" s="283"/>
      <c r="J134" s="283"/>
    </row>
    <row r="135" spans="1:10" ht="12.75">
      <c r="A135" s="275"/>
      <c r="B135" s="285"/>
      <c r="C135" s="285"/>
      <c r="D135" s="285"/>
      <c r="E135" s="285"/>
      <c r="F135" s="285"/>
      <c r="G135" s="285"/>
      <c r="H135" s="285"/>
      <c r="I135" s="285"/>
      <c r="J135" s="285"/>
    </row>
    <row r="136" spans="1:10" ht="12.75">
      <c r="A136" s="275"/>
      <c r="B136" s="285"/>
      <c r="C136" s="285"/>
      <c r="D136" s="285"/>
      <c r="E136" s="285"/>
      <c r="F136" s="285"/>
      <c r="G136" s="285"/>
      <c r="H136" s="285"/>
      <c r="I136" s="285"/>
      <c r="J136" s="285"/>
    </row>
    <row r="137" spans="2:9" ht="12.75">
      <c r="B137" s="283"/>
      <c r="C137" s="283"/>
      <c r="D137" s="283"/>
      <c r="E137" s="283"/>
      <c r="F137" s="283"/>
      <c r="G137" s="283"/>
      <c r="H137" s="283"/>
      <c r="I137" s="283"/>
    </row>
    <row r="139" ht="12.75">
      <c r="B139" s="275"/>
    </row>
    <row r="141" spans="2:9" ht="12.75">
      <c r="B141" s="276"/>
      <c r="C141" s="276"/>
      <c r="D141" s="276"/>
      <c r="E141" s="276"/>
      <c r="F141" s="276"/>
      <c r="G141" s="276"/>
      <c r="H141" s="276"/>
      <c r="I141" s="276"/>
    </row>
    <row r="142" spans="2:9" ht="12.75">
      <c r="B142" s="276"/>
      <c r="C142" s="276"/>
      <c r="D142" s="276"/>
      <c r="E142" s="276"/>
      <c r="F142" s="276"/>
      <c r="G142" s="276"/>
      <c r="H142" s="276"/>
      <c r="I142" s="276"/>
    </row>
    <row r="143" spans="2:9" ht="12.75">
      <c r="B143" s="276"/>
      <c r="C143" s="276"/>
      <c r="D143" s="276"/>
      <c r="E143" s="276"/>
      <c r="F143" s="276"/>
      <c r="G143" s="276"/>
      <c r="H143" s="276"/>
      <c r="I143" s="276"/>
    </row>
    <row r="144" spans="2:9" ht="12.75">
      <c r="B144" s="287"/>
      <c r="C144" s="287"/>
      <c r="D144" s="287"/>
      <c r="E144" s="287"/>
      <c r="F144" s="287"/>
      <c r="G144" s="287"/>
      <c r="H144" s="287"/>
      <c r="I144" s="287"/>
    </row>
    <row r="145" spans="2:9" ht="12.75">
      <c r="B145" s="274"/>
      <c r="C145" s="274"/>
      <c r="D145" s="274"/>
      <c r="E145" s="274"/>
      <c r="F145" s="274"/>
      <c r="G145" s="274"/>
      <c r="H145" s="274"/>
      <c r="I145" s="274"/>
    </row>
    <row r="146" spans="2:9" ht="12.75">
      <c r="B146" s="282"/>
      <c r="C146" s="282"/>
      <c r="D146" s="282"/>
      <c r="E146" s="282"/>
      <c r="F146" s="282"/>
      <c r="G146" s="282"/>
      <c r="H146" s="282"/>
      <c r="I146" s="282"/>
    </row>
    <row r="147" spans="2:9" ht="12.75">
      <c r="B147" s="283"/>
      <c r="C147" s="283"/>
      <c r="D147" s="283"/>
      <c r="E147" s="283"/>
      <c r="F147" s="283"/>
      <c r="G147" s="283"/>
      <c r="H147" s="283"/>
      <c r="I147" s="283"/>
    </row>
    <row r="149" ht="12.75">
      <c r="B149" s="275"/>
    </row>
    <row r="151" spans="2:9" ht="12.75">
      <c r="B151" s="276"/>
      <c r="C151" s="276"/>
      <c r="D151" s="276"/>
      <c r="E151" s="276"/>
      <c r="F151" s="276"/>
      <c r="G151" s="276"/>
      <c r="H151" s="276"/>
      <c r="I151" s="276"/>
    </row>
    <row r="152" spans="2:9" ht="12.75">
      <c r="B152" s="276"/>
      <c r="C152" s="276"/>
      <c r="D152" s="276"/>
      <c r="E152" s="276"/>
      <c r="F152" s="276"/>
      <c r="G152" s="276"/>
      <c r="H152" s="276"/>
      <c r="I152" s="276"/>
    </row>
    <row r="153" spans="2:9" ht="12.75">
      <c r="B153" s="276"/>
      <c r="C153" s="276"/>
      <c r="D153" s="276"/>
      <c r="E153" s="276"/>
      <c r="F153" s="276"/>
      <c r="G153" s="276"/>
      <c r="H153" s="276"/>
      <c r="I153" s="276"/>
    </row>
    <row r="154" spans="2:9" ht="12.75">
      <c r="B154" s="287"/>
      <c r="C154" s="287"/>
      <c r="D154" s="287"/>
      <c r="E154" s="287"/>
      <c r="F154" s="287"/>
      <c r="G154" s="287"/>
      <c r="H154" s="287"/>
      <c r="I154" s="287"/>
    </row>
    <row r="155" spans="2:9" ht="12.75">
      <c r="B155" s="274"/>
      <c r="C155" s="274"/>
      <c r="D155" s="274"/>
      <c r="E155" s="274"/>
      <c r="F155" s="274"/>
      <c r="G155" s="274"/>
      <c r="H155" s="274"/>
      <c r="I155" s="274"/>
    </row>
    <row r="156" spans="2:9" ht="12.75">
      <c r="B156" s="282"/>
      <c r="C156" s="282"/>
      <c r="D156" s="282"/>
      <c r="E156" s="282"/>
      <c r="F156" s="282"/>
      <c r="G156" s="282"/>
      <c r="H156" s="282"/>
      <c r="I156" s="282"/>
    </row>
    <row r="157" spans="2:9" ht="12.75">
      <c r="B157" s="283"/>
      <c r="C157" s="283"/>
      <c r="D157" s="283"/>
      <c r="E157" s="283"/>
      <c r="F157" s="283"/>
      <c r="G157" s="283"/>
      <c r="H157" s="283"/>
      <c r="I157" s="283"/>
    </row>
  </sheetData>
  <sheetProtection/>
  <mergeCells count="2">
    <mergeCell ref="A18:C18"/>
    <mergeCell ref="A29:AZ29"/>
  </mergeCells>
  <printOptions/>
  <pageMargins left="0.75" right="0.75" top="1" bottom="1" header="0.5" footer="0.5"/>
  <pageSetup fitToHeight="1" fitToWidth="1" horizontalDpi="600" verticalDpi="600" orientation="landscape" scale="99" r:id="rId4"/>
  <headerFooter alignWithMargins="0">
    <oddHeader>&amp;C&amp;F</oddHeader>
    <oddFooter>&amp;L&amp;A</oddFooter>
  </headerFooter>
  <drawing r:id="rId3"/>
  <legacyDrawing r:id="rId2"/>
</worksheet>
</file>

<file path=xl/worksheets/sheet35.xml><?xml version="1.0" encoding="utf-8"?>
<worksheet xmlns="http://schemas.openxmlformats.org/spreadsheetml/2006/main" xmlns:r="http://schemas.openxmlformats.org/officeDocument/2006/relationships">
  <sheetPr codeName="Sheet32"/>
  <dimension ref="A1:J58"/>
  <sheetViews>
    <sheetView workbookViewId="0" topLeftCell="A1">
      <selection activeCell="K51" sqref="K51"/>
    </sheetView>
  </sheetViews>
  <sheetFormatPr defaultColWidth="9.140625" defaultRowHeight="12.75"/>
  <cols>
    <col min="1" max="1" width="29.28125" style="365" customWidth="1"/>
    <col min="2" max="2" width="14.28125" style="365" bestFit="1" customWidth="1"/>
    <col min="3" max="3" width="9.421875" style="365" bestFit="1" customWidth="1"/>
    <col min="4" max="4" width="11.7109375" style="365" customWidth="1"/>
    <col min="5" max="5" width="12.28125" style="365" bestFit="1" customWidth="1"/>
    <col min="6" max="16384" width="9.140625" style="365"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ht="12.75"/>
    <row r="4" ht="12.75">
      <c r="A4" s="1417" t="s">
        <v>1623</v>
      </c>
    </row>
    <row r="5" spans="1:5" ht="12.75">
      <c r="A5" s="900" t="s">
        <v>1212</v>
      </c>
      <c r="B5" s="1696">
        <v>2.3</v>
      </c>
      <c r="C5" s="900" t="s">
        <v>1213</v>
      </c>
      <c r="D5" s="900"/>
      <c r="E5" s="900"/>
    </row>
    <row r="6" spans="1:5" ht="12.75">
      <c r="A6" s="900"/>
      <c r="B6" s="1338"/>
      <c r="C6" s="900"/>
      <c r="D6" s="900"/>
      <c r="E6" s="900"/>
    </row>
    <row r="7" spans="1:5" ht="12.75">
      <c r="A7" s="1697" t="s">
        <v>270</v>
      </c>
      <c r="B7" s="1696">
        <v>100</v>
      </c>
      <c r="C7" s="900" t="s">
        <v>159</v>
      </c>
      <c r="D7" s="1696"/>
      <c r="E7" s="900"/>
    </row>
    <row r="8" spans="1:5" ht="12.75">
      <c r="A8" s="1697"/>
      <c r="B8" s="1338"/>
      <c r="C8" s="1338"/>
      <c r="D8" s="1338"/>
      <c r="E8" s="900"/>
    </row>
    <row r="9" spans="1:5" ht="15">
      <c r="A9" s="900" t="s">
        <v>1214</v>
      </c>
      <c r="B9" s="1339">
        <f>'{f}RO&amp;NF Input'!I10*(1-Recovery)/(Recovery*'{b}Capacity'!C8*86400)</f>
        <v>0.6998890532544381</v>
      </c>
      <c r="C9" s="900" t="s">
        <v>1216</v>
      </c>
      <c r="D9" s="900"/>
      <c r="E9" s="900"/>
    </row>
    <row r="10" spans="1:5" ht="12.75">
      <c r="A10" s="900" t="s">
        <v>1207</v>
      </c>
      <c r="B10" s="901">
        <f>SQRT(B9/(0.785*B5))</f>
        <v>0.6226096592042146</v>
      </c>
      <c r="C10" s="900" t="s">
        <v>159</v>
      </c>
      <c r="D10" s="900"/>
      <c r="E10" s="900"/>
    </row>
    <row r="11" spans="1:5" ht="12.75">
      <c r="A11" s="900" t="s">
        <v>1209</v>
      </c>
      <c r="B11" s="901">
        <f>(B9/(40*B10^2.63))^2*B7</f>
        <v>0.3701374483832195</v>
      </c>
      <c r="C11" s="900" t="s">
        <v>159</v>
      </c>
      <c r="D11" s="900"/>
      <c r="E11" s="900"/>
    </row>
    <row r="12" spans="1:6" ht="12.75">
      <c r="A12" s="900"/>
      <c r="B12" s="919">
        <f>B11*270</f>
        <v>99.93711106346926</v>
      </c>
      <c r="C12" s="900" t="s">
        <v>147</v>
      </c>
      <c r="D12" s="900"/>
      <c r="E12" s="900"/>
      <c r="F12" s="912"/>
    </row>
    <row r="13" spans="1:5" ht="12.75">
      <c r="A13" s="900" t="s">
        <v>1210</v>
      </c>
      <c r="B13" s="902">
        <f>IF(B10&lt;=0.3,722.24*B10^1.2909,2556.3*B10-691.33)</f>
        <v>900.247071823734</v>
      </c>
      <c r="C13" s="900" t="s">
        <v>1215</v>
      </c>
      <c r="D13" s="900"/>
      <c r="E13" s="900"/>
    </row>
    <row r="14" ht="13.5" thickBot="1"/>
    <row r="15" spans="2:3" ht="13.5" thickBot="1">
      <c r="B15" s="366" t="s">
        <v>1211</v>
      </c>
      <c r="C15" s="367">
        <f>B13*B7</f>
        <v>90024.7071823734</v>
      </c>
    </row>
    <row r="16" ht="12.75"/>
    <row r="17" ht="13.5" thickBot="1"/>
    <row r="18" spans="1:6" ht="12.75">
      <c r="A18" s="905"/>
      <c r="B18" s="906"/>
      <c r="C18" s="906"/>
      <c r="D18" s="906"/>
      <c r="E18" s="907" t="s">
        <v>1217</v>
      </c>
      <c r="F18" s="908"/>
    </row>
    <row r="19" spans="1:6" ht="15.75" thickBot="1">
      <c r="A19" s="909" t="s">
        <v>1212</v>
      </c>
      <c r="B19" s="903" t="s">
        <v>1208</v>
      </c>
      <c r="C19" s="904" t="s">
        <v>1136</v>
      </c>
      <c r="D19" s="904" t="s">
        <v>1135</v>
      </c>
      <c r="E19" s="904" t="s">
        <v>1137</v>
      </c>
      <c r="F19" s="910" t="s">
        <v>1138</v>
      </c>
    </row>
    <row r="20" spans="1:6" ht="13.5" thickTop="1">
      <c r="A20" s="911">
        <v>2.3</v>
      </c>
      <c r="B20" s="912">
        <v>100</v>
      </c>
      <c r="C20" s="912">
        <v>0.001</v>
      </c>
      <c r="D20" s="913">
        <f>SQRT(C20/(0.785*$A$20))</f>
        <v>0.02353429828549472</v>
      </c>
      <c r="E20" s="913">
        <f>(C20/(40*D20^2.63))^2*$B$20</f>
        <v>22.947291012834583</v>
      </c>
      <c r="F20" s="914">
        <f>(0.0002*$B$20*$A$20^2)/D20</f>
        <v>4.495566373661943</v>
      </c>
    </row>
    <row r="21" spans="1:6" ht="12.75">
      <c r="A21" s="911"/>
      <c r="B21" s="912"/>
      <c r="C21" s="912">
        <v>0.01</v>
      </c>
      <c r="D21" s="913">
        <f aca="true" t="shared" si="0" ref="D21:D58">SQRT(C21/(0.785*$A$20))</f>
        <v>0.07442198571595895</v>
      </c>
      <c r="E21" s="913">
        <f aca="true" t="shared" si="1" ref="E21:E58">(C21/(40*D21^2.63))^2*$B$20</f>
        <v>5.379370082581883</v>
      </c>
      <c r="F21" s="914">
        <f aca="true" t="shared" si="2" ref="F21:F58">(0.0002*$B$20*$A$20^2)/D21</f>
        <v>1.4216229113235335</v>
      </c>
    </row>
    <row r="22" spans="1:6" ht="12.75">
      <c r="A22" s="911"/>
      <c r="B22" s="912"/>
      <c r="C22" s="912">
        <v>0.02</v>
      </c>
      <c r="D22" s="913">
        <f t="shared" si="0"/>
        <v>0.1052485815382459</v>
      </c>
      <c r="E22" s="913">
        <f t="shared" si="1"/>
        <v>3.4760220766356738</v>
      </c>
      <c r="F22" s="914">
        <f t="shared" si="2"/>
        <v>1.0052392008870326</v>
      </c>
    </row>
    <row r="23" spans="1:6" ht="12.75">
      <c r="A23" s="911"/>
      <c r="B23" s="912"/>
      <c r="C23" s="912">
        <v>0.03</v>
      </c>
      <c r="D23" s="913">
        <f t="shared" si="0"/>
        <v>0.12890266046020615</v>
      </c>
      <c r="E23" s="913">
        <f t="shared" si="1"/>
        <v>2.6924337932821754</v>
      </c>
      <c r="F23" s="914">
        <f t="shared" si="2"/>
        <v>0.8207743705387816</v>
      </c>
    </row>
    <row r="24" spans="1:6" ht="12.75">
      <c r="A24" s="911"/>
      <c r="B24" s="912"/>
      <c r="C24" s="912">
        <v>0.04</v>
      </c>
      <c r="D24" s="913">
        <f t="shared" si="0"/>
        <v>0.1488439714319179</v>
      </c>
      <c r="E24" s="913">
        <f t="shared" si="1"/>
        <v>2.2461234850492584</v>
      </c>
      <c r="F24" s="914">
        <f t="shared" si="2"/>
        <v>0.7108114556617667</v>
      </c>
    </row>
    <row r="25" spans="1:6" ht="12.75">
      <c r="A25" s="911"/>
      <c r="B25" s="912"/>
      <c r="C25" s="912">
        <v>0.05</v>
      </c>
      <c r="D25" s="913">
        <f t="shared" si="0"/>
        <v>0.16641261908140256</v>
      </c>
      <c r="E25" s="913">
        <f t="shared" si="1"/>
        <v>1.9515528665090456</v>
      </c>
      <c r="F25" s="914">
        <f t="shared" si="2"/>
        <v>0.6357690936181153</v>
      </c>
    </row>
    <row r="26" spans="1:6" ht="12.75">
      <c r="A26" s="911"/>
      <c r="B26" s="912"/>
      <c r="C26" s="912">
        <v>0.06</v>
      </c>
      <c r="D26" s="913">
        <f t="shared" si="0"/>
        <v>0.18229589064879764</v>
      </c>
      <c r="E26" s="913">
        <f t="shared" si="1"/>
        <v>1.73978721702613</v>
      </c>
      <c r="F26" s="914">
        <f t="shared" si="2"/>
        <v>0.5803751232320925</v>
      </c>
    </row>
    <row r="27" spans="1:6" ht="12.75">
      <c r="A27" s="911"/>
      <c r="B27" s="912"/>
      <c r="C27" s="1699">
        <v>0.07</v>
      </c>
      <c r="D27" s="1700">
        <f t="shared" si="0"/>
        <v>0.19690206628002863</v>
      </c>
      <c r="E27" s="1700">
        <f t="shared" si="1"/>
        <v>1.5787728821094458</v>
      </c>
      <c r="F27" s="1701">
        <f t="shared" si="2"/>
        <v>0.5373229544962427</v>
      </c>
    </row>
    <row r="28" spans="1:6" ht="12.75">
      <c r="A28" s="911"/>
      <c r="B28" s="912"/>
      <c r="C28" s="912">
        <v>0.08</v>
      </c>
      <c r="D28" s="913">
        <f t="shared" si="0"/>
        <v>0.2104971630764918</v>
      </c>
      <c r="E28" s="913">
        <f t="shared" si="1"/>
        <v>1.4513920219323824</v>
      </c>
      <c r="F28" s="914">
        <f t="shared" si="2"/>
        <v>0.5026196004435163</v>
      </c>
    </row>
    <row r="29" spans="1:6" ht="12.75">
      <c r="A29" s="911"/>
      <c r="B29" s="912"/>
      <c r="C29" s="912">
        <v>0.09</v>
      </c>
      <c r="D29" s="913">
        <f t="shared" si="0"/>
        <v>0.22326595714787684</v>
      </c>
      <c r="E29" s="913">
        <f t="shared" si="1"/>
        <v>1.3475926771947473</v>
      </c>
      <c r="F29" s="914">
        <f t="shared" si="2"/>
        <v>0.47387430377451123</v>
      </c>
    </row>
    <row r="30" spans="1:6" ht="12.75">
      <c r="A30" s="911"/>
      <c r="B30" s="912"/>
      <c r="C30" s="912">
        <v>0.1</v>
      </c>
      <c r="D30" s="913">
        <f t="shared" si="0"/>
        <v>0.23534298285494723</v>
      </c>
      <c r="E30" s="913">
        <f t="shared" si="1"/>
        <v>1.261047435585836</v>
      </c>
      <c r="F30" s="914">
        <f t="shared" si="2"/>
        <v>0.4495566373661943</v>
      </c>
    </row>
    <row r="31" spans="1:6" ht="12.75">
      <c r="A31" s="911"/>
      <c r="B31" s="912"/>
      <c r="C31" s="912">
        <v>0.11</v>
      </c>
      <c r="D31" s="913">
        <f t="shared" si="0"/>
        <v>0.2468298027730249</v>
      </c>
      <c r="E31" s="913">
        <f t="shared" si="1"/>
        <v>1.1875558179765158</v>
      </c>
      <c r="F31" s="914">
        <f t="shared" si="2"/>
        <v>0.4286354354757134</v>
      </c>
    </row>
    <row r="32" spans="1:6" ht="12.75">
      <c r="A32" s="911"/>
      <c r="B32" s="912"/>
      <c r="C32" s="912">
        <v>0.12</v>
      </c>
      <c r="D32" s="913">
        <f t="shared" si="0"/>
        <v>0.2578053209204123</v>
      </c>
      <c r="E32" s="913">
        <f t="shared" si="1"/>
        <v>1.1242094673153222</v>
      </c>
      <c r="F32" s="914">
        <f t="shared" si="2"/>
        <v>0.4103871852693908</v>
      </c>
    </row>
    <row r="33" spans="1:6" ht="12.75">
      <c r="A33" s="911"/>
      <c r="B33" s="912"/>
      <c r="C33" s="912">
        <v>0.13</v>
      </c>
      <c r="D33" s="913">
        <f t="shared" si="0"/>
        <v>0.26833228552073857</v>
      </c>
      <c r="E33" s="913">
        <f t="shared" si="1"/>
        <v>1.068924697004128</v>
      </c>
      <c r="F33" s="914">
        <f t="shared" si="2"/>
        <v>0.3942872539347228</v>
      </c>
    </row>
    <row r="34" spans="1:6" ht="12.75">
      <c r="A34" s="911"/>
      <c r="B34" s="912"/>
      <c r="C34" s="912">
        <v>0.14</v>
      </c>
      <c r="D34" s="913">
        <f t="shared" si="0"/>
        <v>0.27846157259250254</v>
      </c>
      <c r="E34" s="913">
        <f t="shared" si="1"/>
        <v>1.020165801563928</v>
      </c>
      <c r="F34" s="914">
        <f t="shared" si="2"/>
        <v>0.37994470481148396</v>
      </c>
    </row>
    <row r="35" spans="1:6" ht="12.75">
      <c r="A35" s="911"/>
      <c r="B35" s="912"/>
      <c r="C35" s="912">
        <v>0.15</v>
      </c>
      <c r="D35" s="913">
        <f t="shared" si="0"/>
        <v>0.2882351112695953</v>
      </c>
      <c r="E35" s="913">
        <f t="shared" si="1"/>
        <v>0.9767736382702508</v>
      </c>
      <c r="F35" s="914">
        <f t="shared" si="2"/>
        <v>0.3670614573428633</v>
      </c>
    </row>
    <row r="36" spans="1:6" ht="12.75">
      <c r="A36" s="911"/>
      <c r="B36" s="912"/>
      <c r="C36" s="912">
        <v>0.16</v>
      </c>
      <c r="D36" s="913">
        <f t="shared" si="0"/>
        <v>0.2976879428638358</v>
      </c>
      <c r="E36" s="913">
        <f t="shared" si="1"/>
        <v>0.9378552939544935</v>
      </c>
      <c r="F36" s="914">
        <f t="shared" si="2"/>
        <v>0.35540572783088337</v>
      </c>
    </row>
    <row r="37" spans="1:6" ht="12.75">
      <c r="A37" s="911"/>
      <c r="B37" s="912"/>
      <c r="C37" s="912">
        <v>0.17</v>
      </c>
      <c r="D37" s="913">
        <f t="shared" si="0"/>
        <v>0.3068497079751075</v>
      </c>
      <c r="E37" s="913">
        <f t="shared" si="1"/>
        <v>0.9027107261431453</v>
      </c>
      <c r="F37" s="914">
        <f t="shared" si="2"/>
        <v>0.3447942013638246</v>
      </c>
    </row>
    <row r="38" spans="1:6" ht="12.75">
      <c r="A38" s="911"/>
      <c r="B38" s="912"/>
      <c r="C38" s="912">
        <v>0.18</v>
      </c>
      <c r="D38" s="913">
        <f t="shared" si="0"/>
        <v>0.3157457446147377</v>
      </c>
      <c r="E38" s="913">
        <f t="shared" si="1"/>
        <v>0.8707826054594939</v>
      </c>
      <c r="F38" s="914">
        <f t="shared" si="2"/>
        <v>0.33507973362901083</v>
      </c>
    </row>
    <row r="39" spans="1:10" ht="12.75">
      <c r="A39" s="911"/>
      <c r="B39" s="912"/>
      <c r="C39" s="912">
        <v>0.19</v>
      </c>
      <c r="D39" s="913">
        <f t="shared" si="0"/>
        <v>0.32439791491349257</v>
      </c>
      <c r="E39" s="913">
        <f t="shared" si="1"/>
        <v>0.841621176959597</v>
      </c>
      <c r="F39" s="914">
        <f t="shared" si="2"/>
        <v>0.326142663488493</v>
      </c>
      <c r="J39" s="1698"/>
    </row>
    <row r="40" spans="1:6" ht="12.75">
      <c r="A40" s="911"/>
      <c r="B40" s="912"/>
      <c r="C40" s="912">
        <v>0.2</v>
      </c>
      <c r="D40" s="913">
        <f t="shared" si="0"/>
        <v>0.3328252381628051</v>
      </c>
      <c r="E40" s="913">
        <f t="shared" si="1"/>
        <v>0.8148591114737538</v>
      </c>
      <c r="F40" s="914">
        <f t="shared" si="2"/>
        <v>0.31788454680905764</v>
      </c>
    </row>
    <row r="41" spans="1:6" ht="12.75">
      <c r="A41" s="911"/>
      <c r="B41" s="912"/>
      <c r="C41" s="912">
        <v>0.3</v>
      </c>
      <c r="D41" s="913">
        <f t="shared" si="0"/>
        <v>0.4076260035095797</v>
      </c>
      <c r="E41" s="913">
        <f t="shared" si="1"/>
        <v>0.6311680881553208</v>
      </c>
      <c r="F41" s="914">
        <f t="shared" si="2"/>
        <v>0.2595516455993553</v>
      </c>
    </row>
    <row r="42" spans="1:6" ht="12.75">
      <c r="A42" s="911"/>
      <c r="B42" s="912"/>
      <c r="C42" s="912">
        <v>0.4</v>
      </c>
      <c r="D42" s="913">
        <f t="shared" si="0"/>
        <v>0.47068596570989446</v>
      </c>
      <c r="E42" s="913">
        <f t="shared" si="1"/>
        <v>0.5265427396419287</v>
      </c>
      <c r="F42" s="914">
        <f t="shared" si="2"/>
        <v>0.22477831868309714</v>
      </c>
    </row>
    <row r="43" spans="1:6" ht="12.75">
      <c r="A43" s="911"/>
      <c r="B43" s="912"/>
      <c r="C43" s="912">
        <v>0.5</v>
      </c>
      <c r="D43" s="913">
        <f t="shared" si="0"/>
        <v>0.5262429076912295</v>
      </c>
      <c r="E43" s="913">
        <f t="shared" si="1"/>
        <v>0.4574886464290694</v>
      </c>
      <c r="F43" s="914">
        <f t="shared" si="2"/>
        <v>0.2010478401774065</v>
      </c>
    </row>
    <row r="44" spans="1:6" ht="12.75">
      <c r="A44" s="911"/>
      <c r="B44" s="912"/>
      <c r="C44" s="912">
        <v>0.6</v>
      </c>
      <c r="D44" s="913">
        <f t="shared" si="0"/>
        <v>0.5764702225391906</v>
      </c>
      <c r="E44" s="913">
        <f t="shared" si="1"/>
        <v>0.407845932667791</v>
      </c>
      <c r="F44" s="914">
        <f t="shared" si="2"/>
        <v>0.18353072867143164</v>
      </c>
    </row>
    <row r="45" spans="1:6" ht="12.75">
      <c r="A45" s="911"/>
      <c r="B45" s="912"/>
      <c r="C45" s="912">
        <v>0.7</v>
      </c>
      <c r="D45" s="913">
        <f t="shared" si="0"/>
        <v>0.622659005438328</v>
      </c>
      <c r="E45" s="913">
        <f t="shared" si="1"/>
        <v>0.3701004883086648</v>
      </c>
      <c r="F45" s="914">
        <f t="shared" si="2"/>
        <v>0.16991643752991392</v>
      </c>
    </row>
    <row r="46" spans="1:6" ht="12.75">
      <c r="A46" s="911"/>
      <c r="B46" s="912"/>
      <c r="C46" s="912">
        <v>0.8</v>
      </c>
      <c r="D46" s="913">
        <f t="shared" si="0"/>
        <v>0.6656504763256103</v>
      </c>
      <c r="E46" s="913">
        <f t="shared" si="1"/>
        <v>0.34023950001393366</v>
      </c>
      <c r="F46" s="914">
        <f t="shared" si="2"/>
        <v>0.15894227340452882</v>
      </c>
    </row>
    <row r="47" spans="1:6" ht="12.75">
      <c r="A47" s="911"/>
      <c r="B47" s="912"/>
      <c r="C47" s="912">
        <v>0.9</v>
      </c>
      <c r="D47" s="913">
        <f t="shared" si="0"/>
        <v>0.7060289485648417</v>
      </c>
      <c r="E47" s="913">
        <f t="shared" si="1"/>
        <v>0.3159065585194043</v>
      </c>
      <c r="F47" s="914">
        <f t="shared" si="2"/>
        <v>0.1498522124553981</v>
      </c>
    </row>
    <row r="48" spans="1:6" ht="12.75">
      <c r="A48" s="911"/>
      <c r="B48" s="912"/>
      <c r="C48" s="912">
        <v>1</v>
      </c>
      <c r="D48" s="913">
        <f t="shared" si="0"/>
        <v>0.7442198571595894</v>
      </c>
      <c r="E48" s="913">
        <f t="shared" si="1"/>
        <v>0.29561837359856147</v>
      </c>
      <c r="F48" s="914">
        <f t="shared" si="2"/>
        <v>0.14216229113235337</v>
      </c>
    </row>
    <row r="49" spans="1:6" ht="12.75">
      <c r="A49" s="911"/>
      <c r="B49" s="912"/>
      <c r="C49" s="912">
        <v>1.1</v>
      </c>
      <c r="D49" s="913">
        <f t="shared" si="0"/>
        <v>0.7805443711729038</v>
      </c>
      <c r="E49" s="913">
        <f t="shared" si="1"/>
        <v>0.27839025683013685</v>
      </c>
      <c r="F49" s="914">
        <f t="shared" si="2"/>
        <v>0.13554642619613935</v>
      </c>
    </row>
    <row r="50" spans="1:6" ht="12.75">
      <c r="A50" s="911"/>
      <c r="B50" s="912"/>
      <c r="C50" s="912">
        <v>1.2</v>
      </c>
      <c r="D50" s="913">
        <f t="shared" si="0"/>
        <v>0.8152520070191595</v>
      </c>
      <c r="E50" s="913">
        <f t="shared" si="1"/>
        <v>0.2635404227736041</v>
      </c>
      <c r="F50" s="914">
        <f t="shared" si="2"/>
        <v>0.12977582279967764</v>
      </c>
    </row>
    <row r="51" spans="1:6" ht="12.75">
      <c r="A51" s="911"/>
      <c r="B51" s="912"/>
      <c r="C51" s="912">
        <v>1.3</v>
      </c>
      <c r="D51" s="913">
        <f t="shared" si="0"/>
        <v>0.8485411920041547</v>
      </c>
      <c r="E51" s="913">
        <f t="shared" si="1"/>
        <v>0.2505804076124195</v>
      </c>
      <c r="F51" s="914">
        <f t="shared" si="2"/>
        <v>0.12468457748069108</v>
      </c>
    </row>
    <row r="52" spans="1:6" ht="12.75">
      <c r="A52" s="911"/>
      <c r="B52" s="912"/>
      <c r="C52" s="912">
        <v>1.4</v>
      </c>
      <c r="D52" s="913">
        <f t="shared" si="0"/>
        <v>0.8805728102246262</v>
      </c>
      <c r="E52" s="913">
        <f t="shared" si="1"/>
        <v>0.23915020684301064</v>
      </c>
      <c r="F52" s="914">
        <f t="shared" si="2"/>
        <v>0.12014906521246252</v>
      </c>
    </row>
    <row r="53" spans="1:6" ht="12.75">
      <c r="A53" s="911"/>
      <c r="B53" s="912"/>
      <c r="C53" s="912">
        <v>1.5</v>
      </c>
      <c r="D53" s="913">
        <f t="shared" si="0"/>
        <v>0.9114794532439882</v>
      </c>
      <c r="E53" s="913">
        <f t="shared" si="1"/>
        <v>0.2289780908878001</v>
      </c>
      <c r="F53" s="914">
        <f t="shared" si="2"/>
        <v>0.1160750246464185</v>
      </c>
    </row>
    <row r="54" spans="1:6" ht="12.75">
      <c r="A54" s="911"/>
      <c r="B54" s="912"/>
      <c r="C54" s="912">
        <v>1.6</v>
      </c>
      <c r="D54" s="913">
        <f t="shared" si="0"/>
        <v>0.9413719314197889</v>
      </c>
      <c r="E54" s="913">
        <f t="shared" si="1"/>
        <v>0.2198547404688459</v>
      </c>
      <c r="F54" s="914">
        <f t="shared" si="2"/>
        <v>0.11238915934154857</v>
      </c>
    </row>
    <row r="55" spans="1:6" ht="12.75">
      <c r="A55" s="911"/>
      <c r="B55" s="912"/>
      <c r="C55" s="912">
        <v>1.7</v>
      </c>
      <c r="D55" s="913">
        <f t="shared" si="0"/>
        <v>0.9703439765588734</v>
      </c>
      <c r="E55" s="913">
        <f t="shared" si="1"/>
        <v>0.21161604961231345</v>
      </c>
      <c r="F55" s="914">
        <f t="shared" si="2"/>
        <v>0.10903350003284204</v>
      </c>
    </row>
    <row r="56" spans="1:6" ht="12.75">
      <c r="A56" s="911"/>
      <c r="B56" s="912"/>
      <c r="C56" s="912">
        <v>1.8</v>
      </c>
      <c r="D56" s="913">
        <f t="shared" si="0"/>
        <v>0.9984757144884153</v>
      </c>
      <c r="E56" s="913">
        <f t="shared" si="1"/>
        <v>0.20413136755975053</v>
      </c>
      <c r="F56" s="914">
        <f t="shared" si="2"/>
        <v>0.10596151560301922</v>
      </c>
    </row>
    <row r="57" spans="1:6" ht="12.75">
      <c r="A57" s="911"/>
      <c r="B57" s="912"/>
      <c r="C57" s="912">
        <v>1.9</v>
      </c>
      <c r="D57" s="913">
        <f t="shared" si="0"/>
        <v>1.0258362793361402</v>
      </c>
      <c r="E57" s="913">
        <f t="shared" si="1"/>
        <v>0.19729526146121554</v>
      </c>
      <c r="F57" s="914">
        <f t="shared" si="2"/>
        <v>0.10313536587774749</v>
      </c>
    </row>
    <row r="58" spans="1:6" ht="13.5" thickBot="1">
      <c r="A58" s="915"/>
      <c r="B58" s="916"/>
      <c r="C58" s="916">
        <v>2</v>
      </c>
      <c r="D58" s="917">
        <f t="shared" si="0"/>
        <v>1.052485815382459</v>
      </c>
      <c r="E58" s="917">
        <f t="shared" si="1"/>
        <v>0.1910216209542763</v>
      </c>
      <c r="F58" s="918">
        <f t="shared" si="2"/>
        <v>0.10052392008870326</v>
      </c>
    </row>
  </sheetData>
  <printOptions/>
  <pageMargins left="0.75" right="0.75" top="1" bottom="1" header="0.5" footer="0.5"/>
  <pageSetup horizontalDpi="600" verticalDpi="600" orientation="portrait" r:id="rId4"/>
  <drawing r:id="rId3"/>
  <legacyDrawing r:id="rId2"/>
</worksheet>
</file>

<file path=xl/worksheets/sheet36.xml><?xml version="1.0" encoding="utf-8"?>
<worksheet xmlns="http://schemas.openxmlformats.org/spreadsheetml/2006/main" xmlns:r="http://schemas.openxmlformats.org/officeDocument/2006/relationships">
  <sheetPr codeName="Sheet33"/>
  <dimension ref="A1:D41"/>
  <sheetViews>
    <sheetView workbookViewId="0" topLeftCell="A1">
      <selection activeCell="B21" sqref="B21"/>
    </sheetView>
  </sheetViews>
  <sheetFormatPr defaultColWidth="9.140625" defaultRowHeight="12.75"/>
  <cols>
    <col min="1" max="1" width="28.28125" style="317" customWidth="1"/>
    <col min="2" max="2" width="15.7109375" style="317" customWidth="1"/>
    <col min="3" max="16384" width="9.140625" style="317"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669" t="s">
        <v>1624</v>
      </c>
    </row>
    <row r="6" spans="1:2" ht="12.75">
      <c r="A6" s="925" t="s">
        <v>1803</v>
      </c>
      <c r="B6" s="926">
        <v>36713</v>
      </c>
    </row>
    <row r="8" spans="1:4" ht="12.75">
      <c r="A8" s="925" t="s">
        <v>806</v>
      </c>
      <c r="B8" s="1342">
        <f>'{c}Report'!D87</f>
        <v>1000</v>
      </c>
      <c r="C8" s="1342" t="s">
        <v>862</v>
      </c>
      <c r="D8" s="1343">
        <f>'{e}H20 Analysis'!C43</f>
        <v>500</v>
      </c>
    </row>
    <row r="9" spans="1:3" ht="12.75">
      <c r="A9" s="925" t="s">
        <v>889</v>
      </c>
      <c r="B9" s="1344">
        <f>'{b}Capacity'!H20</f>
        <v>105.25175677973562</v>
      </c>
      <c r="C9" s="1342" t="s">
        <v>1090</v>
      </c>
    </row>
    <row r="10" spans="1:4" ht="12.75">
      <c r="A10" s="1342" t="s">
        <v>332</v>
      </c>
      <c r="B10" s="1345">
        <f>(1.4*(176*B8+172218))*(1*(0.686*B9+0.2609))</f>
        <v>35326384.32180987</v>
      </c>
      <c r="C10" s="1342"/>
      <c r="D10" s="1342"/>
    </row>
    <row r="11" spans="1:4" ht="12.75">
      <c r="A11" s="1342" t="s">
        <v>1107</v>
      </c>
      <c r="B11" s="1346">
        <f>(0.0022*B8-0.4316)*(0.1138*B9+0.8986)</f>
        <v>22.770360361240577</v>
      </c>
      <c r="C11" s="1342" t="s">
        <v>1109</v>
      </c>
      <c r="D11" s="1342"/>
    </row>
    <row r="12" spans="1:4" ht="12.75">
      <c r="A12" s="1342" t="s">
        <v>219</v>
      </c>
      <c r="B12" s="1345">
        <f>(0.1*B8+3947.4)*(11.829*B9+2.451)</f>
        <v>5049026.392856882</v>
      </c>
      <c r="C12" s="1342"/>
      <c r="D12" s="1342"/>
    </row>
    <row r="13" spans="1:4" ht="12.75">
      <c r="A13" s="1342" t="s">
        <v>1110</v>
      </c>
      <c r="B13" s="1340">
        <f>'{c}Report'!D94</f>
        <v>0.75</v>
      </c>
      <c r="C13" s="1342"/>
      <c r="D13" s="1342"/>
    </row>
    <row r="14" spans="1:4" ht="12.75">
      <c r="A14" s="925" t="s">
        <v>1115</v>
      </c>
      <c r="B14" s="1341">
        <f>'{c}Report'!D86</f>
        <v>3</v>
      </c>
      <c r="C14" s="1342"/>
      <c r="D14" s="1342"/>
    </row>
    <row r="15" ht="12.75">
      <c r="A15" s="317" t="s">
        <v>1111</v>
      </c>
    </row>
    <row r="16" ht="13.5" thickBot="1">
      <c r="B16" s="320"/>
    </row>
    <row r="17" spans="1:2" ht="12.75">
      <c r="A17" s="76" t="s">
        <v>1802</v>
      </c>
      <c r="B17" s="920"/>
    </row>
    <row r="18" spans="1:2" ht="12.75">
      <c r="A18" s="81"/>
      <c r="B18" s="921"/>
    </row>
    <row r="19" spans="1:2" ht="12.75">
      <c r="A19" s="81" t="s">
        <v>207</v>
      </c>
      <c r="B19" s="922">
        <f>B11*B9*1000*Power*'{b}Capacity'!C9*365</f>
        <v>58171969.39999637</v>
      </c>
    </row>
    <row r="20" spans="1:2" ht="12.75">
      <c r="A20" s="81" t="s">
        <v>210</v>
      </c>
      <c r="B20" s="922">
        <f>ENR_Labor*365*'{b}Capacity'!C8*B14</f>
        <v>31809.75</v>
      </c>
    </row>
    <row r="21" spans="1:2" ht="12.75">
      <c r="A21" s="81" t="s">
        <v>219</v>
      </c>
      <c r="B21" s="922">
        <f>B12</f>
        <v>5049026.392856882</v>
      </c>
    </row>
    <row r="22" spans="1:2" ht="12.75">
      <c r="A22" s="81" t="s">
        <v>220</v>
      </c>
      <c r="B22" s="922">
        <f>1000*B9</f>
        <v>105251.75677973562</v>
      </c>
    </row>
    <row r="23" spans="1:3" ht="12.75">
      <c r="A23" s="81" t="s">
        <v>222</v>
      </c>
      <c r="B23" s="922">
        <f>(23097*(B9*1000000*0.003785/86400/B13)-6.245)*12*'{d}Cost Index'!E17</f>
        <v>2024874.2560978823</v>
      </c>
      <c r="C23" s="335"/>
    </row>
    <row r="24" spans="1:2" ht="12.75">
      <c r="A24" s="81" t="s">
        <v>223</v>
      </c>
      <c r="B24" s="922">
        <f>0.005*B10</f>
        <v>176631.92160904937</v>
      </c>
    </row>
    <row r="25" spans="1:2" ht="12.75">
      <c r="A25" s="81" t="s">
        <v>225</v>
      </c>
      <c r="B25" s="922">
        <f>0.002*B10</f>
        <v>70652.76864361975</v>
      </c>
    </row>
    <row r="26" spans="1:2" ht="13.5" thickBot="1">
      <c r="A26" s="81" t="s">
        <v>227</v>
      </c>
      <c r="B26" s="923">
        <f>800*12*B9</f>
        <v>1010416.8650854619</v>
      </c>
    </row>
    <row r="27" spans="1:2" ht="13.5" thickBot="1">
      <c r="A27" s="91" t="s">
        <v>229</v>
      </c>
      <c r="B27" s="924">
        <f>SUM(B19:B26)</f>
        <v>66640633.111069</v>
      </c>
    </row>
    <row r="28" ht="12.75">
      <c r="A28" s="92"/>
    </row>
    <row r="29" spans="1:2" ht="13.5" thickBot="1">
      <c r="A29" s="80"/>
      <c r="B29" s="320"/>
    </row>
    <row r="30" spans="1:2" ht="15.75">
      <c r="A30" s="95" t="s">
        <v>230</v>
      </c>
      <c r="B30" s="321">
        <f>B10</f>
        <v>35326384.32180987</v>
      </c>
    </row>
    <row r="31" ht="12.75">
      <c r="A31" s="81"/>
    </row>
    <row r="32" spans="1:2" ht="12.75">
      <c r="A32" s="96" t="s">
        <v>231</v>
      </c>
      <c r="B32" s="318">
        <f>B30*(Interest/100)*(1+(Interest/100))^Years/((1+(Interest/100))^Years-1)</f>
        <v>2566423.3678585566</v>
      </c>
    </row>
    <row r="33" ht="12.75">
      <c r="A33" s="96"/>
    </row>
    <row r="34" spans="1:2" ht="15.75">
      <c r="A34" s="148" t="s">
        <v>267</v>
      </c>
      <c r="B34" s="321">
        <f>B27+B32</f>
        <v>69207056.47892755</v>
      </c>
    </row>
    <row r="35" spans="1:2" ht="18">
      <c r="A35" s="149" t="s">
        <v>668</v>
      </c>
      <c r="B35" s="319">
        <f>B$34/(B$9*3785*365*'{b}Capacity'!$C$7)</f>
        <v>0.5010010904485223</v>
      </c>
    </row>
    <row r="36" spans="1:2" ht="15">
      <c r="A36" s="149" t="s">
        <v>666</v>
      </c>
      <c r="B36" s="319">
        <f>B$34/(B$9*1000*365*'{b}Capacity'!$C$7)</f>
        <v>1.8962891273476568</v>
      </c>
    </row>
    <row r="37" spans="1:2" ht="15.75" thickBot="1">
      <c r="A37" s="150" t="s">
        <v>670</v>
      </c>
      <c r="B37" s="322">
        <f>B$34/(B$9*1120*'{b}Capacity'!$C$7)</f>
        <v>617.9870816802631</v>
      </c>
    </row>
    <row r="40" spans="1:2" ht="12.75">
      <c r="A40" s="1808" t="s">
        <v>756</v>
      </c>
      <c r="B40" s="1807"/>
    </row>
    <row r="41" spans="1:2" ht="12.75">
      <c r="A41" s="1807" t="s">
        <v>755</v>
      </c>
      <c r="B41" s="1807"/>
    </row>
  </sheetData>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codeName="Sheet8"/>
  <dimension ref="A1:P291"/>
  <sheetViews>
    <sheetView workbookViewId="0" topLeftCell="A1">
      <selection activeCell="F47" sqref="F47"/>
    </sheetView>
  </sheetViews>
  <sheetFormatPr defaultColWidth="9.140625" defaultRowHeight="12.75"/>
  <cols>
    <col min="1" max="1" width="36.8515625" style="153" customWidth="1"/>
    <col min="2" max="3" width="14.421875" style="153" customWidth="1"/>
    <col min="4" max="4" width="14.421875" style="153" bestFit="1" customWidth="1"/>
    <col min="5" max="5" width="8.7109375" style="153" customWidth="1"/>
    <col min="6" max="6" width="46.28125" style="153" customWidth="1"/>
    <col min="7" max="7" width="14.7109375" style="153" customWidth="1"/>
    <col min="8" max="8" width="16.57421875" style="153" customWidth="1"/>
    <col min="9" max="9" width="13.7109375" style="153" customWidth="1"/>
    <col min="10" max="10" width="26.57421875" style="153" customWidth="1"/>
    <col min="11" max="11" width="17.7109375" style="153" customWidth="1"/>
    <col min="12" max="12" width="20.7109375" style="153" customWidth="1"/>
    <col min="13" max="13" width="24.8515625" style="154" customWidth="1"/>
    <col min="14" max="14" width="20.7109375" style="153" customWidth="1"/>
    <col min="15" max="15" width="17.7109375" style="153" customWidth="1"/>
    <col min="16" max="16" width="27.57421875" style="153" bestFit="1" customWidth="1"/>
    <col min="17" max="17" width="25.421875" style="244" bestFit="1" customWidth="1"/>
    <col min="18" max="16384" width="8.7109375" style="153"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668" t="s">
        <v>595</v>
      </c>
    </row>
    <row r="5" ht="13.5" thickBot="1"/>
    <row r="6" spans="1:8" ht="15.75">
      <c r="A6" s="772" t="s">
        <v>1804</v>
      </c>
      <c r="B6" s="773"/>
      <c r="C6" s="773"/>
      <c r="D6" s="773"/>
      <c r="E6" s="773"/>
      <c r="F6" s="773"/>
      <c r="G6" s="773"/>
      <c r="H6" s="774"/>
    </row>
    <row r="7" spans="1:8" ht="15.75">
      <c r="A7" s="927"/>
      <c r="B7" s="123"/>
      <c r="C7" s="123"/>
      <c r="D7" s="123"/>
      <c r="E7" s="123"/>
      <c r="F7" s="123"/>
      <c r="G7" s="123"/>
      <c r="H7" s="132"/>
    </row>
    <row r="8" spans="1:8" ht="13.5" thickBot="1">
      <c r="A8" s="855" t="s">
        <v>599</v>
      </c>
      <c r="B8" s="1370" t="s">
        <v>597</v>
      </c>
      <c r="C8" s="204" t="s">
        <v>1682</v>
      </c>
      <c r="D8" s="1371" t="s">
        <v>596</v>
      </c>
      <c r="E8" s="123"/>
      <c r="F8" s="172" t="s">
        <v>219</v>
      </c>
      <c r="G8" s="123"/>
      <c r="H8" s="164" t="s">
        <v>598</v>
      </c>
    </row>
    <row r="9" spans="1:8" ht="12.75">
      <c r="A9" s="1351" t="s">
        <v>891</v>
      </c>
      <c r="B9" s="1966">
        <f>'{b}Capacity'!B18</f>
        <v>4380.787037037037</v>
      </c>
      <c r="C9" s="1948" t="s">
        <v>1</v>
      </c>
      <c r="D9" s="1373"/>
      <c r="E9" s="123"/>
      <c r="F9" s="1358" t="s">
        <v>600</v>
      </c>
      <c r="G9" s="1369">
        <v>25</v>
      </c>
      <c r="H9" s="1362">
        <v>100</v>
      </c>
    </row>
    <row r="10" spans="1:8" ht="15" thickBot="1">
      <c r="A10" s="1352" t="s">
        <v>77</v>
      </c>
      <c r="B10" s="747">
        <f>B9*3.6</f>
        <v>15770.833333333336</v>
      </c>
      <c r="C10" s="1949" t="s">
        <v>892</v>
      </c>
      <c r="D10" s="1374"/>
      <c r="E10" s="123"/>
      <c r="F10" s="1138" t="s">
        <v>601</v>
      </c>
      <c r="G10" s="1368">
        <v>15</v>
      </c>
      <c r="H10" s="1363">
        <v>15</v>
      </c>
    </row>
    <row r="11" spans="1:8" ht="12.75">
      <c r="A11" s="1352" t="s">
        <v>876</v>
      </c>
      <c r="B11" s="747">
        <f>'{e}H20 Analysis'!$C$43</f>
        <v>500</v>
      </c>
      <c r="C11" s="1949" t="s">
        <v>1692</v>
      </c>
      <c r="D11" s="1357"/>
      <c r="E11" s="123"/>
      <c r="F11" s="123"/>
      <c r="G11" s="123"/>
      <c r="H11" s="164"/>
    </row>
    <row r="12" spans="1:16" ht="13.5" thickBot="1">
      <c r="A12" s="1352" t="s">
        <v>127</v>
      </c>
      <c r="B12" s="747">
        <f>'{c}Report'!D91</f>
        <v>500</v>
      </c>
      <c r="C12" s="1949" t="s">
        <v>1692</v>
      </c>
      <c r="D12" s="1357"/>
      <c r="E12" s="123"/>
      <c r="F12" s="172" t="s">
        <v>602</v>
      </c>
      <c r="G12" s="128"/>
      <c r="H12" s="164"/>
      <c r="J12" s="154"/>
      <c r="K12" s="155"/>
      <c r="L12" s="155"/>
      <c r="M12" s="243"/>
      <c r="N12" s="155"/>
      <c r="O12" s="155"/>
      <c r="P12" s="155"/>
    </row>
    <row r="13" spans="1:16" ht="12.75">
      <c r="A13" s="1352" t="s">
        <v>1404</v>
      </c>
      <c r="B13" s="207">
        <f>'{e}H20 Analysis'!C52</f>
        <v>35.55398294840506</v>
      </c>
      <c r="C13" s="1950"/>
      <c r="D13" s="1357"/>
      <c r="E13" s="123"/>
      <c r="F13" s="1358" t="s">
        <v>603</v>
      </c>
      <c r="G13" s="1367">
        <v>1.65</v>
      </c>
      <c r="H13" s="1364">
        <v>1.65</v>
      </c>
      <c r="J13" s="154"/>
      <c r="K13" s="155"/>
      <c r="L13" s="155"/>
      <c r="M13" s="243"/>
      <c r="N13" s="155"/>
      <c r="O13" s="155"/>
      <c r="P13" s="155"/>
    </row>
    <row r="14" spans="1:16" ht="13.5" thickBot="1">
      <c r="A14" s="1146" t="s">
        <v>1768</v>
      </c>
      <c r="B14" s="306">
        <v>0.5</v>
      </c>
      <c r="C14" s="1951"/>
      <c r="D14" s="715"/>
      <c r="E14" s="123"/>
      <c r="F14" s="1138" t="s">
        <v>605</v>
      </c>
      <c r="G14" s="1360">
        <f>Power</f>
        <v>0.07</v>
      </c>
      <c r="H14" s="1365">
        <v>0.08</v>
      </c>
      <c r="J14" s="154"/>
      <c r="K14" s="155"/>
      <c r="L14" s="155"/>
      <c r="M14" s="243"/>
      <c r="N14" s="155"/>
      <c r="O14" s="155"/>
      <c r="P14" s="155"/>
    </row>
    <row r="15" spans="1:16" ht="12.75">
      <c r="A15" s="163"/>
      <c r="B15" s="123"/>
      <c r="C15" s="123"/>
      <c r="E15" s="123"/>
      <c r="F15" s="123"/>
      <c r="G15" s="123"/>
      <c r="H15" s="164"/>
      <c r="J15" s="154"/>
      <c r="K15" s="155"/>
      <c r="L15" s="155"/>
      <c r="M15" s="243"/>
      <c r="N15" s="155"/>
      <c r="O15" s="155"/>
      <c r="P15" s="155"/>
    </row>
    <row r="16" spans="1:16" ht="13.5" thickBot="1">
      <c r="A16" s="841" t="s">
        <v>606</v>
      </c>
      <c r="B16" s="123"/>
      <c r="C16" s="123"/>
      <c r="E16" s="123"/>
      <c r="F16" s="172" t="s">
        <v>607</v>
      </c>
      <c r="G16" s="123"/>
      <c r="H16" s="164"/>
      <c r="J16" s="154"/>
      <c r="K16" s="155"/>
      <c r="L16" s="155"/>
      <c r="M16" s="243"/>
      <c r="N16" s="155"/>
      <c r="O16" s="155"/>
      <c r="P16" s="155"/>
    </row>
    <row r="17" spans="1:16" ht="12.75">
      <c r="A17" s="1351" t="s">
        <v>609</v>
      </c>
      <c r="B17" s="1383">
        <f>(B11-B12)/B13</f>
        <v>0</v>
      </c>
      <c r="C17" s="1952"/>
      <c r="D17" s="1356"/>
      <c r="E17" s="123"/>
      <c r="F17" s="1355" t="s">
        <v>608</v>
      </c>
      <c r="G17" s="1361">
        <f>ENR_Labor</f>
        <v>29.05</v>
      </c>
      <c r="H17" s="1362">
        <v>15</v>
      </c>
      <c r="J17" s="154"/>
      <c r="K17" s="155"/>
      <c r="L17" s="155"/>
      <c r="M17" s="243"/>
      <c r="N17" s="155"/>
      <c r="O17" s="155"/>
      <c r="P17" s="155"/>
    </row>
    <row r="18" spans="1:16" ht="13.5" thickBot="1">
      <c r="A18" s="1146" t="s">
        <v>611</v>
      </c>
      <c r="B18" s="1375">
        <f>B11/B12</f>
        <v>1</v>
      </c>
      <c r="C18" s="1953"/>
      <c r="D18" s="715"/>
      <c r="E18" s="123"/>
      <c r="F18" s="1011" t="s">
        <v>610</v>
      </c>
      <c r="G18" s="314">
        <v>0.2</v>
      </c>
      <c r="H18" s="1366">
        <v>0.2</v>
      </c>
      <c r="J18" s="154"/>
      <c r="K18" s="155"/>
      <c r="L18" s="155"/>
      <c r="M18" s="243"/>
      <c r="N18" s="155"/>
      <c r="O18" s="155"/>
      <c r="P18" s="155"/>
    </row>
    <row r="19" spans="1:16" ht="13.5" thickBot="1">
      <c r="A19" s="163"/>
      <c r="B19" s="123"/>
      <c r="C19" s="123"/>
      <c r="E19" s="123"/>
      <c r="F19" s="1123" t="s">
        <v>612</v>
      </c>
      <c r="G19" s="1368">
        <v>1</v>
      </c>
      <c r="H19" s="1363">
        <v>1</v>
      </c>
      <c r="J19" s="154"/>
      <c r="K19" s="155"/>
      <c r="L19" s="155"/>
      <c r="M19" s="243"/>
      <c r="N19" s="155"/>
      <c r="O19" s="155"/>
      <c r="P19" s="155"/>
    </row>
    <row r="20" spans="1:16" ht="13.5" thickBot="1">
      <c r="A20" s="855" t="s">
        <v>613</v>
      </c>
      <c r="B20" s="123"/>
      <c r="C20" s="123"/>
      <c r="E20" s="123"/>
      <c r="F20" s="123"/>
      <c r="G20" s="123"/>
      <c r="H20" s="164"/>
      <c r="J20" s="154"/>
      <c r="K20" s="155"/>
      <c r="L20" s="155"/>
      <c r="M20" s="243"/>
      <c r="N20" s="155"/>
      <c r="O20" s="155"/>
      <c r="P20" s="155"/>
    </row>
    <row r="21" spans="1:16" ht="13.5" thickBot="1">
      <c r="A21" s="1351" t="s">
        <v>614</v>
      </c>
      <c r="B21" s="1350"/>
      <c r="C21" s="1954"/>
      <c r="D21" s="1356"/>
      <c r="E21" s="123"/>
      <c r="F21" s="172" t="s">
        <v>231</v>
      </c>
      <c r="G21" s="123"/>
      <c r="H21" s="164"/>
      <c r="J21" s="154"/>
      <c r="K21" s="155"/>
      <c r="L21" s="155"/>
      <c r="M21" s="243"/>
      <c r="N21" s="155"/>
      <c r="O21" s="155"/>
      <c r="P21" s="155"/>
    </row>
    <row r="22" spans="1:16" ht="12.75">
      <c r="A22" s="1352" t="s">
        <v>615</v>
      </c>
      <c r="B22" s="205"/>
      <c r="C22" s="216"/>
      <c r="D22" s="1357"/>
      <c r="E22" s="123"/>
      <c r="F22" s="1355" t="s">
        <v>616</v>
      </c>
      <c r="G22" s="1350">
        <f>Years</f>
        <v>30</v>
      </c>
      <c r="H22" s="1364">
        <v>15</v>
      </c>
      <c r="J22" s="154"/>
      <c r="K22" s="155"/>
      <c r="L22" s="155"/>
      <c r="M22" s="243"/>
      <c r="N22" s="155"/>
      <c r="O22" s="155"/>
      <c r="P22" s="155"/>
    </row>
    <row r="23" spans="1:16" ht="12.75">
      <c r="A23" s="1352" t="s">
        <v>617</v>
      </c>
      <c r="B23" s="205"/>
      <c r="C23" s="216"/>
      <c r="D23" s="1357"/>
      <c r="E23" s="123"/>
      <c r="F23" s="1011" t="s">
        <v>620</v>
      </c>
      <c r="G23" s="205">
        <f>1-'{b}Capacity'!C9</f>
        <v>0.050000000000000044</v>
      </c>
      <c r="H23" s="1366">
        <v>15</v>
      </c>
      <c r="J23" s="154"/>
      <c r="K23" s="186"/>
      <c r="L23" s="186"/>
      <c r="N23" s="186"/>
      <c r="O23" s="186"/>
      <c r="P23" s="186"/>
    </row>
    <row r="24" spans="1:16" ht="13.5" thickBot="1">
      <c r="A24" s="1352" t="s">
        <v>619</v>
      </c>
      <c r="B24" s="1376">
        <v>0.47</v>
      </c>
      <c r="C24" s="1956"/>
      <c r="D24" s="1377">
        <v>0.4</v>
      </c>
      <c r="E24" s="123"/>
      <c r="F24" s="1123" t="s">
        <v>618</v>
      </c>
      <c r="G24" s="391">
        <f>Interest</f>
        <v>6</v>
      </c>
      <c r="H24" s="1363">
        <v>10</v>
      </c>
      <c r="J24" s="154"/>
      <c r="K24" s="187"/>
      <c r="L24" s="187"/>
      <c r="N24" s="187"/>
      <c r="O24" s="187"/>
      <c r="P24" s="187"/>
    </row>
    <row r="25" spans="1:16" ht="12.75">
      <c r="A25" s="632"/>
      <c r="B25" s="1378" t="s">
        <v>1734</v>
      </c>
      <c r="C25" s="1955"/>
      <c r="D25" s="1357"/>
      <c r="E25" s="123"/>
      <c r="F25" s="123"/>
      <c r="G25" s="123"/>
      <c r="H25" s="164"/>
      <c r="K25" s="187"/>
      <c r="L25" s="187"/>
      <c r="N25" s="187"/>
      <c r="O25" s="187"/>
      <c r="P25" s="187"/>
    </row>
    <row r="26" spans="1:16" ht="13.5" thickBot="1">
      <c r="A26" s="1352" t="s">
        <v>621</v>
      </c>
      <c r="B26" s="759">
        <f>SUM(B24:B25)</f>
        <v>0.47</v>
      </c>
      <c r="C26" s="1956"/>
      <c r="D26" s="1357"/>
      <c r="E26" s="123"/>
      <c r="F26" s="122" t="s">
        <v>1113</v>
      </c>
      <c r="G26" s="123"/>
      <c r="H26" s="164"/>
      <c r="K26" s="187"/>
      <c r="L26" s="187"/>
      <c r="N26" s="187"/>
      <c r="O26" s="187"/>
      <c r="P26" s="187"/>
    </row>
    <row r="27" spans="1:16" ht="13.5" thickBot="1">
      <c r="A27" s="632"/>
      <c r="B27" s="205"/>
      <c r="C27" s="216"/>
      <c r="D27" s="1357"/>
      <c r="E27" s="123"/>
      <c r="F27" s="1348" t="str">
        <f>"Based on Membrane Cost @ $"&amp;G9&amp;"/m2"</f>
        <v>Based on Membrane Cost @ $25/m2</v>
      </c>
      <c r="G27" s="1353">
        <f>B50*G9*$G$13</f>
        <v>0</v>
      </c>
      <c r="H27" s="164"/>
      <c r="N27" s="187"/>
      <c r="O27" s="187"/>
      <c r="P27" s="187"/>
    </row>
    <row r="28" spans="1:16" ht="13.5" thickBot="1">
      <c r="A28" s="1352" t="s">
        <v>622</v>
      </c>
      <c r="B28" s="1376">
        <v>0.47</v>
      </c>
      <c r="C28" s="1956"/>
      <c r="D28" s="1377">
        <v>0.4</v>
      </c>
      <c r="E28" s="123"/>
      <c r="F28" s="123"/>
      <c r="G28" s="1234"/>
      <c r="H28" s="164"/>
      <c r="N28" s="187"/>
      <c r="O28" s="187"/>
      <c r="P28" s="187"/>
    </row>
    <row r="29" spans="1:8" ht="13.5" thickBot="1">
      <c r="A29" s="632"/>
      <c r="B29" s="205"/>
      <c r="C29" s="216"/>
      <c r="D29" s="1357"/>
      <c r="E29" s="123"/>
      <c r="F29" s="181" t="s">
        <v>1806</v>
      </c>
      <c r="G29" s="1304"/>
      <c r="H29" s="164"/>
    </row>
    <row r="30" spans="1:8" ht="12.75">
      <c r="A30" s="1352" t="s">
        <v>623</v>
      </c>
      <c r="B30" s="759">
        <f>SUM(B28:B29)</f>
        <v>0.47</v>
      </c>
      <c r="C30" s="1956"/>
      <c r="D30" s="1357"/>
      <c r="E30" s="123"/>
      <c r="F30" s="1355" t="s">
        <v>641</v>
      </c>
      <c r="G30" s="1359">
        <f>IF(B11&lt;1000,1000,IF(B11&lt;1800,1500,2000))*12*G23*'{d}Cost Index'!$D$17</f>
        <v>1248.8059348117763</v>
      </c>
      <c r="H30" s="164"/>
    </row>
    <row r="31" spans="1:8" ht="12.75">
      <c r="A31" s="1352"/>
      <c r="B31" s="759"/>
      <c r="C31" s="1956"/>
      <c r="D31" s="1357"/>
      <c r="E31" s="123"/>
      <c r="F31" s="1011" t="s">
        <v>642</v>
      </c>
      <c r="G31" s="1242">
        <f>0.05*G27*'{d}Cost Index'!D17</f>
        <v>0</v>
      </c>
      <c r="H31" s="132"/>
    </row>
    <row r="32" spans="1:8" ht="12.75">
      <c r="A32" s="1352" t="s">
        <v>624</v>
      </c>
      <c r="B32" s="759">
        <f>(B26+B30)-(0.006*B17*26.8/(100*B39))</f>
        <v>0.94</v>
      </c>
      <c r="C32" s="1956"/>
      <c r="D32" s="1357"/>
      <c r="E32" s="123"/>
      <c r="F32" s="1011" t="s">
        <v>643</v>
      </c>
      <c r="G32" s="1242">
        <f>PMT(G24%/12,G10,,-G9*B50)</f>
        <v>0</v>
      </c>
      <c r="H32" s="164"/>
    </row>
    <row r="33" spans="1:8" ht="12.75">
      <c r="A33" s="1352" t="s">
        <v>625</v>
      </c>
      <c r="B33" s="759"/>
      <c r="C33" s="1956"/>
      <c r="D33" s="1357"/>
      <c r="E33" s="123"/>
      <c r="F33" s="1011" t="s">
        <v>650</v>
      </c>
      <c r="G33" s="1242">
        <f>8*G17*G18*G19*365*'{b}Capacity'!C8</f>
        <v>16965.2</v>
      </c>
      <c r="H33" s="164"/>
    </row>
    <row r="34" spans="1:8" ht="12.75">
      <c r="A34" s="1352" t="s">
        <v>898</v>
      </c>
      <c r="B34" s="1376">
        <v>0.85</v>
      </c>
      <c r="C34" s="1956" t="s">
        <v>939</v>
      </c>
      <c r="D34" s="1377"/>
      <c r="E34" s="123"/>
      <c r="F34" s="1011" t="str">
        <f>"ED Electicity Cost/year @ $"&amp;G14&amp;"/kWhr:"</f>
        <v>ED Electicity Cost/year @ $0.07/kWhr:</v>
      </c>
      <c r="G34" s="1186">
        <f>B47*G14*365*G23</f>
        <v>82200.73750000009</v>
      </c>
      <c r="H34" s="164"/>
    </row>
    <row r="35" spans="1:8" ht="13.5" thickBot="1">
      <c r="A35" s="1352" t="s">
        <v>895</v>
      </c>
      <c r="B35" s="314">
        <v>0</v>
      </c>
      <c r="C35" s="216" t="s">
        <v>897</v>
      </c>
      <c r="D35" s="1357"/>
      <c r="E35" s="123"/>
      <c r="F35" s="1123" t="s">
        <v>231</v>
      </c>
      <c r="G35" s="1188">
        <f>PMT(G24%/12,($G$22*12),-$G$27,0)*12</f>
        <v>0</v>
      </c>
      <c r="H35" s="164"/>
    </row>
    <row r="36" spans="1:8" ht="13.5" thickBot="1">
      <c r="A36" s="1352" t="s">
        <v>894</v>
      </c>
      <c r="B36" s="314">
        <v>0</v>
      </c>
      <c r="C36" s="216" t="s">
        <v>893</v>
      </c>
      <c r="D36" s="1357"/>
      <c r="E36" s="123"/>
      <c r="F36" s="127" t="str">
        <f>TEXT(IndexDate,"mmmm, yyyy")&amp;"  O&amp;M $:"</f>
        <v>November, 2006  O&amp;M $:</v>
      </c>
      <c r="G36" s="1354">
        <f>SUM(G30:G35)</f>
        <v>100414.74343481187</v>
      </c>
      <c r="H36" s="164"/>
    </row>
    <row r="37" spans="1:8" ht="12.75">
      <c r="A37" s="1352" t="s">
        <v>899</v>
      </c>
      <c r="B37" s="1376">
        <v>0.07</v>
      </c>
      <c r="C37" s="1956" t="s">
        <v>896</v>
      </c>
      <c r="D37" s="1377"/>
      <c r="E37" s="123"/>
      <c r="F37" s="123"/>
      <c r="G37" s="123"/>
      <c r="H37" s="164"/>
    </row>
    <row r="38" spans="1:8" ht="12.75">
      <c r="A38" s="1352" t="s">
        <v>636</v>
      </c>
      <c r="B38" s="759">
        <f>SUM(B35:B37)</f>
        <v>0.07</v>
      </c>
      <c r="C38" s="1956"/>
      <c r="D38" s="1377">
        <v>0.86</v>
      </c>
      <c r="E38" s="123"/>
      <c r="F38" s="123"/>
      <c r="G38" s="123"/>
      <c r="H38" s="164"/>
    </row>
    <row r="39" spans="1:8" ht="12.75">
      <c r="A39" s="1352" t="s">
        <v>900</v>
      </c>
      <c r="B39" s="1379">
        <v>30</v>
      </c>
      <c r="C39" s="1964" t="s">
        <v>901</v>
      </c>
      <c r="D39" s="1380" t="s">
        <v>637</v>
      </c>
      <c r="E39" s="123"/>
      <c r="F39" s="123"/>
      <c r="G39" s="123"/>
      <c r="H39" s="164"/>
    </row>
    <row r="40" spans="1:8" ht="12.75">
      <c r="A40" s="1352" t="s">
        <v>638</v>
      </c>
      <c r="B40" s="1376">
        <v>0.86</v>
      </c>
      <c r="C40" s="1956"/>
      <c r="D40" s="1380"/>
      <c r="E40" s="123"/>
      <c r="F40" s="123"/>
      <c r="G40" s="123"/>
      <c r="H40" s="164"/>
    </row>
    <row r="41" spans="1:8" ht="12.75">
      <c r="A41" s="1352" t="s">
        <v>914</v>
      </c>
      <c r="B41" s="759"/>
      <c r="C41" s="1956" t="s">
        <v>915</v>
      </c>
      <c r="D41" s="1357"/>
      <c r="E41" s="123"/>
      <c r="F41" s="123"/>
      <c r="G41" s="123"/>
      <c r="H41" s="164"/>
    </row>
    <row r="42" spans="1:8" ht="13.5" thickBot="1">
      <c r="A42" s="1146" t="s">
        <v>639</v>
      </c>
      <c r="B42" s="1381">
        <f>(B38*B39/100)+B41</f>
        <v>0.021</v>
      </c>
      <c r="C42" s="1957"/>
      <c r="D42" s="1382">
        <v>1</v>
      </c>
      <c r="E42" s="123"/>
      <c r="F42" s="123"/>
      <c r="G42" s="123"/>
      <c r="H42" s="164"/>
    </row>
    <row r="43" spans="1:8" ht="12.75">
      <c r="A43" s="163"/>
      <c r="B43" s="123"/>
      <c r="C43" s="123"/>
      <c r="E43" s="123"/>
      <c r="F43" s="123"/>
      <c r="G43" s="123"/>
      <c r="H43" s="164"/>
    </row>
    <row r="44" spans="1:9" ht="13.5" thickBot="1">
      <c r="A44" s="855" t="s">
        <v>640</v>
      </c>
      <c r="B44" s="123"/>
      <c r="C44" s="123"/>
      <c r="E44" s="123"/>
      <c r="F44" s="123"/>
      <c r="G44" s="123"/>
      <c r="H44" s="164"/>
      <c r="I44" s="186"/>
    </row>
    <row r="45" spans="1:8" ht="12.75">
      <c r="A45" s="1351" t="s">
        <v>902</v>
      </c>
      <c r="B45" s="1383">
        <f>B17*B42*26.8/(B40*1000)</f>
        <v>0</v>
      </c>
      <c r="C45" s="1952" t="s">
        <v>903</v>
      </c>
      <c r="D45" s="1384"/>
      <c r="E45" s="123"/>
      <c r="F45" s="123"/>
      <c r="G45" s="123"/>
      <c r="H45" s="164"/>
    </row>
    <row r="46" spans="1:8" ht="12.75">
      <c r="A46" s="1352" t="s">
        <v>904</v>
      </c>
      <c r="B46" s="1385">
        <v>0.17</v>
      </c>
      <c r="C46" s="1962" t="s">
        <v>905</v>
      </c>
      <c r="D46" s="1386">
        <v>0.17</v>
      </c>
      <c r="E46" s="123"/>
      <c r="F46" s="123"/>
      <c r="G46" s="123"/>
      <c r="H46" s="164"/>
    </row>
    <row r="47" spans="1:8" ht="13.5" thickBot="1">
      <c r="A47" s="1146" t="s">
        <v>906</v>
      </c>
      <c r="B47" s="1347">
        <f>(B45+B46)*B10*24</f>
        <v>64345.000000000015</v>
      </c>
      <c r="C47" s="1958" t="s">
        <v>907</v>
      </c>
      <c r="D47" s="697"/>
      <c r="E47" s="123"/>
      <c r="F47" s="123"/>
      <c r="G47" s="123"/>
      <c r="H47" s="164"/>
    </row>
    <row r="48" spans="1:8" ht="12.75">
      <c r="A48" s="163"/>
      <c r="B48" s="123"/>
      <c r="C48" s="123"/>
      <c r="E48" s="123"/>
      <c r="F48" s="123"/>
      <c r="G48" s="123"/>
      <c r="H48" s="164"/>
    </row>
    <row r="49" spans="1:8" ht="13.5" thickBot="1">
      <c r="A49" s="855" t="s">
        <v>644</v>
      </c>
      <c r="B49" s="123"/>
      <c r="C49" s="123"/>
      <c r="E49" s="123"/>
      <c r="F49" s="123"/>
      <c r="G49" s="123"/>
      <c r="H49" s="164"/>
    </row>
    <row r="50" spans="1:8" ht="12.75">
      <c r="A50" s="1351" t="s">
        <v>908</v>
      </c>
      <c r="B50" s="1387">
        <f>B45*B10*1000/(B39*B42)</f>
        <v>0</v>
      </c>
      <c r="C50" s="1959" t="s">
        <v>939</v>
      </c>
      <c r="D50" s="1356"/>
      <c r="E50" s="123"/>
      <c r="F50" s="123"/>
      <c r="G50" s="123"/>
      <c r="H50" s="164"/>
    </row>
    <row r="51" spans="1:8" ht="13.5" thickBot="1">
      <c r="A51" s="1146" t="s">
        <v>651</v>
      </c>
      <c r="B51" s="1388">
        <f>B50/B34</f>
        <v>0</v>
      </c>
      <c r="C51" s="1960"/>
      <c r="D51" s="715"/>
      <c r="E51" s="123"/>
      <c r="F51" s="123"/>
      <c r="G51" s="123"/>
      <c r="H51" s="164"/>
    </row>
    <row r="52" spans="1:8" ht="13.5" thickBot="1">
      <c r="A52" s="165"/>
      <c r="B52" s="128"/>
      <c r="C52" s="128"/>
      <c r="D52" s="166"/>
      <c r="E52" s="128"/>
      <c r="F52" s="128"/>
      <c r="G52" s="128"/>
      <c r="H52" s="167"/>
    </row>
    <row r="53" spans="2:7" ht="12.75">
      <c r="B53" s="123"/>
      <c r="C53" s="123"/>
      <c r="E53" s="123"/>
      <c r="F53" s="123"/>
      <c r="G53" s="123"/>
    </row>
    <row r="54" spans="2:7" ht="13.5" thickBot="1">
      <c r="B54" s="123"/>
      <c r="C54" s="123"/>
      <c r="E54" s="123"/>
      <c r="F54" s="123"/>
      <c r="G54" s="123"/>
    </row>
    <row r="55" spans="1:8" ht="15.75">
      <c r="A55" s="772" t="s">
        <v>1611</v>
      </c>
      <c r="B55" s="773"/>
      <c r="C55" s="773"/>
      <c r="D55" s="773"/>
      <c r="E55" s="773"/>
      <c r="F55" s="773"/>
      <c r="G55" s="773"/>
      <c r="H55" s="774"/>
    </row>
    <row r="56" spans="1:8" ht="15.75">
      <c r="A56" s="928"/>
      <c r="B56" s="123"/>
      <c r="C56" s="123"/>
      <c r="E56" s="123"/>
      <c r="F56" s="123"/>
      <c r="G56" s="123"/>
      <c r="H56" s="164"/>
    </row>
    <row r="57" spans="1:8" ht="13.5" thickBot="1">
      <c r="A57" s="855" t="s">
        <v>599</v>
      </c>
      <c r="B57" s="204" t="s">
        <v>597</v>
      </c>
      <c r="C57" s="204"/>
      <c r="D57" s="157" t="s">
        <v>596</v>
      </c>
      <c r="E57" s="123"/>
      <c r="F57" s="172" t="s">
        <v>219</v>
      </c>
      <c r="G57" s="123"/>
      <c r="H57" s="164" t="s">
        <v>598</v>
      </c>
    </row>
    <row r="58" spans="1:8" ht="12.75">
      <c r="A58" s="1351" t="s">
        <v>77</v>
      </c>
      <c r="B58" s="1372">
        <f>'{c}Report'!D93*'{b}Capacity'!$B$32</f>
        <v>2576.933551198257</v>
      </c>
      <c r="C58" s="1948" t="s">
        <v>1539</v>
      </c>
      <c r="D58" s="1373"/>
      <c r="E58" s="123"/>
      <c r="F58" s="1358" t="s">
        <v>600</v>
      </c>
      <c r="G58" s="1391">
        <v>100</v>
      </c>
      <c r="H58" s="1364">
        <v>100</v>
      </c>
    </row>
    <row r="59" spans="1:8" ht="13.5" thickBot="1">
      <c r="A59" s="1352" t="s">
        <v>77</v>
      </c>
      <c r="B59" s="747">
        <f>B58*3.6</f>
        <v>9276.960784313726</v>
      </c>
      <c r="C59" s="1949" t="s">
        <v>1813</v>
      </c>
      <c r="D59" s="1374"/>
      <c r="E59" s="123"/>
      <c r="F59" s="1138" t="s">
        <v>601</v>
      </c>
      <c r="G59" s="1368">
        <v>15</v>
      </c>
      <c r="H59" s="1363">
        <v>15</v>
      </c>
    </row>
    <row r="60" spans="1:8" ht="12.75">
      <c r="A60" s="1352" t="s">
        <v>876</v>
      </c>
      <c r="B60" s="747">
        <f>'{e}H20 Analysis'!$C$43+B17*1000/B58</f>
        <v>500</v>
      </c>
      <c r="C60" s="1949" t="s">
        <v>1692</v>
      </c>
      <c r="D60" s="1357"/>
      <c r="E60" s="123"/>
      <c r="F60" s="123"/>
      <c r="G60" s="123"/>
      <c r="H60" s="164"/>
    </row>
    <row r="61" spans="1:8" ht="13.5" thickBot="1">
      <c r="A61" s="1352" t="s">
        <v>127</v>
      </c>
      <c r="B61" s="1389">
        <f>B12</f>
        <v>500</v>
      </c>
      <c r="C61" s="1961" t="s">
        <v>1692</v>
      </c>
      <c r="D61" s="1357"/>
      <c r="E61" s="123"/>
      <c r="F61" s="172" t="s">
        <v>602</v>
      </c>
      <c r="G61" s="128"/>
      <c r="H61" s="164"/>
    </row>
    <row r="62" spans="1:8" ht="12.75">
      <c r="A62" s="1352" t="s">
        <v>604</v>
      </c>
      <c r="B62" s="207">
        <f>B13</f>
        <v>35.55398294840506</v>
      </c>
      <c r="C62" s="1950"/>
      <c r="D62" s="1357"/>
      <c r="E62" s="123"/>
      <c r="F62" s="1358" t="s">
        <v>603</v>
      </c>
      <c r="G62" s="1392">
        <v>1.65</v>
      </c>
      <c r="H62" s="1364">
        <v>1.65</v>
      </c>
    </row>
    <row r="63" spans="1:8" ht="13.5" thickBot="1">
      <c r="A63" s="1146" t="s">
        <v>1768</v>
      </c>
      <c r="B63" s="1390">
        <v>0.5</v>
      </c>
      <c r="C63" s="1965"/>
      <c r="D63" s="715"/>
      <c r="E63" s="123"/>
      <c r="F63" s="1138" t="s">
        <v>605</v>
      </c>
      <c r="G63" s="1140">
        <f>Power</f>
        <v>0.07</v>
      </c>
      <c r="H63" s="1363">
        <v>0.08</v>
      </c>
    </row>
    <row r="64" spans="1:8" ht="12.75">
      <c r="A64" s="163"/>
      <c r="B64" s="123"/>
      <c r="C64" s="123"/>
      <c r="E64" s="123"/>
      <c r="F64" s="123"/>
      <c r="G64" s="123"/>
      <c r="H64" s="164"/>
    </row>
    <row r="65" spans="1:8" ht="13.5" thickBot="1">
      <c r="A65" s="841" t="s">
        <v>606</v>
      </c>
      <c r="B65" s="123"/>
      <c r="C65" s="123"/>
      <c r="E65" s="123"/>
      <c r="F65" s="172" t="s">
        <v>607</v>
      </c>
      <c r="G65" s="123"/>
      <c r="H65" s="164"/>
    </row>
    <row r="66" spans="1:8" ht="12.75">
      <c r="A66" s="1351" t="s">
        <v>910</v>
      </c>
      <c r="B66" s="1383">
        <f>(B60-B61)/B62</f>
        <v>0</v>
      </c>
      <c r="C66" s="1952" t="s">
        <v>909</v>
      </c>
      <c r="D66" s="1356"/>
      <c r="E66" s="123"/>
      <c r="F66" s="1355" t="s">
        <v>608</v>
      </c>
      <c r="G66" s="1350">
        <f>ENR_Labor</f>
        <v>29.05</v>
      </c>
      <c r="H66" s="1364">
        <v>15</v>
      </c>
    </row>
    <row r="67" spans="1:8" ht="13.5" thickBot="1">
      <c r="A67" s="1146" t="s">
        <v>611</v>
      </c>
      <c r="B67" s="1375">
        <f>B60/B61</f>
        <v>1</v>
      </c>
      <c r="C67" s="1953"/>
      <c r="D67" s="715"/>
      <c r="E67" s="123"/>
      <c r="F67" s="1011" t="s">
        <v>610</v>
      </c>
      <c r="G67" s="314">
        <v>0.2</v>
      </c>
      <c r="H67" s="1366">
        <v>0.2</v>
      </c>
    </row>
    <row r="68" spans="1:8" ht="13.5" thickBot="1">
      <c r="A68" s="163"/>
      <c r="B68" s="123"/>
      <c r="C68" s="123"/>
      <c r="E68" s="123"/>
      <c r="F68" s="1123" t="s">
        <v>612</v>
      </c>
      <c r="G68" s="1368">
        <v>1</v>
      </c>
      <c r="H68" s="1363">
        <v>1</v>
      </c>
    </row>
    <row r="69" spans="1:8" ht="13.5" thickBot="1">
      <c r="A69" s="855" t="s">
        <v>613</v>
      </c>
      <c r="B69" s="123"/>
      <c r="C69" s="123"/>
      <c r="E69" s="123"/>
      <c r="F69" s="123"/>
      <c r="G69" s="123"/>
      <c r="H69" s="164"/>
    </row>
    <row r="70" spans="1:8" ht="13.5" thickBot="1">
      <c r="A70" s="1351" t="s">
        <v>614</v>
      </c>
      <c r="B70" s="1350"/>
      <c r="C70" s="1954"/>
      <c r="D70" s="1356"/>
      <c r="E70" s="123"/>
      <c r="F70" s="172" t="s">
        <v>231</v>
      </c>
      <c r="G70" s="123"/>
      <c r="H70" s="164"/>
    </row>
    <row r="71" spans="1:8" ht="12.75">
      <c r="A71" s="1352" t="s">
        <v>615</v>
      </c>
      <c r="B71" s="205"/>
      <c r="C71" s="216"/>
      <c r="D71" s="1357"/>
      <c r="E71" s="123"/>
      <c r="F71" s="1355" t="s">
        <v>616</v>
      </c>
      <c r="G71" s="1350">
        <f>Years</f>
        <v>30</v>
      </c>
      <c r="H71" s="1364">
        <v>15</v>
      </c>
    </row>
    <row r="72" spans="1:8" ht="12.75">
      <c r="A72" s="1352" t="s">
        <v>617</v>
      </c>
      <c r="B72" s="205"/>
      <c r="C72" s="216"/>
      <c r="D72" s="1357"/>
      <c r="E72" s="123"/>
      <c r="F72" s="1011" t="s">
        <v>620</v>
      </c>
      <c r="G72" s="205">
        <f>1-'{b}Capacity'!C9</f>
        <v>0.050000000000000044</v>
      </c>
      <c r="H72" s="1366">
        <v>15</v>
      </c>
    </row>
    <row r="73" spans="1:8" ht="13.5" thickBot="1">
      <c r="A73" s="1352" t="s">
        <v>619</v>
      </c>
      <c r="B73" s="1376">
        <v>0.47</v>
      </c>
      <c r="C73" s="1956"/>
      <c r="D73" s="1377">
        <v>0.4</v>
      </c>
      <c r="E73" s="123"/>
      <c r="F73" s="1123" t="s">
        <v>618</v>
      </c>
      <c r="G73" s="391">
        <f>Interest</f>
        <v>6</v>
      </c>
      <c r="H73" s="1363">
        <v>10</v>
      </c>
    </row>
    <row r="74" spans="1:8" ht="12.75">
      <c r="A74" s="632"/>
      <c r="B74" s="1378" t="s">
        <v>1734</v>
      </c>
      <c r="C74" s="1955"/>
      <c r="D74" s="1357"/>
      <c r="E74" s="123"/>
      <c r="F74" s="123"/>
      <c r="G74" s="123"/>
      <c r="H74" s="164"/>
    </row>
    <row r="75" spans="1:8" ht="12.75">
      <c r="A75" s="1352" t="s">
        <v>621</v>
      </c>
      <c r="B75" s="759">
        <f>SUM(B73:B74)</f>
        <v>0.47</v>
      </c>
      <c r="C75" s="1956"/>
      <c r="D75" s="1357"/>
      <c r="E75" s="123"/>
      <c r="F75" s="123"/>
      <c r="G75" s="123"/>
      <c r="H75" s="164"/>
    </row>
    <row r="76" spans="1:8" ht="13.5" thickBot="1">
      <c r="A76" s="632"/>
      <c r="B76" s="205"/>
      <c r="C76" s="216"/>
      <c r="D76" s="1357"/>
      <c r="E76" s="123"/>
      <c r="F76" s="122" t="s">
        <v>1112</v>
      </c>
      <c r="G76" s="123"/>
      <c r="H76" s="164"/>
    </row>
    <row r="77" spans="1:8" ht="13.5" thickBot="1">
      <c r="A77" s="1352" t="s">
        <v>622</v>
      </c>
      <c r="B77" s="1376">
        <v>0.47</v>
      </c>
      <c r="C77" s="1956"/>
      <c r="D77" s="1377">
        <v>0.4</v>
      </c>
      <c r="E77" s="123"/>
      <c r="F77" s="1348" t="str">
        <f>"Based on Membrane Cost @ $"&amp;G58&amp;"/m2"</f>
        <v>Based on Membrane Cost @ $100/m2</v>
      </c>
      <c r="G77" s="1353">
        <f>B99*G58*$G$62</f>
        <v>0</v>
      </c>
      <c r="H77" s="164"/>
    </row>
    <row r="78" spans="1:8" ht="13.5" thickBot="1">
      <c r="A78" s="632"/>
      <c r="B78" s="205"/>
      <c r="C78" s="216"/>
      <c r="D78" s="1357"/>
      <c r="E78" s="123"/>
      <c r="F78" s="123"/>
      <c r="G78" s="1234"/>
      <c r="H78" s="164"/>
    </row>
    <row r="79" spans="1:8" ht="13.5" thickBot="1">
      <c r="A79" s="1352" t="s">
        <v>623</v>
      </c>
      <c r="B79" s="759">
        <f>SUM(B77:B78)</f>
        <v>0.47</v>
      </c>
      <c r="C79" s="1956"/>
      <c r="D79" s="1357"/>
      <c r="E79" s="123"/>
      <c r="F79" s="181" t="s">
        <v>1807</v>
      </c>
      <c r="G79" s="1304"/>
      <c r="H79" s="164"/>
    </row>
    <row r="80" spans="1:8" ht="12.75">
      <c r="A80" s="1352"/>
      <c r="B80" s="759"/>
      <c r="C80" s="1956"/>
      <c r="D80" s="1357"/>
      <c r="E80" s="123"/>
      <c r="F80" s="1355" t="s">
        <v>641</v>
      </c>
      <c r="G80" s="1359">
        <f>IF(B60&lt;1000,1000,IF(B60&lt;1800,1500,2000))*12*G72*'{d}Cost Index'!D17</f>
        <v>1248.8059348117763</v>
      </c>
      <c r="H80" s="164"/>
    </row>
    <row r="81" spans="1:8" ht="12.75">
      <c r="A81" s="1352" t="s">
        <v>624</v>
      </c>
      <c r="B81" s="759">
        <f>(B75+B79)-(0.006*B66*26.8/(100*B88))</f>
        <v>0.94</v>
      </c>
      <c r="C81" s="1956"/>
      <c r="D81" s="1357"/>
      <c r="E81" s="123"/>
      <c r="F81" s="1011" t="s">
        <v>642</v>
      </c>
      <c r="G81" s="1242">
        <f>0.05*G77*'{d}Cost Index'!D17</f>
        <v>0</v>
      </c>
      <c r="H81" s="132"/>
    </row>
    <row r="82" spans="1:8" ht="12.75">
      <c r="A82" s="1352" t="s">
        <v>625</v>
      </c>
      <c r="B82" s="759"/>
      <c r="C82" s="1956"/>
      <c r="D82" s="1357"/>
      <c r="E82" s="123"/>
      <c r="F82" s="1011" t="s">
        <v>643</v>
      </c>
      <c r="G82" s="1242">
        <f>PMT(G73%/12,G59,,-G58*B99)</f>
        <v>0</v>
      </c>
      <c r="H82" s="164"/>
    </row>
    <row r="83" spans="1:8" ht="12.75">
      <c r="A83" s="1352" t="s">
        <v>898</v>
      </c>
      <c r="B83" s="1376">
        <v>0.85</v>
      </c>
      <c r="C83" s="1956" t="s">
        <v>939</v>
      </c>
      <c r="D83" s="1377"/>
      <c r="E83" s="123"/>
      <c r="F83" s="1011" t="s">
        <v>650</v>
      </c>
      <c r="G83" s="1242">
        <f>8*G66*G67*G68*365*G72</f>
        <v>848.2600000000008</v>
      </c>
      <c r="H83" s="164"/>
    </row>
    <row r="84" spans="1:8" ht="12.75">
      <c r="A84" s="1352" t="s">
        <v>917</v>
      </c>
      <c r="B84" s="314">
        <v>0</v>
      </c>
      <c r="C84" s="216" t="s">
        <v>897</v>
      </c>
      <c r="D84" s="1357"/>
      <c r="E84" s="123"/>
      <c r="F84" s="1011" t="str">
        <f>"ED Electicity Cost/year @ $"&amp;G63&amp;"/kWhr:"</f>
        <v>ED Electicity Cost/year @ $0.07/kWhr:</v>
      </c>
      <c r="G84" s="1186">
        <f>B96*G63*365*G72</f>
        <v>48353.37500000005</v>
      </c>
      <c r="H84" s="164"/>
    </row>
    <row r="85" spans="1:8" ht="13.5" thickBot="1">
      <c r="A85" s="1352" t="s">
        <v>894</v>
      </c>
      <c r="B85" s="314">
        <v>0</v>
      </c>
      <c r="C85" s="216" t="s">
        <v>897</v>
      </c>
      <c r="D85" s="1357"/>
      <c r="E85" s="123"/>
      <c r="F85" s="1123" t="s">
        <v>231</v>
      </c>
      <c r="G85" s="1188">
        <f>PMT($G$73%/12,(G71*12),-G77,0)*12</f>
        <v>0</v>
      </c>
      <c r="H85" s="164"/>
    </row>
    <row r="86" spans="1:8" ht="13.5" thickBot="1">
      <c r="A86" s="1352" t="s">
        <v>899</v>
      </c>
      <c r="B86" s="1376">
        <v>0.07</v>
      </c>
      <c r="C86" s="1956" t="s">
        <v>897</v>
      </c>
      <c r="D86" s="1377"/>
      <c r="E86" s="123"/>
      <c r="F86" s="127" t="str">
        <f>TEXT(IndexDate,"mmmm, yyyy")&amp;"  O&amp;M $:"</f>
        <v>November, 2006  O&amp;M $:</v>
      </c>
      <c r="G86" s="1354">
        <f>SUM(G80:G85)</f>
        <v>50450.44093481183</v>
      </c>
      <c r="H86" s="164"/>
    </row>
    <row r="87" spans="1:8" ht="12.75">
      <c r="A87" s="1352" t="s">
        <v>636</v>
      </c>
      <c r="B87" s="759">
        <f>SUM(B84:B86)</f>
        <v>0.07</v>
      </c>
      <c r="C87" s="1956"/>
      <c r="D87" s="1377">
        <v>0.86</v>
      </c>
      <c r="E87" s="123"/>
      <c r="F87" s="123"/>
      <c r="G87" s="123"/>
      <c r="H87" s="164"/>
    </row>
    <row r="88" spans="1:8" ht="12.75">
      <c r="A88" s="1352" t="s">
        <v>916</v>
      </c>
      <c r="B88" s="1379">
        <v>30</v>
      </c>
      <c r="C88" s="1964" t="s">
        <v>901</v>
      </c>
      <c r="D88" s="1380" t="s">
        <v>637</v>
      </c>
      <c r="E88" s="123"/>
      <c r="F88" s="123"/>
      <c r="G88" s="123"/>
      <c r="H88" s="164"/>
    </row>
    <row r="89" spans="1:8" ht="12.75">
      <c r="A89" s="1352" t="s">
        <v>638</v>
      </c>
      <c r="B89" s="1376">
        <v>0.86</v>
      </c>
      <c r="C89" s="1956"/>
      <c r="D89" s="1380"/>
      <c r="E89" s="123"/>
      <c r="F89" s="123"/>
      <c r="G89" s="123"/>
      <c r="H89" s="164"/>
    </row>
    <row r="90" spans="1:8" ht="12.75">
      <c r="A90" s="1352" t="s">
        <v>914</v>
      </c>
      <c r="B90" s="1376">
        <v>0.65</v>
      </c>
      <c r="C90" s="1956" t="s">
        <v>915</v>
      </c>
      <c r="D90" s="1357"/>
      <c r="E90" s="123"/>
      <c r="F90" s="123"/>
      <c r="G90" s="123"/>
      <c r="H90" s="164"/>
    </row>
    <row r="91" spans="1:8" ht="13.5" thickBot="1">
      <c r="A91" s="1146" t="s">
        <v>639</v>
      </c>
      <c r="B91" s="1381">
        <f>(B87*B88/100)+B90</f>
        <v>0.671</v>
      </c>
      <c r="C91" s="1957"/>
      <c r="D91" s="1382">
        <v>1</v>
      </c>
      <c r="E91" s="123"/>
      <c r="F91" s="123"/>
      <c r="G91" s="123"/>
      <c r="H91" s="164"/>
    </row>
    <row r="92" spans="1:8" ht="12.75">
      <c r="A92" s="163"/>
      <c r="B92" s="123"/>
      <c r="C92" s="123"/>
      <c r="E92" s="123"/>
      <c r="F92" s="123"/>
      <c r="G92" s="123"/>
      <c r="H92" s="164"/>
    </row>
    <row r="93" spans="1:8" ht="13.5" thickBot="1">
      <c r="A93" s="855" t="s">
        <v>640</v>
      </c>
      <c r="B93" s="123"/>
      <c r="C93" s="123"/>
      <c r="E93" s="123"/>
      <c r="F93" s="123"/>
      <c r="G93" s="123"/>
      <c r="H93" s="164"/>
    </row>
    <row r="94" spans="1:8" ht="12.75">
      <c r="A94" s="1351" t="s">
        <v>912</v>
      </c>
      <c r="B94" s="1383">
        <f>B66*B91*26.8/(B89*1000)</f>
        <v>0</v>
      </c>
      <c r="C94" s="1952" t="s">
        <v>913</v>
      </c>
      <c r="D94" s="1384"/>
      <c r="E94" s="123"/>
      <c r="F94" s="123"/>
      <c r="G94" s="123"/>
      <c r="H94" s="164"/>
    </row>
    <row r="95" spans="1:8" ht="12.75">
      <c r="A95" s="1352" t="s">
        <v>904</v>
      </c>
      <c r="B95" s="1349">
        <v>0.17</v>
      </c>
      <c r="C95" s="1962" t="s">
        <v>905</v>
      </c>
      <c r="D95" s="1386">
        <v>0.17</v>
      </c>
      <c r="E95" s="123"/>
      <c r="F95" s="123"/>
      <c r="G95" s="123"/>
      <c r="H95" s="164"/>
    </row>
    <row r="96" spans="1:8" ht="13.5" thickBot="1">
      <c r="A96" s="1146" t="s">
        <v>906</v>
      </c>
      <c r="B96" s="1347">
        <f>(B94+B95)*B59*24</f>
        <v>37850</v>
      </c>
      <c r="C96" s="1958" t="s">
        <v>907</v>
      </c>
      <c r="D96" s="697"/>
      <c r="E96" s="123"/>
      <c r="F96" s="123"/>
      <c r="G96" s="123"/>
      <c r="H96" s="164"/>
    </row>
    <row r="97" spans="1:8" ht="12.75">
      <c r="A97" s="163"/>
      <c r="B97" s="123"/>
      <c r="C97" s="123"/>
      <c r="E97" s="123"/>
      <c r="F97" s="123"/>
      <c r="G97" s="123"/>
      <c r="H97" s="164"/>
    </row>
    <row r="98" spans="1:8" ht="13.5" thickBot="1">
      <c r="A98" s="855" t="s">
        <v>644</v>
      </c>
      <c r="B98" s="123"/>
      <c r="C98" s="123"/>
      <c r="E98" s="123"/>
      <c r="F98" s="123"/>
      <c r="G98" s="123"/>
      <c r="H98" s="164"/>
    </row>
    <row r="99" spans="1:8" ht="12.75">
      <c r="A99" s="1351" t="s">
        <v>911</v>
      </c>
      <c r="B99" s="1387">
        <f>B94*B59*1000/(B88*B91)</f>
        <v>0</v>
      </c>
      <c r="C99" s="1959" t="s">
        <v>939</v>
      </c>
      <c r="D99" s="1356"/>
      <c r="E99" s="123"/>
      <c r="F99" s="123"/>
      <c r="G99" s="123"/>
      <c r="H99" s="164"/>
    </row>
    <row r="100" spans="1:8" ht="13.5" thickBot="1">
      <c r="A100" s="1146" t="s">
        <v>651</v>
      </c>
      <c r="B100" s="1388">
        <f>B99/B83</f>
        <v>0</v>
      </c>
      <c r="C100" s="1960"/>
      <c r="D100" s="715"/>
      <c r="E100" s="123"/>
      <c r="F100" s="123"/>
      <c r="G100" s="123"/>
      <c r="H100" s="164"/>
    </row>
    <row r="101" spans="1:8" ht="13.5" thickBot="1">
      <c r="A101" s="165"/>
      <c r="B101" s="128"/>
      <c r="C101" s="128"/>
      <c r="D101" s="166"/>
      <c r="E101" s="128"/>
      <c r="F101" s="128"/>
      <c r="G101" s="128"/>
      <c r="H101" s="167"/>
    </row>
    <row r="102" spans="2:7" ht="12.75">
      <c r="B102" s="123"/>
      <c r="C102" s="123"/>
      <c r="E102" s="123"/>
      <c r="F102" s="123"/>
      <c r="G102" s="123"/>
    </row>
    <row r="103" spans="2:7" ht="13.5" thickBot="1">
      <c r="B103" s="123"/>
      <c r="C103" s="123"/>
      <c r="E103" s="123"/>
      <c r="F103" s="123"/>
      <c r="G103" s="123"/>
    </row>
    <row r="104" spans="1:8" ht="15.75">
      <c r="A104" s="772" t="s">
        <v>1805</v>
      </c>
      <c r="B104" s="773"/>
      <c r="C104" s="773"/>
      <c r="D104" s="773"/>
      <c r="E104" s="773"/>
      <c r="F104" s="773"/>
      <c r="G104" s="773"/>
      <c r="H104" s="774"/>
    </row>
    <row r="105" spans="1:8" ht="12.75">
      <c r="A105" s="632" t="s">
        <v>808</v>
      </c>
      <c r="B105" s="929">
        <f>G27+G77</f>
        <v>0</v>
      </c>
      <c r="C105" s="1963"/>
      <c r="E105" s="123"/>
      <c r="F105" s="123"/>
      <c r="G105" s="123"/>
      <c r="H105" s="164"/>
    </row>
    <row r="106" spans="1:8" ht="12.75">
      <c r="A106" s="632" t="s">
        <v>816</v>
      </c>
      <c r="B106" s="929">
        <f>G86+G36</f>
        <v>150865.1843696237</v>
      </c>
      <c r="C106" s="1963"/>
      <c r="E106" s="123"/>
      <c r="F106" s="123"/>
      <c r="G106" s="123"/>
      <c r="H106" s="164"/>
    </row>
    <row r="107" spans="1:8" ht="13.5" thickBot="1">
      <c r="A107" s="165"/>
      <c r="B107" s="128"/>
      <c r="C107" s="128"/>
      <c r="D107" s="166"/>
      <c r="E107" s="128"/>
      <c r="F107" s="128"/>
      <c r="G107" s="128"/>
      <c r="H107" s="167"/>
    </row>
    <row r="108" spans="2:7" ht="12.75">
      <c r="B108" s="123"/>
      <c r="C108" s="123"/>
      <c r="E108" s="123"/>
      <c r="F108" s="123"/>
      <c r="G108" s="123"/>
    </row>
    <row r="109" spans="2:7" ht="12.75">
      <c r="B109" s="123"/>
      <c r="C109" s="123"/>
      <c r="E109" s="123"/>
      <c r="F109" s="123"/>
      <c r="G109" s="123"/>
    </row>
    <row r="110" spans="2:7" ht="12.75">
      <c r="B110" s="123"/>
      <c r="C110" s="123"/>
      <c r="E110" s="123"/>
      <c r="F110" s="123"/>
      <c r="G110" s="123"/>
    </row>
    <row r="111" spans="2:7" ht="12.75">
      <c r="B111" s="123"/>
      <c r="C111" s="123"/>
      <c r="E111" s="123"/>
      <c r="F111" s="123"/>
      <c r="G111" s="123"/>
    </row>
    <row r="112" spans="2:7" ht="12.75">
      <c r="B112" s="123"/>
      <c r="C112" s="123"/>
      <c r="E112" s="123"/>
      <c r="F112" s="123"/>
      <c r="G112" s="123"/>
    </row>
    <row r="113" spans="2:7" ht="12.75">
      <c r="B113" s="123"/>
      <c r="C113" s="123"/>
      <c r="E113" s="123"/>
      <c r="F113" s="123"/>
      <c r="G113" s="123"/>
    </row>
    <row r="114" spans="2:7" ht="12.75">
      <c r="B114" s="123"/>
      <c r="C114" s="123"/>
      <c r="E114" s="123"/>
      <c r="F114" s="123"/>
      <c r="G114" s="123"/>
    </row>
    <row r="115" spans="2:7" ht="12.75">
      <c r="B115" s="123"/>
      <c r="C115" s="123"/>
      <c r="E115" s="123"/>
      <c r="F115" s="123"/>
      <c r="G115" s="123"/>
    </row>
    <row r="116" spans="2:7" ht="12.75">
      <c r="B116" s="123"/>
      <c r="C116" s="123"/>
      <c r="E116" s="123"/>
      <c r="F116" s="123"/>
      <c r="G116" s="123"/>
    </row>
    <row r="117" spans="2:7" ht="12.75">
      <c r="B117" s="123"/>
      <c r="C117" s="123"/>
      <c r="E117" s="123"/>
      <c r="F117" s="123"/>
      <c r="G117" s="123"/>
    </row>
    <row r="118" spans="2:7" ht="12.75">
      <c r="B118" s="123"/>
      <c r="C118" s="123"/>
      <c r="E118" s="123"/>
      <c r="F118" s="123"/>
      <c r="G118" s="123"/>
    </row>
    <row r="119" spans="2:7" ht="12.75">
      <c r="B119" s="123"/>
      <c r="C119" s="123"/>
      <c r="E119" s="123"/>
      <c r="F119" s="123"/>
      <c r="G119" s="123"/>
    </row>
    <row r="120" spans="2:7" ht="12.75">
      <c r="B120" s="123"/>
      <c r="C120" s="123"/>
      <c r="E120" s="123"/>
      <c r="F120" s="123"/>
      <c r="G120" s="123"/>
    </row>
    <row r="121" spans="2:7" ht="12.75">
      <c r="B121" s="123"/>
      <c r="C121" s="123"/>
      <c r="E121" s="123"/>
      <c r="F121" s="123"/>
      <c r="G121" s="123"/>
    </row>
    <row r="122" spans="2:7" ht="12.75">
      <c r="B122" s="123"/>
      <c r="C122" s="123"/>
      <c r="E122" s="123"/>
      <c r="F122" s="123"/>
      <c r="G122" s="123"/>
    </row>
    <row r="123" spans="2:7" ht="12.75">
      <c r="B123" s="123"/>
      <c r="C123" s="123"/>
      <c r="E123" s="123"/>
      <c r="F123" s="123"/>
      <c r="G123" s="123"/>
    </row>
    <row r="124" spans="2:7" ht="12.75">
      <c r="B124" s="123"/>
      <c r="C124" s="123"/>
      <c r="E124" s="123"/>
      <c r="F124" s="123"/>
      <c r="G124" s="123"/>
    </row>
    <row r="125" spans="2:7" ht="12.75">
      <c r="B125" s="123"/>
      <c r="C125" s="123"/>
      <c r="E125" s="123"/>
      <c r="F125" s="123"/>
      <c r="G125" s="123"/>
    </row>
    <row r="126" spans="2:7" ht="12.75">
      <c r="B126" s="123"/>
      <c r="C126" s="123"/>
      <c r="E126" s="123"/>
      <c r="F126" s="123"/>
      <c r="G126" s="123"/>
    </row>
    <row r="127" spans="2:7" ht="12.75">
      <c r="B127" s="123"/>
      <c r="C127" s="123"/>
      <c r="E127" s="123"/>
      <c r="F127" s="123"/>
      <c r="G127" s="123"/>
    </row>
    <row r="128" spans="2:7" ht="12.75">
      <c r="B128" s="123"/>
      <c r="C128" s="123"/>
      <c r="E128" s="123"/>
      <c r="F128" s="123"/>
      <c r="G128" s="123"/>
    </row>
    <row r="129" spans="2:7" ht="12.75">
      <c r="B129" s="123"/>
      <c r="C129" s="123"/>
      <c r="E129" s="123"/>
      <c r="F129" s="123"/>
      <c r="G129" s="123"/>
    </row>
    <row r="130" spans="2:7" ht="12.75">
      <c r="B130" s="123"/>
      <c r="C130" s="123"/>
      <c r="E130" s="123"/>
      <c r="F130" s="123"/>
      <c r="G130" s="123"/>
    </row>
    <row r="131" spans="2:7" ht="12.75">
      <c r="B131" s="123"/>
      <c r="C131" s="123"/>
      <c r="E131" s="123"/>
      <c r="F131" s="123"/>
      <c r="G131" s="123"/>
    </row>
    <row r="132" spans="2:7" ht="12.75">
      <c r="B132" s="123"/>
      <c r="C132" s="123"/>
      <c r="E132" s="123"/>
      <c r="F132" s="123"/>
      <c r="G132" s="123"/>
    </row>
    <row r="133" spans="2:7" ht="12.75">
      <c r="B133" s="123"/>
      <c r="C133" s="123"/>
      <c r="E133" s="123"/>
      <c r="F133" s="123"/>
      <c r="G133" s="123"/>
    </row>
    <row r="134" spans="2:7" ht="12.75">
      <c r="B134" s="123"/>
      <c r="C134" s="123"/>
      <c r="E134" s="123"/>
      <c r="F134" s="123"/>
      <c r="G134" s="123"/>
    </row>
    <row r="135" spans="2:7" ht="12.75">
      <c r="B135" s="123"/>
      <c r="C135" s="123"/>
      <c r="E135" s="123"/>
      <c r="F135" s="123"/>
      <c r="G135" s="123"/>
    </row>
    <row r="136" spans="2:7" ht="12.75">
      <c r="B136" s="123"/>
      <c r="C136" s="123"/>
      <c r="E136" s="123"/>
      <c r="F136" s="123"/>
      <c r="G136" s="123"/>
    </row>
    <row r="137" spans="2:7" ht="12.75">
      <c r="B137" s="123"/>
      <c r="C137" s="123"/>
      <c r="E137" s="123"/>
      <c r="F137" s="123"/>
      <c r="G137" s="123"/>
    </row>
    <row r="138" spans="2:7" ht="12.75">
      <c r="B138" s="123"/>
      <c r="C138" s="123"/>
      <c r="E138" s="123"/>
      <c r="F138" s="123"/>
      <c r="G138" s="123"/>
    </row>
    <row r="139" spans="2:7" ht="12.75">
      <c r="B139" s="123"/>
      <c r="C139" s="123"/>
      <c r="E139" s="123"/>
      <c r="F139" s="123"/>
      <c r="G139" s="123"/>
    </row>
    <row r="140" spans="2:7" ht="12.75">
      <c r="B140" s="123"/>
      <c r="C140" s="123"/>
      <c r="E140" s="123"/>
      <c r="F140" s="123"/>
      <c r="G140" s="123"/>
    </row>
    <row r="141" spans="2:7" ht="12.75">
      <c r="B141" s="123"/>
      <c r="C141" s="123"/>
      <c r="E141" s="123"/>
      <c r="F141" s="123"/>
      <c r="G141" s="123"/>
    </row>
    <row r="142" spans="2:7" ht="12.75">
      <c r="B142" s="123"/>
      <c r="C142" s="123"/>
      <c r="E142" s="123"/>
      <c r="F142" s="123"/>
      <c r="G142" s="123"/>
    </row>
    <row r="143" spans="2:7" ht="12.75">
      <c r="B143" s="123"/>
      <c r="C143" s="123"/>
      <c r="E143" s="123"/>
      <c r="F143" s="123"/>
      <c r="G143" s="123"/>
    </row>
    <row r="144" spans="2:7" ht="12.75">
      <c r="B144" s="123"/>
      <c r="C144" s="123"/>
      <c r="E144" s="123"/>
      <c r="F144" s="123"/>
      <c r="G144" s="123"/>
    </row>
    <row r="145" spans="2:7" ht="12.75">
      <c r="B145" s="123"/>
      <c r="C145" s="123"/>
      <c r="E145" s="123"/>
      <c r="F145" s="123"/>
      <c r="G145" s="123"/>
    </row>
    <row r="146" spans="2:7" ht="12.75">
      <c r="B146" s="123"/>
      <c r="C146" s="123"/>
      <c r="E146" s="123"/>
      <c r="F146" s="123"/>
      <c r="G146" s="123"/>
    </row>
    <row r="147" spans="2:7" ht="12.75">
      <c r="B147" s="123"/>
      <c r="C147" s="123"/>
      <c r="E147" s="123"/>
      <c r="F147" s="123"/>
      <c r="G147" s="123"/>
    </row>
    <row r="148" spans="2:7" ht="12.75">
      <c r="B148" s="123"/>
      <c r="C148" s="123"/>
      <c r="E148" s="123"/>
      <c r="F148" s="123"/>
      <c r="G148" s="123"/>
    </row>
    <row r="149" spans="2:7" ht="12.75">
      <c r="B149" s="123"/>
      <c r="C149" s="123"/>
      <c r="E149" s="123"/>
      <c r="F149" s="123"/>
      <c r="G149" s="123"/>
    </row>
    <row r="150" spans="2:7" ht="12.75">
      <c r="B150" s="123"/>
      <c r="C150" s="123"/>
      <c r="E150" s="123"/>
      <c r="F150" s="123"/>
      <c r="G150" s="123"/>
    </row>
    <row r="151" spans="2:7" ht="12.75">
      <c r="B151" s="123"/>
      <c r="C151" s="123"/>
      <c r="E151" s="123"/>
      <c r="F151" s="123"/>
      <c r="G151" s="123"/>
    </row>
    <row r="152" spans="2:7" ht="12.75">
      <c r="B152" s="123"/>
      <c r="C152" s="123"/>
      <c r="E152" s="123"/>
      <c r="F152" s="123"/>
      <c r="G152" s="123"/>
    </row>
    <row r="153" spans="2:7" ht="12.75">
      <c r="B153" s="123"/>
      <c r="C153" s="123"/>
      <c r="E153" s="123"/>
      <c r="F153" s="123"/>
      <c r="G153" s="123"/>
    </row>
    <row r="154" spans="2:7" ht="12.75">
      <c r="B154" s="123"/>
      <c r="C154" s="123"/>
      <c r="E154" s="123"/>
      <c r="F154" s="123"/>
      <c r="G154" s="123"/>
    </row>
    <row r="155" spans="2:7" ht="12.75">
      <c r="B155" s="123"/>
      <c r="C155" s="123"/>
      <c r="E155" s="123"/>
      <c r="F155" s="123"/>
      <c r="G155" s="123"/>
    </row>
    <row r="156" spans="2:7" ht="12.75">
      <c r="B156" s="123"/>
      <c r="C156" s="123"/>
      <c r="E156" s="123"/>
      <c r="F156" s="123"/>
      <c r="G156" s="123"/>
    </row>
    <row r="157" spans="2:7" ht="12.75">
      <c r="B157" s="123"/>
      <c r="C157" s="123"/>
      <c r="E157" s="123"/>
      <c r="F157" s="123"/>
      <c r="G157" s="123"/>
    </row>
    <row r="158" spans="2:7" ht="12.75">
      <c r="B158" s="123"/>
      <c r="C158" s="123"/>
      <c r="E158" s="123"/>
      <c r="F158" s="123"/>
      <c r="G158" s="123"/>
    </row>
    <row r="159" spans="2:7" ht="12.75">
      <c r="B159" s="123"/>
      <c r="C159" s="123"/>
      <c r="E159" s="123"/>
      <c r="F159" s="123"/>
      <c r="G159" s="123"/>
    </row>
    <row r="160" spans="2:7" ht="12.75">
      <c r="B160" s="123"/>
      <c r="C160" s="123"/>
      <c r="E160" s="123"/>
      <c r="F160" s="123"/>
      <c r="G160" s="123"/>
    </row>
    <row r="161" spans="2:7" ht="12.75">
      <c r="B161" s="123"/>
      <c r="C161" s="123"/>
      <c r="E161" s="123"/>
      <c r="F161" s="123"/>
      <c r="G161" s="123"/>
    </row>
    <row r="162" spans="2:7" ht="12.75">
      <c r="B162" s="123"/>
      <c r="C162" s="123"/>
      <c r="E162" s="123"/>
      <c r="F162" s="123"/>
      <c r="G162" s="123"/>
    </row>
    <row r="163" spans="2:7" ht="12.75">
      <c r="B163" s="123"/>
      <c r="C163" s="123"/>
      <c r="E163" s="123"/>
      <c r="F163" s="123"/>
      <c r="G163" s="123"/>
    </row>
    <row r="164" spans="2:7" ht="12.75">
      <c r="B164" s="123"/>
      <c r="C164" s="123"/>
      <c r="E164" s="123"/>
      <c r="F164" s="123"/>
      <c r="G164" s="123"/>
    </row>
    <row r="165" spans="2:7" ht="12.75">
      <c r="B165" s="123"/>
      <c r="C165" s="123"/>
      <c r="E165" s="123"/>
      <c r="F165" s="123"/>
      <c r="G165" s="123"/>
    </row>
    <row r="166" spans="2:7" ht="12.75">
      <c r="B166" s="123"/>
      <c r="C166" s="123"/>
      <c r="E166" s="123"/>
      <c r="F166" s="123"/>
      <c r="G166" s="123"/>
    </row>
    <row r="167" spans="2:7" ht="12.75">
      <c r="B167" s="123"/>
      <c r="C167" s="123"/>
      <c r="E167" s="123"/>
      <c r="F167" s="123"/>
      <c r="G167" s="123"/>
    </row>
    <row r="168" spans="2:7" ht="12.75">
      <c r="B168" s="123"/>
      <c r="C168" s="123"/>
      <c r="E168" s="123"/>
      <c r="F168" s="123"/>
      <c r="G168" s="123"/>
    </row>
    <row r="169" spans="2:7" ht="12.75">
      <c r="B169" s="123"/>
      <c r="C169" s="123"/>
      <c r="E169" s="123"/>
      <c r="F169" s="123"/>
      <c r="G169" s="123"/>
    </row>
    <row r="170" spans="2:7" ht="12.75">
      <c r="B170" s="123"/>
      <c r="C170" s="123"/>
      <c r="E170" s="123"/>
      <c r="F170" s="123"/>
      <c r="G170" s="123"/>
    </row>
    <row r="171" spans="2:7" ht="12.75">
      <c r="B171" s="123"/>
      <c r="C171" s="123"/>
      <c r="E171" s="123"/>
      <c r="F171" s="123"/>
      <c r="G171" s="123"/>
    </row>
    <row r="172" spans="2:7" ht="12.75">
      <c r="B172" s="123"/>
      <c r="C172" s="123"/>
      <c r="E172" s="123"/>
      <c r="F172" s="123"/>
      <c r="G172" s="123"/>
    </row>
    <row r="173" spans="2:7" ht="12.75">
      <c r="B173" s="123"/>
      <c r="C173" s="123"/>
      <c r="E173" s="123"/>
      <c r="F173" s="123"/>
      <c r="G173" s="123"/>
    </row>
    <row r="174" spans="2:7" ht="12.75">
      <c r="B174" s="123"/>
      <c r="C174" s="123"/>
      <c r="E174" s="123"/>
      <c r="F174" s="123"/>
      <c r="G174" s="123"/>
    </row>
    <row r="175" spans="2:7" ht="12.75">
      <c r="B175" s="123"/>
      <c r="C175" s="123"/>
      <c r="E175" s="123"/>
      <c r="F175" s="123"/>
      <c r="G175" s="123"/>
    </row>
    <row r="176" spans="2:7" ht="12.75">
      <c r="B176" s="123"/>
      <c r="C176" s="123"/>
      <c r="E176" s="123"/>
      <c r="F176" s="123"/>
      <c r="G176" s="123"/>
    </row>
    <row r="177" spans="2:7" ht="12.75">
      <c r="B177" s="123"/>
      <c r="C177" s="123"/>
      <c r="E177" s="123"/>
      <c r="F177" s="123"/>
      <c r="G177" s="123"/>
    </row>
    <row r="178" spans="2:7" ht="12.75">
      <c r="B178" s="123"/>
      <c r="C178" s="123"/>
      <c r="E178" s="123"/>
      <c r="F178" s="123"/>
      <c r="G178" s="123"/>
    </row>
    <row r="179" spans="2:7" ht="12.75">
      <c r="B179" s="123"/>
      <c r="C179" s="123"/>
      <c r="E179" s="123"/>
      <c r="F179" s="123"/>
      <c r="G179" s="123"/>
    </row>
    <row r="180" spans="2:7" ht="12.75">
      <c r="B180" s="123"/>
      <c r="C180" s="123"/>
      <c r="E180" s="123"/>
      <c r="F180" s="123"/>
      <c r="G180" s="123"/>
    </row>
    <row r="181" spans="2:7" ht="12.75">
      <c r="B181" s="123"/>
      <c r="C181" s="123"/>
      <c r="E181" s="123"/>
      <c r="F181" s="123"/>
      <c r="G181" s="123"/>
    </row>
    <row r="182" spans="2:7" ht="12.75">
      <c r="B182" s="123"/>
      <c r="C182" s="123"/>
      <c r="E182" s="123"/>
      <c r="F182" s="123"/>
      <c r="G182" s="123"/>
    </row>
    <row r="183" spans="2:7" ht="12.75">
      <c r="B183" s="123"/>
      <c r="C183" s="123"/>
      <c r="E183" s="123"/>
      <c r="F183" s="123"/>
      <c r="G183" s="123"/>
    </row>
    <row r="184" spans="2:7" ht="12.75">
      <c r="B184" s="123"/>
      <c r="C184" s="123"/>
      <c r="E184" s="123"/>
      <c r="F184" s="123"/>
      <c r="G184" s="123"/>
    </row>
    <row r="185" spans="2:7" ht="12.75">
      <c r="B185" s="123"/>
      <c r="C185" s="123"/>
      <c r="E185" s="123"/>
      <c r="F185" s="123"/>
      <c r="G185" s="123"/>
    </row>
    <row r="186" spans="2:7" ht="12.75">
      <c r="B186" s="123"/>
      <c r="C186" s="123"/>
      <c r="E186" s="123"/>
      <c r="F186" s="123"/>
      <c r="G186" s="123"/>
    </row>
    <row r="187" spans="2:7" ht="12.75">
      <c r="B187" s="123"/>
      <c r="C187" s="123"/>
      <c r="E187" s="123"/>
      <c r="F187" s="123"/>
      <c r="G187" s="123"/>
    </row>
    <row r="188" spans="2:7" ht="12.75">
      <c r="B188" s="123"/>
      <c r="C188" s="123"/>
      <c r="E188" s="123"/>
      <c r="F188" s="123"/>
      <c r="G188" s="123"/>
    </row>
    <row r="189" spans="2:7" ht="12.75">
      <c r="B189" s="123"/>
      <c r="C189" s="123"/>
      <c r="E189" s="123"/>
      <c r="F189" s="123"/>
      <c r="G189" s="123"/>
    </row>
    <row r="190" spans="2:7" ht="12.75">
      <c r="B190" s="123"/>
      <c r="C190" s="123"/>
      <c r="E190" s="123"/>
      <c r="F190" s="123"/>
      <c r="G190" s="123"/>
    </row>
    <row r="191" spans="2:7" ht="12.75">
      <c r="B191" s="123"/>
      <c r="C191" s="123"/>
      <c r="E191" s="123"/>
      <c r="F191" s="123"/>
      <c r="G191" s="123"/>
    </row>
    <row r="192" spans="2:7" ht="12.75">
      <c r="B192" s="123"/>
      <c r="C192" s="123"/>
      <c r="E192" s="123"/>
      <c r="F192" s="123"/>
      <c r="G192" s="123"/>
    </row>
    <row r="193" spans="2:7" ht="12.75">
      <c r="B193" s="123"/>
      <c r="C193" s="123"/>
      <c r="E193" s="123"/>
      <c r="F193" s="123"/>
      <c r="G193" s="123"/>
    </row>
    <row r="194" spans="2:7" ht="12.75">
      <c r="B194" s="123"/>
      <c r="C194" s="123"/>
      <c r="E194" s="123"/>
      <c r="F194" s="123"/>
      <c r="G194" s="123"/>
    </row>
    <row r="195" spans="2:7" ht="12.75">
      <c r="B195" s="123"/>
      <c r="C195" s="123"/>
      <c r="E195" s="123"/>
      <c r="F195" s="123"/>
      <c r="G195" s="123"/>
    </row>
    <row r="196" spans="2:7" ht="12.75">
      <c r="B196" s="123"/>
      <c r="C196" s="123"/>
      <c r="E196" s="123"/>
      <c r="F196" s="123"/>
      <c r="G196" s="123"/>
    </row>
    <row r="197" spans="2:7" ht="12.75">
      <c r="B197" s="123"/>
      <c r="C197" s="123"/>
      <c r="E197" s="123"/>
      <c r="F197" s="123"/>
      <c r="G197" s="123"/>
    </row>
    <row r="198" spans="2:7" ht="12.75">
      <c r="B198" s="123"/>
      <c r="C198" s="123"/>
      <c r="E198" s="123"/>
      <c r="F198" s="123"/>
      <c r="G198" s="123"/>
    </row>
    <row r="199" spans="2:7" ht="12.75">
      <c r="B199" s="123"/>
      <c r="C199" s="123"/>
      <c r="E199" s="123"/>
      <c r="F199" s="123"/>
      <c r="G199" s="123"/>
    </row>
    <row r="200" spans="2:7" ht="12.75">
      <c r="B200" s="123"/>
      <c r="C200" s="123"/>
      <c r="E200" s="123"/>
      <c r="F200" s="123"/>
      <c r="G200" s="123"/>
    </row>
    <row r="201" spans="2:7" ht="12.75">
      <c r="B201" s="123"/>
      <c r="C201" s="123"/>
      <c r="E201" s="123"/>
      <c r="F201" s="123"/>
      <c r="G201" s="123"/>
    </row>
    <row r="202" spans="2:7" ht="12.75">
      <c r="B202" s="123"/>
      <c r="C202" s="123"/>
      <c r="E202" s="123"/>
      <c r="F202" s="123"/>
      <c r="G202" s="123"/>
    </row>
    <row r="203" spans="2:7" ht="12.75">
      <c r="B203" s="123"/>
      <c r="C203" s="123"/>
      <c r="E203" s="123"/>
      <c r="F203" s="123"/>
      <c r="G203" s="123"/>
    </row>
    <row r="204" spans="2:7" ht="12.75">
      <c r="B204" s="123"/>
      <c r="C204" s="123"/>
      <c r="E204" s="123"/>
      <c r="F204" s="123"/>
      <c r="G204" s="123"/>
    </row>
    <row r="205" spans="2:7" ht="12.75">
      <c r="B205" s="123"/>
      <c r="C205" s="123"/>
      <c r="E205" s="123"/>
      <c r="F205" s="123"/>
      <c r="G205" s="123"/>
    </row>
    <row r="206" spans="2:7" ht="12.75">
      <c r="B206" s="123"/>
      <c r="C206" s="123"/>
      <c r="E206" s="123"/>
      <c r="F206" s="123"/>
      <c r="G206" s="123"/>
    </row>
    <row r="207" spans="2:7" ht="12.75">
      <c r="B207" s="123"/>
      <c r="C207" s="123"/>
      <c r="E207" s="123"/>
      <c r="F207" s="123"/>
      <c r="G207" s="123"/>
    </row>
    <row r="208" spans="2:7" ht="12.75">
      <c r="B208" s="123"/>
      <c r="C208" s="123"/>
      <c r="E208" s="123"/>
      <c r="F208" s="123"/>
      <c r="G208" s="123"/>
    </row>
    <row r="209" spans="2:7" ht="12.75">
      <c r="B209" s="123"/>
      <c r="C209" s="123"/>
      <c r="E209" s="123"/>
      <c r="F209" s="123"/>
      <c r="G209" s="123"/>
    </row>
    <row r="210" spans="2:7" ht="12.75">
      <c r="B210" s="123"/>
      <c r="C210" s="123"/>
      <c r="E210" s="123"/>
      <c r="F210" s="123"/>
      <c r="G210" s="123"/>
    </row>
    <row r="211" spans="2:7" ht="12.75">
      <c r="B211" s="123"/>
      <c r="C211" s="123"/>
      <c r="E211" s="123"/>
      <c r="F211" s="123"/>
      <c r="G211" s="123"/>
    </row>
    <row r="212" spans="2:7" ht="12.75">
      <c r="B212" s="123"/>
      <c r="C212" s="123"/>
      <c r="E212" s="123"/>
      <c r="F212" s="123"/>
      <c r="G212" s="123"/>
    </row>
    <row r="213" spans="2:7" ht="12.75">
      <c r="B213" s="123"/>
      <c r="C213" s="123"/>
      <c r="E213" s="123"/>
      <c r="F213" s="123"/>
      <c r="G213" s="123"/>
    </row>
    <row r="214" spans="2:7" ht="12.75">
      <c r="B214" s="123"/>
      <c r="C214" s="123"/>
      <c r="E214" s="123"/>
      <c r="F214" s="123"/>
      <c r="G214" s="123"/>
    </row>
    <row r="215" spans="2:7" ht="12.75">
      <c r="B215" s="123"/>
      <c r="C215" s="123"/>
      <c r="E215" s="123"/>
      <c r="F215" s="123"/>
      <c r="G215" s="123"/>
    </row>
    <row r="216" spans="2:7" ht="12.75">
      <c r="B216" s="123"/>
      <c r="C216" s="123"/>
      <c r="E216" s="123"/>
      <c r="F216" s="123"/>
      <c r="G216" s="123"/>
    </row>
    <row r="217" spans="2:7" ht="12.75">
      <c r="B217" s="123"/>
      <c r="C217" s="123"/>
      <c r="E217" s="123"/>
      <c r="F217" s="123"/>
      <c r="G217" s="123"/>
    </row>
    <row r="218" spans="2:7" ht="12.75">
      <c r="B218" s="123"/>
      <c r="C218" s="123"/>
      <c r="E218" s="123"/>
      <c r="F218" s="123"/>
      <c r="G218" s="123"/>
    </row>
    <row r="219" spans="2:7" ht="12.75">
      <c r="B219" s="123"/>
      <c r="C219" s="123"/>
      <c r="E219" s="123"/>
      <c r="F219" s="123"/>
      <c r="G219" s="123"/>
    </row>
    <row r="220" spans="2:7" ht="12.75">
      <c r="B220" s="123"/>
      <c r="C220" s="123"/>
      <c r="E220" s="123"/>
      <c r="F220" s="123"/>
      <c r="G220" s="123"/>
    </row>
    <row r="221" spans="2:7" ht="12.75">
      <c r="B221" s="123"/>
      <c r="C221" s="123"/>
      <c r="E221" s="123"/>
      <c r="F221" s="123"/>
      <c r="G221" s="123"/>
    </row>
    <row r="222" spans="2:7" ht="12.75">
      <c r="B222" s="123"/>
      <c r="C222" s="123"/>
      <c r="E222" s="123"/>
      <c r="F222" s="123"/>
      <c r="G222" s="123"/>
    </row>
    <row r="223" spans="2:7" ht="12.75">
      <c r="B223" s="123"/>
      <c r="C223" s="123"/>
      <c r="E223" s="123"/>
      <c r="F223" s="123"/>
      <c r="G223" s="123"/>
    </row>
    <row r="224" spans="2:7" ht="12.75">
      <c r="B224" s="123"/>
      <c r="C224" s="123"/>
      <c r="E224" s="123"/>
      <c r="F224" s="123"/>
      <c r="G224" s="123"/>
    </row>
    <row r="225" spans="2:7" ht="12.75">
      <c r="B225" s="123"/>
      <c r="C225" s="123"/>
      <c r="E225" s="123"/>
      <c r="F225" s="123"/>
      <c r="G225" s="123"/>
    </row>
    <row r="226" spans="2:7" ht="12.75">
      <c r="B226" s="123"/>
      <c r="C226" s="123"/>
      <c r="E226" s="123"/>
      <c r="F226" s="123"/>
      <c r="G226" s="123"/>
    </row>
    <row r="227" spans="2:7" ht="12.75">
      <c r="B227" s="123"/>
      <c r="C227" s="123"/>
      <c r="E227" s="123"/>
      <c r="F227" s="123"/>
      <c r="G227" s="123"/>
    </row>
    <row r="228" spans="2:7" ht="12.75">
      <c r="B228" s="123"/>
      <c r="C228" s="123"/>
      <c r="E228" s="123"/>
      <c r="F228" s="123"/>
      <c r="G228" s="123"/>
    </row>
    <row r="229" spans="2:7" ht="12.75">
      <c r="B229" s="123"/>
      <c r="C229" s="123"/>
      <c r="E229" s="123"/>
      <c r="F229" s="123"/>
      <c r="G229" s="123"/>
    </row>
    <row r="230" spans="2:7" ht="12.75">
      <c r="B230" s="123"/>
      <c r="C230" s="123"/>
      <c r="E230" s="123"/>
      <c r="F230" s="123"/>
      <c r="G230" s="123"/>
    </row>
    <row r="231" spans="2:7" ht="12.75">
      <c r="B231" s="123"/>
      <c r="C231" s="123"/>
      <c r="E231" s="123"/>
      <c r="F231" s="123"/>
      <c r="G231" s="123"/>
    </row>
    <row r="232" spans="2:7" ht="12.75">
      <c r="B232" s="123"/>
      <c r="C232" s="123"/>
      <c r="E232" s="123"/>
      <c r="F232" s="123"/>
      <c r="G232" s="123"/>
    </row>
    <row r="233" spans="2:7" ht="12.75">
      <c r="B233" s="123"/>
      <c r="C233" s="123"/>
      <c r="E233" s="123"/>
      <c r="F233" s="123"/>
      <c r="G233" s="123"/>
    </row>
    <row r="234" spans="2:7" ht="12.75">
      <c r="B234" s="123"/>
      <c r="C234" s="123"/>
      <c r="E234" s="123"/>
      <c r="F234" s="123"/>
      <c r="G234" s="123"/>
    </row>
    <row r="235" spans="2:7" ht="12.75">
      <c r="B235" s="123"/>
      <c r="C235" s="123"/>
      <c r="E235" s="123"/>
      <c r="F235" s="123"/>
      <c r="G235" s="123"/>
    </row>
    <row r="236" spans="2:7" ht="12.75">
      <c r="B236" s="123"/>
      <c r="C236" s="123"/>
      <c r="E236" s="123"/>
      <c r="F236" s="123"/>
      <c r="G236" s="123"/>
    </row>
    <row r="237" spans="2:7" ht="12.75">
      <c r="B237" s="123"/>
      <c r="C237" s="123"/>
      <c r="E237" s="123"/>
      <c r="F237" s="123"/>
      <c r="G237" s="123"/>
    </row>
    <row r="238" spans="2:7" ht="12.75">
      <c r="B238" s="123"/>
      <c r="C238" s="123"/>
      <c r="E238" s="123"/>
      <c r="F238" s="123"/>
      <c r="G238" s="123"/>
    </row>
    <row r="239" spans="2:7" ht="12.75">
      <c r="B239" s="123"/>
      <c r="C239" s="123"/>
      <c r="E239" s="123"/>
      <c r="F239" s="123"/>
      <c r="G239" s="123"/>
    </row>
    <row r="240" spans="2:7" ht="12.75">
      <c r="B240" s="123"/>
      <c r="C240" s="123"/>
      <c r="E240" s="123"/>
      <c r="F240" s="123"/>
      <c r="G240" s="123"/>
    </row>
    <row r="241" spans="2:7" ht="12.75">
      <c r="B241" s="123"/>
      <c r="C241" s="123"/>
      <c r="E241" s="123"/>
      <c r="F241" s="123"/>
      <c r="G241" s="123"/>
    </row>
    <row r="242" spans="2:7" ht="12.75">
      <c r="B242" s="123"/>
      <c r="C242" s="123"/>
      <c r="E242" s="123"/>
      <c r="F242" s="123"/>
      <c r="G242" s="123"/>
    </row>
    <row r="243" spans="2:7" ht="12.75">
      <c r="B243" s="123"/>
      <c r="C243" s="123"/>
      <c r="E243" s="123"/>
      <c r="F243" s="123"/>
      <c r="G243" s="123"/>
    </row>
    <row r="244" spans="2:7" ht="12.75">
      <c r="B244" s="123"/>
      <c r="C244" s="123"/>
      <c r="E244" s="123"/>
      <c r="F244" s="123"/>
      <c r="G244" s="123"/>
    </row>
    <row r="245" spans="2:7" ht="12.75">
      <c r="B245" s="123"/>
      <c r="C245" s="123"/>
      <c r="E245" s="123"/>
      <c r="F245" s="123"/>
      <c r="G245" s="123"/>
    </row>
    <row r="246" spans="2:7" ht="12.75">
      <c r="B246" s="123"/>
      <c r="C246" s="123"/>
      <c r="E246" s="123"/>
      <c r="F246" s="123"/>
      <c r="G246" s="123"/>
    </row>
    <row r="247" spans="2:7" ht="12.75">
      <c r="B247" s="123"/>
      <c r="C247" s="123"/>
      <c r="E247" s="123"/>
      <c r="F247" s="123"/>
      <c r="G247" s="123"/>
    </row>
    <row r="248" spans="2:7" ht="12.75">
      <c r="B248" s="123"/>
      <c r="C248" s="123"/>
      <c r="E248" s="123"/>
      <c r="F248" s="123"/>
      <c r="G248" s="123"/>
    </row>
    <row r="249" spans="2:7" ht="12.75">
      <c r="B249" s="123"/>
      <c r="C249" s="123"/>
      <c r="E249" s="123"/>
      <c r="F249" s="123"/>
      <c r="G249" s="123"/>
    </row>
    <row r="250" spans="2:7" ht="12.75">
      <c r="B250" s="123"/>
      <c r="C250" s="123"/>
      <c r="E250" s="123"/>
      <c r="F250" s="123"/>
      <c r="G250" s="123"/>
    </row>
    <row r="251" spans="2:7" ht="12.75">
      <c r="B251" s="123"/>
      <c r="C251" s="123"/>
      <c r="E251" s="123"/>
      <c r="F251" s="123"/>
      <c r="G251" s="123"/>
    </row>
    <row r="252" spans="2:7" ht="12.75">
      <c r="B252" s="123"/>
      <c r="C252" s="123"/>
      <c r="E252" s="123"/>
      <c r="F252" s="123"/>
      <c r="G252" s="123"/>
    </row>
    <row r="253" spans="2:7" ht="12.75">
      <c r="B253" s="123"/>
      <c r="C253" s="123"/>
      <c r="E253" s="123"/>
      <c r="F253" s="123"/>
      <c r="G253" s="123"/>
    </row>
    <row r="254" spans="2:7" ht="12.75">
      <c r="B254" s="123"/>
      <c r="C254" s="123"/>
      <c r="E254" s="123"/>
      <c r="F254" s="123"/>
      <c r="G254" s="123"/>
    </row>
    <row r="255" spans="2:7" ht="12.75">
      <c r="B255" s="123"/>
      <c r="C255" s="123"/>
      <c r="E255" s="123"/>
      <c r="F255" s="123"/>
      <c r="G255" s="123"/>
    </row>
    <row r="256" spans="2:7" ht="12.75">
      <c r="B256" s="123"/>
      <c r="C256" s="123"/>
      <c r="E256" s="123"/>
      <c r="F256" s="123"/>
      <c r="G256" s="123"/>
    </row>
    <row r="257" spans="2:7" ht="12.75">
      <c r="B257" s="123"/>
      <c r="C257" s="123"/>
      <c r="E257" s="123"/>
      <c r="F257" s="123"/>
      <c r="G257" s="123"/>
    </row>
    <row r="258" spans="2:7" ht="12.75">
      <c r="B258" s="123"/>
      <c r="C258" s="123"/>
      <c r="E258" s="123"/>
      <c r="F258" s="123"/>
      <c r="G258" s="123"/>
    </row>
    <row r="259" spans="2:7" ht="12.75">
      <c r="B259" s="123"/>
      <c r="C259" s="123"/>
      <c r="E259" s="123"/>
      <c r="F259" s="123"/>
      <c r="G259" s="123"/>
    </row>
    <row r="260" spans="2:7" ht="12.75">
      <c r="B260" s="123"/>
      <c r="C260" s="123"/>
      <c r="E260" s="123"/>
      <c r="F260" s="123"/>
      <c r="G260" s="123"/>
    </row>
    <row r="261" spans="2:7" ht="12.75">
      <c r="B261" s="123"/>
      <c r="C261" s="123"/>
      <c r="E261" s="123"/>
      <c r="F261" s="123"/>
      <c r="G261" s="123"/>
    </row>
    <row r="262" spans="2:7" ht="12.75">
      <c r="B262" s="123"/>
      <c r="C262" s="123"/>
      <c r="E262" s="123"/>
      <c r="F262" s="123"/>
      <c r="G262" s="123"/>
    </row>
    <row r="263" spans="2:7" ht="12.75">
      <c r="B263" s="123"/>
      <c r="C263" s="123"/>
      <c r="E263" s="123"/>
      <c r="F263" s="123"/>
      <c r="G263" s="123"/>
    </row>
    <row r="264" spans="2:7" ht="12.75">
      <c r="B264" s="123"/>
      <c r="C264" s="123"/>
      <c r="E264" s="123"/>
      <c r="F264" s="123"/>
      <c r="G264" s="123"/>
    </row>
    <row r="265" spans="2:7" ht="12.75">
      <c r="B265" s="123"/>
      <c r="C265" s="123"/>
      <c r="E265" s="123"/>
      <c r="F265" s="123"/>
      <c r="G265" s="123"/>
    </row>
    <row r="266" spans="2:7" ht="12.75">
      <c r="B266" s="123"/>
      <c r="C266" s="123"/>
      <c r="E266" s="123"/>
      <c r="F266" s="123"/>
      <c r="G266" s="123"/>
    </row>
    <row r="267" spans="2:7" ht="12.75">
      <c r="B267" s="123"/>
      <c r="C267" s="123"/>
      <c r="E267" s="123"/>
      <c r="F267" s="123"/>
      <c r="G267" s="123"/>
    </row>
    <row r="268" spans="2:7" ht="12.75">
      <c r="B268" s="123"/>
      <c r="C268" s="123"/>
      <c r="E268" s="123"/>
      <c r="F268" s="123"/>
      <c r="G268" s="123"/>
    </row>
    <row r="269" spans="2:7" ht="12.75">
      <c r="B269" s="123"/>
      <c r="C269" s="123"/>
      <c r="E269" s="123"/>
      <c r="F269" s="123"/>
      <c r="G269" s="123"/>
    </row>
    <row r="270" spans="2:7" ht="12.75">
      <c r="B270" s="123"/>
      <c r="C270" s="123"/>
      <c r="E270" s="123"/>
      <c r="F270" s="123"/>
      <c r="G270" s="123"/>
    </row>
    <row r="271" spans="2:7" ht="12.75">
      <c r="B271" s="123"/>
      <c r="C271" s="123"/>
      <c r="E271" s="123"/>
      <c r="F271" s="123"/>
      <c r="G271" s="123"/>
    </row>
    <row r="272" spans="2:7" ht="12.75">
      <c r="B272" s="123"/>
      <c r="C272" s="123"/>
      <c r="E272" s="123"/>
      <c r="F272" s="123"/>
      <c r="G272" s="123"/>
    </row>
    <row r="273" spans="2:7" ht="12.75">
      <c r="B273" s="123"/>
      <c r="C273" s="123"/>
      <c r="E273" s="123"/>
      <c r="F273" s="123"/>
      <c r="G273" s="123"/>
    </row>
    <row r="274" spans="2:7" ht="12.75">
      <c r="B274" s="123"/>
      <c r="C274" s="123"/>
      <c r="E274" s="123"/>
      <c r="F274" s="123"/>
      <c r="G274" s="123"/>
    </row>
    <row r="275" spans="2:7" ht="12.75">
      <c r="B275" s="123"/>
      <c r="C275" s="123"/>
      <c r="E275" s="123"/>
      <c r="F275" s="123"/>
      <c r="G275" s="123"/>
    </row>
    <row r="276" spans="2:7" ht="12.75">
      <c r="B276" s="123"/>
      <c r="C276" s="123"/>
      <c r="E276" s="123"/>
      <c r="F276" s="123"/>
      <c r="G276" s="123"/>
    </row>
    <row r="277" spans="2:7" ht="12.75">
      <c r="B277" s="123"/>
      <c r="C277" s="123"/>
      <c r="E277" s="123"/>
      <c r="F277" s="123"/>
      <c r="G277" s="123"/>
    </row>
    <row r="278" spans="2:7" ht="12.75">
      <c r="B278" s="123"/>
      <c r="C278" s="123"/>
      <c r="E278" s="123"/>
      <c r="F278" s="123"/>
      <c r="G278" s="123"/>
    </row>
    <row r="279" spans="2:7" ht="12.75">
      <c r="B279" s="123"/>
      <c r="C279" s="123"/>
      <c r="E279" s="123"/>
      <c r="F279" s="123"/>
      <c r="G279" s="123"/>
    </row>
    <row r="280" spans="2:7" ht="12.75">
      <c r="B280" s="123"/>
      <c r="C280" s="123"/>
      <c r="E280" s="123"/>
      <c r="F280" s="123"/>
      <c r="G280" s="123"/>
    </row>
    <row r="281" spans="2:7" ht="12.75">
      <c r="B281" s="123"/>
      <c r="C281" s="123"/>
      <c r="E281" s="123"/>
      <c r="F281" s="123"/>
      <c r="G281" s="123"/>
    </row>
    <row r="282" spans="2:7" ht="12.75">
      <c r="B282" s="123"/>
      <c r="C282" s="123"/>
      <c r="E282" s="123"/>
      <c r="F282" s="123"/>
      <c r="G282" s="123"/>
    </row>
    <row r="283" spans="2:7" ht="12.75">
      <c r="B283" s="123"/>
      <c r="C283" s="123"/>
      <c r="E283" s="123"/>
      <c r="F283" s="123"/>
      <c r="G283" s="123"/>
    </row>
    <row r="284" spans="2:7" ht="12.75">
      <c r="B284" s="123"/>
      <c r="C284" s="123"/>
      <c r="E284" s="123"/>
      <c r="F284" s="123"/>
      <c r="G284" s="123"/>
    </row>
    <row r="285" spans="2:7" ht="12.75">
      <c r="B285" s="123"/>
      <c r="C285" s="123"/>
      <c r="E285" s="123"/>
      <c r="F285" s="123"/>
      <c r="G285" s="123"/>
    </row>
    <row r="286" spans="2:7" ht="12.75">
      <c r="B286" s="123"/>
      <c r="C286" s="123"/>
      <c r="E286" s="123"/>
      <c r="F286" s="123"/>
      <c r="G286" s="123"/>
    </row>
    <row r="287" spans="2:7" ht="12.75">
      <c r="B287" s="123"/>
      <c r="C287" s="123"/>
      <c r="E287" s="123"/>
      <c r="F287" s="123"/>
      <c r="G287" s="123"/>
    </row>
    <row r="288" spans="2:7" ht="12.75">
      <c r="B288" s="123"/>
      <c r="C288" s="123"/>
      <c r="E288" s="123"/>
      <c r="F288" s="123"/>
      <c r="G288" s="123"/>
    </row>
    <row r="289" spans="2:7" ht="12.75">
      <c r="B289" s="123"/>
      <c r="C289" s="123"/>
      <c r="E289" s="123"/>
      <c r="F289" s="123"/>
      <c r="G289" s="123"/>
    </row>
    <row r="290" spans="2:7" ht="12.75">
      <c r="B290" s="123"/>
      <c r="C290" s="123"/>
      <c r="E290" s="123"/>
      <c r="F290" s="123"/>
      <c r="G290" s="123"/>
    </row>
    <row r="291" spans="2:7" ht="12.75">
      <c r="B291" s="123"/>
      <c r="C291" s="123"/>
      <c r="E291" s="123"/>
      <c r="F291" s="123"/>
      <c r="G291" s="123"/>
    </row>
  </sheetData>
  <printOptions/>
  <pageMargins left="1.14" right="1.14" top="1" bottom="1" header="0.5" footer="0.5"/>
  <pageSetup fitToWidth="2" horizontalDpi="300" verticalDpi="300" orientation="landscape" scale="64" r:id="rId1"/>
  <headerFooter alignWithMargins="0">
    <oddHeader>&amp;C&amp;A</oddHeader>
    <oddFooter>&amp;CWater Treatment Cost Estimation Program</oddFooter>
  </headerFooter>
  <rowBreaks count="1" manualBreakCount="1">
    <brk id="54" max="6" man="1"/>
  </rowBreaks>
</worksheet>
</file>

<file path=xl/worksheets/sheet38.xml><?xml version="1.0" encoding="utf-8"?>
<worksheet xmlns="http://schemas.openxmlformats.org/spreadsheetml/2006/main" xmlns:r="http://schemas.openxmlformats.org/officeDocument/2006/relationships">
  <sheetPr codeName="Sheet22"/>
  <dimension ref="A1:J39"/>
  <sheetViews>
    <sheetView workbookViewId="0" topLeftCell="A7">
      <selection activeCell="G22" sqref="G22"/>
    </sheetView>
  </sheetViews>
  <sheetFormatPr defaultColWidth="9.140625" defaultRowHeight="12.75"/>
  <cols>
    <col min="1" max="1" width="28.00390625" style="159" customWidth="1"/>
    <col min="2" max="2" width="13.140625" style="159" customWidth="1"/>
    <col min="3" max="3" width="11.7109375" style="159" bestFit="1" customWidth="1"/>
    <col min="4" max="4" width="12.8515625" style="159" customWidth="1"/>
    <col min="5" max="5" width="10.7109375" style="159" bestFit="1" customWidth="1"/>
    <col min="6" max="6" width="12.421875" style="159" bestFit="1" customWidth="1"/>
    <col min="7" max="7" width="10.7109375" style="159" bestFit="1" customWidth="1"/>
    <col min="8" max="8" width="27.140625" style="159" customWidth="1"/>
    <col min="9" max="9" width="9.140625" style="159" customWidth="1"/>
    <col min="10" max="10" width="17.8515625" style="159" customWidth="1"/>
    <col min="11" max="13" width="9.140625" style="159" customWidth="1"/>
    <col min="14" max="14" width="12.421875" style="159" bestFit="1" customWidth="1"/>
    <col min="15" max="16384" width="9.140625" style="159"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399" t="s">
        <v>652</v>
      </c>
    </row>
    <row r="5" spans="1:9" ht="13.5" thickBot="1">
      <c r="A5" s="1405"/>
      <c r="B5" s="819"/>
      <c r="C5" s="1062" t="s">
        <v>1682</v>
      </c>
      <c r="D5" s="2492" t="s">
        <v>766</v>
      </c>
      <c r="E5" s="2492"/>
      <c r="H5" s="1085" t="s">
        <v>689</v>
      </c>
      <c r="I5" s="433"/>
    </row>
    <row r="6" spans="1:9" ht="13.5" thickTop="1">
      <c r="A6" s="474" t="s">
        <v>1562</v>
      </c>
      <c r="B6" s="943">
        <f>'{c}Report'!D202</f>
        <v>1</v>
      </c>
      <c r="C6" s="943" t="s">
        <v>81</v>
      </c>
      <c r="D6" s="943"/>
      <c r="E6" s="943"/>
      <c r="H6" s="433" t="s">
        <v>695</v>
      </c>
      <c r="I6" s="433">
        <f>Years</f>
        <v>30</v>
      </c>
    </row>
    <row r="7" spans="1:9" ht="12.75">
      <c r="A7" s="433" t="s">
        <v>941</v>
      </c>
      <c r="B7" s="205">
        <v>100</v>
      </c>
      <c r="C7" s="205" t="s">
        <v>159</v>
      </c>
      <c r="D7" s="208">
        <f>B7/0.3048</f>
        <v>328.0839895013123</v>
      </c>
      <c r="E7" s="205" t="s">
        <v>160</v>
      </c>
      <c r="H7" s="433" t="s">
        <v>696</v>
      </c>
      <c r="I7" s="1401">
        <f>Interest/100</f>
        <v>0.06</v>
      </c>
    </row>
    <row r="8" spans="1:9" ht="12.75">
      <c r="A8" s="433" t="s">
        <v>1566</v>
      </c>
      <c r="B8" s="205">
        <f>'{c}Report'!D204</f>
        <v>1750</v>
      </c>
      <c r="C8" s="205" t="s">
        <v>147</v>
      </c>
      <c r="D8" s="747">
        <f>B8/6.89</f>
        <v>253.9912917271408</v>
      </c>
      <c r="E8" s="205" t="s">
        <v>148</v>
      </c>
      <c r="H8" s="433" t="s">
        <v>690</v>
      </c>
      <c r="I8" s="314">
        <v>10</v>
      </c>
    </row>
    <row r="9" spans="1:9" ht="14.25">
      <c r="A9" s="433" t="s">
        <v>1563</v>
      </c>
      <c r="B9" s="207">
        <f>'{b}Capacity'!B32/1000</f>
        <v>5.153867102396514</v>
      </c>
      <c r="C9" s="205" t="s">
        <v>1561</v>
      </c>
      <c r="D9" s="1082">
        <f>B9*1000*60/3.785</f>
        <v>81699.34640522876</v>
      </c>
      <c r="E9" s="205" t="s">
        <v>1540</v>
      </c>
      <c r="H9" s="433" t="s">
        <v>697</v>
      </c>
      <c r="I9" s="633">
        <f>((1+I7)^I6-1)/(I7*(1+I7)^I6)</f>
        <v>13.764831151489428</v>
      </c>
    </row>
    <row r="10" spans="1:9" ht="14.25">
      <c r="A10" s="433" t="s">
        <v>1564</v>
      </c>
      <c r="B10" s="207">
        <f>B9/B6</f>
        <v>5.153867102396514</v>
      </c>
      <c r="C10" s="205" t="s">
        <v>1561</v>
      </c>
      <c r="D10" s="1082">
        <f>B10*1000*60/3.785</f>
        <v>81699.34640522876</v>
      </c>
      <c r="E10" s="205" t="s">
        <v>1540</v>
      </c>
      <c r="G10" s="353"/>
      <c r="H10" s="433" t="s">
        <v>700</v>
      </c>
      <c r="I10" s="1402">
        <f>1/I9</f>
        <v>0.07264891149004721</v>
      </c>
    </row>
    <row r="11" spans="1:9" ht="12.75">
      <c r="A11" s="433" t="s">
        <v>1568</v>
      </c>
      <c r="B11" s="205">
        <f>'{c}Report'!D207</f>
        <v>75</v>
      </c>
      <c r="C11" s="205" t="s">
        <v>132</v>
      </c>
      <c r="D11" s="205"/>
      <c r="E11" s="205"/>
      <c r="H11" s="433" t="s">
        <v>701</v>
      </c>
      <c r="I11" s="633">
        <f>'{b}Capacity'!C7</f>
        <v>0.95</v>
      </c>
    </row>
    <row r="12" spans="1:9" ht="12.75">
      <c r="A12" s="433" t="s">
        <v>1185</v>
      </c>
      <c r="B12" s="208">
        <f>D12*(1/3.28084)</f>
        <v>2.4383999219712025</v>
      </c>
      <c r="C12" s="205" t="s">
        <v>1186</v>
      </c>
      <c r="D12" s="1418">
        <v>8</v>
      </c>
      <c r="E12" s="205" t="s">
        <v>1187</v>
      </c>
      <c r="F12" s="1419"/>
      <c r="H12" s="433" t="s">
        <v>702</v>
      </c>
      <c r="I12" s="1403">
        <f>C31*'{d}Cost Index'!B26*8760*I11*I10/I8</f>
        <v>0</v>
      </c>
    </row>
    <row r="13" spans="1:5" ht="12.75">
      <c r="A13" s="433" t="s">
        <v>1569</v>
      </c>
      <c r="B13" s="205">
        <f>'{c}Report'!D209</f>
        <v>87</v>
      </c>
      <c r="C13" s="205" t="s">
        <v>132</v>
      </c>
      <c r="D13" s="747"/>
      <c r="E13" s="205"/>
    </row>
    <row r="14" spans="1:6" ht="12.75">
      <c r="A14" s="433" t="s">
        <v>1567</v>
      </c>
      <c r="B14" s="1420">
        <f>(B7*9.81+(B12^2*0.5)+(B8-101.3))*B10*1000*100/(746*B11)</f>
        <v>24251.02097530243</v>
      </c>
      <c r="C14" s="205"/>
      <c r="D14" s="747"/>
      <c r="E14" s="205"/>
      <c r="F14" s="1419" t="s">
        <v>1625</v>
      </c>
    </row>
    <row r="15" spans="1:5" ht="12.75">
      <c r="A15" s="433" t="s">
        <v>1570</v>
      </c>
      <c r="B15" s="747">
        <f>B14*0.746*100/B13</f>
        <v>20794.553617903002</v>
      </c>
      <c r="C15" s="205" t="s">
        <v>888</v>
      </c>
      <c r="D15" s="205"/>
      <c r="E15" s="205"/>
    </row>
    <row r="16" spans="1:5" ht="12.75">
      <c r="A16" s="153"/>
      <c r="B16" s="133"/>
      <c r="C16" s="123"/>
      <c r="D16" s="123"/>
      <c r="E16" s="123"/>
    </row>
    <row r="17" spans="1:5" ht="13.5" thickBot="1">
      <c r="A17" s="153"/>
      <c r="B17" s="133"/>
      <c r="C17" s="123"/>
      <c r="D17" s="123"/>
      <c r="E17" s="123"/>
    </row>
    <row r="18" spans="1:6" ht="12.75">
      <c r="A18" s="688"/>
      <c r="B18" s="1350"/>
      <c r="C18" s="1400" t="s">
        <v>1133</v>
      </c>
      <c r="D18" s="1400" t="s">
        <v>155</v>
      </c>
      <c r="E18" s="1400" t="s">
        <v>1140</v>
      </c>
      <c r="F18" s="1356"/>
    </row>
    <row r="19" spans="1:6" ht="13.5" thickBot="1">
      <c r="A19" s="1399" t="s">
        <v>687</v>
      </c>
      <c r="B19" s="391"/>
      <c r="C19" s="391" t="s">
        <v>1443</v>
      </c>
      <c r="D19" s="391" t="s">
        <v>1444</v>
      </c>
      <c r="E19" s="391" t="s">
        <v>1139</v>
      </c>
      <c r="F19" s="715"/>
    </row>
    <row r="20" spans="1:6" ht="12.75">
      <c r="A20" s="688" t="s">
        <v>1134</v>
      </c>
      <c r="B20" s="1350"/>
      <c r="C20" s="1393">
        <f>B14*B6*300</f>
        <v>7275306.292590728</v>
      </c>
      <c r="D20" s="1393">
        <f>B6*85000*($B$14/100)^0.65</f>
        <v>3016431.333559073</v>
      </c>
      <c r="E20" s="1393">
        <f>IF(B14&lt;350,35000*($B$14/100)^0.65,(-0.00006308*B10+233.86))*B6</f>
        <v>233.8596748940632</v>
      </c>
      <c r="F20" s="1356"/>
    </row>
    <row r="21" spans="1:6" ht="12.75">
      <c r="A21" s="632" t="s">
        <v>685</v>
      </c>
      <c r="B21" s="205"/>
      <c r="C21" s="1082">
        <f>$B6*(100.24*($B$10*86400)^0.75)</f>
        <v>1727930.5241495322</v>
      </c>
      <c r="D21" s="1082">
        <f>$B6*(100.24*($B$10*86400)^0.75)</f>
        <v>1727930.5241495322</v>
      </c>
      <c r="E21" s="1082">
        <f>$B6*(100.24*($B$10*86400)^0.75)</f>
        <v>1727930.5241495322</v>
      </c>
      <c r="F21" s="1357"/>
    </row>
    <row r="22" spans="1:6" ht="13.5" thickBot="1">
      <c r="A22" s="635" t="s">
        <v>686</v>
      </c>
      <c r="B22" s="391"/>
      <c r="C22" s="1394"/>
      <c r="D22" s="1394">
        <f>4000*B6</f>
        <v>4000</v>
      </c>
      <c r="E22" s="1394"/>
      <c r="F22" s="715"/>
    </row>
    <row r="23" spans="1:6" ht="13.5" thickBot="1">
      <c r="A23" s="1395" t="s">
        <v>1132</v>
      </c>
      <c r="B23" s="1396"/>
      <c r="C23" s="1397">
        <f>SUM(C20:C22)</f>
        <v>9003236.81674026</v>
      </c>
      <c r="D23" s="1397">
        <f>SUM(D20:D22)</f>
        <v>4748361.857708605</v>
      </c>
      <c r="E23" s="1397">
        <f>SUM(E20:E22)</f>
        <v>1728164.3838244262</v>
      </c>
      <c r="F23" s="1398"/>
    </row>
    <row r="24" spans="2:5" ht="12.75">
      <c r="B24" s="210"/>
      <c r="C24" s="210"/>
      <c r="D24" s="210"/>
      <c r="E24" s="210"/>
    </row>
    <row r="25" spans="2:5" ht="13.5" thickBot="1">
      <c r="B25" s="210"/>
      <c r="C25" s="210"/>
      <c r="D25" s="210"/>
      <c r="E25" s="210"/>
    </row>
    <row r="26" spans="1:6" ht="13.5" thickBot="1">
      <c r="A26" s="840" t="s">
        <v>688</v>
      </c>
      <c r="B26" s="125"/>
      <c r="C26" s="125"/>
      <c r="D26" s="125"/>
      <c r="E26" s="125"/>
      <c r="F26" s="162"/>
    </row>
    <row r="27" spans="1:6" ht="12.75">
      <c r="A27" s="688" t="s">
        <v>1571</v>
      </c>
      <c r="B27" s="1350"/>
      <c r="C27" s="1393">
        <f>B$15*24*$B$6*Power*365*'{b}Capacity'!C$9</f>
        <v>12113659.264573216</v>
      </c>
      <c r="D27" s="1090"/>
      <c r="E27" s="1090"/>
      <c r="F27" s="1356"/>
    </row>
    <row r="28" spans="1:6" ht="12.75">
      <c r="A28" s="632" t="s">
        <v>1573</v>
      </c>
      <c r="B28" s="314">
        <v>0.7</v>
      </c>
      <c r="C28" s="1082">
        <f>$B28*0.04*$B14/100*8760</f>
        <v>59482.90424822179</v>
      </c>
      <c r="D28" s="205"/>
      <c r="E28" s="205"/>
      <c r="F28" s="1357"/>
    </row>
    <row r="29" spans="1:6" ht="14.25">
      <c r="A29" s="632" t="s">
        <v>1574</v>
      </c>
      <c r="B29" s="314">
        <v>0.075</v>
      </c>
      <c r="C29" s="1082">
        <f>$B29*($B14/100)*8760*60</f>
        <v>9559752.468464216</v>
      </c>
      <c r="D29" s="205"/>
      <c r="E29" s="205"/>
      <c r="F29" s="1357"/>
    </row>
    <row r="30" spans="1:6" ht="13.5" thickBot="1">
      <c r="A30" s="635" t="s">
        <v>1575</v>
      </c>
      <c r="B30" s="316">
        <v>1.5</v>
      </c>
      <c r="C30" s="1394">
        <f>$B30*$B14*ENR_Labor</f>
        <v>1056738.2389988033</v>
      </c>
      <c r="D30" s="391"/>
      <c r="E30" s="391"/>
      <c r="F30" s="715"/>
    </row>
    <row r="31" spans="1:6" ht="13.5" thickBot="1">
      <c r="A31" s="1395"/>
      <c r="B31" s="1396"/>
      <c r="C31" s="1397">
        <f>SUM(C27:C30)</f>
        <v>22789632.87628446</v>
      </c>
      <c r="D31" s="1396"/>
      <c r="E31" s="1396"/>
      <c r="F31" s="1398"/>
    </row>
    <row r="32" spans="1:5" ht="12.75">
      <c r="A32" s="930" t="s">
        <v>1808</v>
      </c>
      <c r="B32" s="210"/>
      <c r="C32" s="210"/>
      <c r="D32" s="210"/>
      <c r="E32" s="210"/>
    </row>
    <row r="33" spans="8:10" ht="12.75">
      <c r="H33" s="1404">
        <f>I33*3.785/(1000*60)</f>
        <v>6.308333333333334E-05</v>
      </c>
      <c r="I33" s="433">
        <v>1</v>
      </c>
      <c r="J33" s="433">
        <f aca="true" t="shared" si="0" ref="J33:J39">-0.0387*I33+236</f>
        <v>235.9613</v>
      </c>
    </row>
    <row r="34" spans="8:10" ht="12.75">
      <c r="H34" s="1404">
        <f aca="true" t="shared" si="1" ref="H34:H39">I34*3.785/(1000*60)</f>
        <v>0.0006308333333333334</v>
      </c>
      <c r="I34" s="433">
        <v>10</v>
      </c>
      <c r="J34" s="433">
        <f t="shared" si="0"/>
        <v>235.613</v>
      </c>
    </row>
    <row r="35" spans="8:10" ht="12.75">
      <c r="H35" s="1404">
        <f t="shared" si="1"/>
        <v>0.0031541666666666667</v>
      </c>
      <c r="I35" s="433">
        <v>50</v>
      </c>
      <c r="J35" s="433">
        <f t="shared" si="0"/>
        <v>234.065</v>
      </c>
    </row>
    <row r="36" spans="8:10" ht="12.75">
      <c r="H36" s="1404">
        <f t="shared" si="1"/>
        <v>0.006308333333333333</v>
      </c>
      <c r="I36" s="433">
        <v>100</v>
      </c>
      <c r="J36" s="433">
        <f t="shared" si="0"/>
        <v>232.13</v>
      </c>
    </row>
    <row r="37" spans="8:10" ht="12.75">
      <c r="H37" s="1404">
        <f t="shared" si="1"/>
        <v>0.06308333333333334</v>
      </c>
      <c r="I37" s="433">
        <v>1000</v>
      </c>
      <c r="J37" s="433">
        <f t="shared" si="0"/>
        <v>197.3</v>
      </c>
    </row>
    <row r="38" spans="8:10" ht="12.75">
      <c r="H38" s="1404">
        <f t="shared" si="1"/>
        <v>0.12616666666666668</v>
      </c>
      <c r="I38" s="433">
        <v>2000</v>
      </c>
      <c r="J38" s="433">
        <f t="shared" si="0"/>
        <v>158.60000000000002</v>
      </c>
    </row>
    <row r="39" spans="8:10" ht="12.75">
      <c r="H39" s="1404">
        <f t="shared" si="1"/>
        <v>0.3154166666666667</v>
      </c>
      <c r="I39" s="433">
        <v>5000</v>
      </c>
      <c r="J39" s="433">
        <f t="shared" si="0"/>
        <v>42.5</v>
      </c>
    </row>
  </sheetData>
  <mergeCells count="1">
    <mergeCell ref="D5:E5"/>
  </mergeCells>
  <printOptions/>
  <pageMargins left="0.75" right="0.75" top="1" bottom="1" header="0.5" footer="0.5"/>
  <pageSetup horizontalDpi="600" verticalDpi="600" orientation="portrait" r:id="rId2"/>
  <drawing r:id="rId1"/>
</worksheet>
</file>

<file path=xl/worksheets/sheet39.xml><?xml version="1.0" encoding="utf-8"?>
<worksheet xmlns="http://schemas.openxmlformats.org/spreadsheetml/2006/main" xmlns:r="http://schemas.openxmlformats.org/officeDocument/2006/relationships">
  <sheetPr codeName="Sheet34"/>
  <dimension ref="A1:D37"/>
  <sheetViews>
    <sheetView workbookViewId="0" topLeftCell="A1">
      <selection activeCell="B10" sqref="B10"/>
    </sheetView>
  </sheetViews>
  <sheetFormatPr defaultColWidth="9.140625" defaultRowHeight="12.75"/>
  <cols>
    <col min="1" max="1" width="29.421875" style="0" customWidth="1"/>
    <col min="2" max="2" width="13.421875" style="0" customWidth="1"/>
    <col min="3" max="3" width="13.57421875" style="0" customWidth="1"/>
    <col min="4" max="4" width="15.28125" style="0"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670" t="s">
        <v>1426</v>
      </c>
    </row>
    <row r="6" spans="1:4" ht="12.75">
      <c r="A6" s="1900" t="s">
        <v>1175</v>
      </c>
      <c r="B6" s="938"/>
      <c r="C6" s="938"/>
      <c r="D6" s="938"/>
    </row>
    <row r="7" spans="1:4" ht="12.75">
      <c r="A7" s="938"/>
      <c r="B7" s="938"/>
      <c r="C7" s="938"/>
      <c r="D7" s="938"/>
    </row>
    <row r="8" spans="1:4" ht="15.75">
      <c r="A8" s="205" t="s">
        <v>1396</v>
      </c>
      <c r="B8" s="747">
        <f>'{e}H20 Analysis'!J16*100*1000</f>
        <v>5.239520958083832</v>
      </c>
      <c r="C8" s="205"/>
      <c r="D8" s="747"/>
    </row>
    <row r="9" spans="1:4" ht="15.75">
      <c r="A9" s="205" t="s">
        <v>1397</v>
      </c>
      <c r="B9" s="747">
        <f>'{e}H20 Analysis'!J31/2*100*1000</f>
        <v>147.54098360655738</v>
      </c>
      <c r="C9" s="205"/>
      <c r="D9" s="746"/>
    </row>
    <row r="10" spans="1:4" ht="15.75">
      <c r="A10" s="205" t="s">
        <v>1398</v>
      </c>
      <c r="B10" s="207">
        <f>B9*EXP(-('{e}H20 Analysis'!C41-6.3022)/0.423)</f>
        <v>7.907920541486596</v>
      </c>
      <c r="C10" s="205" t="s">
        <v>1252</v>
      </c>
      <c r="D10" s="205"/>
    </row>
    <row r="11" spans="1:4" ht="14.25">
      <c r="A11" s="205" t="s">
        <v>1427</v>
      </c>
      <c r="B11" s="746">
        <f>10^-'{e}H20 Analysis'!C41</f>
        <v>2.8840315031265985E-08</v>
      </c>
      <c r="C11" s="205"/>
      <c r="D11" s="205"/>
    </row>
    <row r="12" spans="1:4" ht="12.75">
      <c r="A12" s="205" t="s">
        <v>1428</v>
      </c>
      <c r="B12" s="747">
        <f>'{e}H20 Analysis'!C43</f>
        <v>500</v>
      </c>
      <c r="C12" s="205"/>
      <c r="D12" s="205"/>
    </row>
    <row r="13" spans="1:4" ht="12.75">
      <c r="A13" s="205" t="s">
        <v>1460</v>
      </c>
      <c r="B13" s="747">
        <f>B12*'{c}Report'!D68/(1-'{c}Report'!D69)</f>
        <v>3316.666666666666</v>
      </c>
      <c r="C13" s="205"/>
      <c r="D13" s="205"/>
    </row>
    <row r="14" spans="1:4" ht="15.75">
      <c r="A14" s="205" t="s">
        <v>1429</v>
      </c>
      <c r="B14" s="747">
        <f>B8*(1-'{c}Report'!D69*(1-'{c}Report'!D68))/(1-'{c}Report'!D69)</f>
        <v>34.7816866267465</v>
      </c>
      <c r="C14" s="205"/>
      <c r="D14" s="205"/>
    </row>
    <row r="15" spans="1:4" ht="15.75">
      <c r="A15" s="205" t="s">
        <v>1430</v>
      </c>
      <c r="B15" s="747">
        <f>B9*(1-'{c}Report'!D69*(1-'{c}Report'!D68))/(1-'{c}Report'!D69)</f>
        <v>979.4262295081966</v>
      </c>
      <c r="C15" s="205"/>
      <c r="D15" s="205"/>
    </row>
    <row r="16" spans="1:4" ht="15.75">
      <c r="A16" s="205" t="s">
        <v>1431</v>
      </c>
      <c r="B16" s="207">
        <f>'{e}H20 Analysis'!C53</f>
        <v>0.007277354936395458</v>
      </c>
      <c r="C16" s="205"/>
      <c r="D16" s="205"/>
    </row>
    <row r="17" spans="1:4" ht="15.75">
      <c r="A17" s="205" t="s">
        <v>1432</v>
      </c>
      <c r="B17" s="207">
        <f>B16*((10^6-'{e}H20 Analysis'!C57)/(10^6-'{e}H20 Analysis'!C57*(1/(1-'{c}Report'!D69))))*(1/(1-'{c}Report'!D69))</f>
        <v>0.04865928106566289</v>
      </c>
      <c r="C17" s="746"/>
      <c r="D17" s="205"/>
    </row>
    <row r="18" spans="1:4" ht="12.75">
      <c r="A18" s="205" t="s">
        <v>1462</v>
      </c>
      <c r="B18" s="207">
        <f>-0.4343*LN(B8)+5</f>
        <v>4.280699278887485</v>
      </c>
      <c r="C18" s="746"/>
      <c r="D18" s="205"/>
    </row>
    <row r="19" spans="1:4" ht="12.75">
      <c r="A19" s="205" t="s">
        <v>1463</v>
      </c>
      <c r="B19" s="207">
        <f>-0.45*LN(B9)+4.8</f>
        <v>2.5526523035347295</v>
      </c>
      <c r="C19" s="746"/>
      <c r="D19" s="205"/>
    </row>
    <row r="20" spans="1:4" ht="15.75">
      <c r="A20" s="205" t="s">
        <v>1433</v>
      </c>
      <c r="B20" s="207">
        <f>B$18+B19+C20</f>
        <v>9.212203607866726</v>
      </c>
      <c r="C20" s="207">
        <f>'{jj}Stiff&amp;Davis'!B55</f>
        <v>2.3788520254445125</v>
      </c>
      <c r="D20" s="205" t="s">
        <v>1235</v>
      </c>
    </row>
    <row r="21" spans="1:4" ht="15.75">
      <c r="A21" s="205" t="s">
        <v>1167</v>
      </c>
      <c r="B21" s="207">
        <f>'{e}H20 Analysis'!C41-B20</f>
        <v>-1.6722036078667264</v>
      </c>
      <c r="C21" s="205"/>
      <c r="D21" s="205"/>
    </row>
    <row r="22" spans="1:4" ht="15.75">
      <c r="A22" s="205" t="s">
        <v>1152</v>
      </c>
      <c r="B22" s="207">
        <f>-0.4343*LN(B14)+5</f>
        <v>3.458629777872069</v>
      </c>
      <c r="C22" s="746"/>
      <c r="D22" s="205"/>
    </row>
    <row r="23" spans="1:4" ht="15.75">
      <c r="A23" s="205" t="s">
        <v>1153</v>
      </c>
      <c r="B23" s="207">
        <f>-0.45*LN(B15)+4.8</f>
        <v>1.7008648859502555</v>
      </c>
      <c r="C23" s="746"/>
      <c r="D23" s="205"/>
    </row>
    <row r="24" spans="1:4" ht="15.75">
      <c r="A24" s="205" t="s">
        <v>1154</v>
      </c>
      <c r="B24" s="207">
        <f>B$22+B23+C24</f>
        <v>7.663790800793103</v>
      </c>
      <c r="C24" s="207">
        <f>'{jj}Stiff&amp;Davis'!B61</f>
        <v>2.504296136970778</v>
      </c>
      <c r="D24" s="205" t="s">
        <v>1174</v>
      </c>
    </row>
    <row r="25" spans="1:4" ht="15.75">
      <c r="A25" s="205" t="s">
        <v>1482</v>
      </c>
      <c r="B25" s="207">
        <f>B15/B10</f>
        <v>123.85382786409181</v>
      </c>
      <c r="C25" s="205"/>
      <c r="D25" s="205"/>
    </row>
    <row r="26" spans="1:4" ht="15.75">
      <c r="A26" s="205" t="s">
        <v>1468</v>
      </c>
      <c r="B26" s="207">
        <f>0.423*LN(B25)+6.3022</f>
        <v>8.340680172529407</v>
      </c>
      <c r="C26" s="205"/>
      <c r="D26" s="205"/>
    </row>
    <row r="27" spans="1:4" ht="15.75">
      <c r="A27" s="205" t="s">
        <v>1469</v>
      </c>
      <c r="B27" s="207">
        <f>B26-B24</f>
        <v>0.676889371736304</v>
      </c>
      <c r="C27" s="205"/>
      <c r="D27" s="205"/>
    </row>
    <row r="28" spans="1:4" ht="12.75">
      <c r="A28" s="1902" t="s">
        <v>1168</v>
      </c>
      <c r="B28" s="207"/>
      <c r="C28" s="205"/>
      <c r="D28" s="205"/>
    </row>
    <row r="29" spans="1:4" ht="15.75">
      <c r="A29" s="205" t="s">
        <v>1451</v>
      </c>
      <c r="B29" s="207">
        <f>IF('{c}Report'!D142=0,'{c}Report'!D141,'{c}Report'!D142)</f>
        <v>7</v>
      </c>
      <c r="C29" s="205" t="s">
        <v>1456</v>
      </c>
      <c r="D29" s="207">
        <f>IF('{c}Report'!D145=0,'{c}Report'!D144,'{c}Report'!D145)</f>
        <v>73.40347443112309</v>
      </c>
    </row>
    <row r="30" spans="1:4" ht="15.75">
      <c r="A30" s="205" t="s">
        <v>1170</v>
      </c>
      <c r="B30" s="747">
        <f>B15-1.02*B29</f>
        <v>972.2862295081966</v>
      </c>
      <c r="C30" s="205"/>
      <c r="D30" s="747">
        <f>$B$15-1.37*D29</f>
        <v>878.8634695375579</v>
      </c>
    </row>
    <row r="31" spans="1:4" ht="15.75">
      <c r="A31" s="205" t="s">
        <v>1453</v>
      </c>
      <c r="B31" s="747">
        <f>$B$10+0.9*B29</f>
        <v>14.207920541486596</v>
      </c>
      <c r="C31" s="205"/>
      <c r="D31" s="747">
        <f>$B$10+1.21*D29</f>
        <v>96.72612460314552</v>
      </c>
    </row>
    <row r="32" spans="1:4" ht="15.75">
      <c r="A32" s="205" t="s">
        <v>1171</v>
      </c>
      <c r="B32" s="208">
        <f>B$30/B$31</f>
        <v>68.43269053125383</v>
      </c>
      <c r="C32" s="208"/>
      <c r="D32" s="208">
        <f>D$30/D$31</f>
        <v>9.086102365244326</v>
      </c>
    </row>
    <row r="33" spans="1:4" ht="15.75">
      <c r="A33" s="205" t="s">
        <v>1173</v>
      </c>
      <c r="B33" s="207">
        <f>0.423*LN(B32)+6.3022</f>
        <v>8.08973482165017</v>
      </c>
      <c r="C33" s="205"/>
      <c r="D33" s="207">
        <f>0.423*LN(D32)+6.3022</f>
        <v>7.235653572185053</v>
      </c>
    </row>
    <row r="34" spans="1:4" ht="12.75">
      <c r="A34" s="205" t="s">
        <v>1463</v>
      </c>
      <c r="B34" s="207">
        <f>-0.45*LN(B$30)+4.8</f>
        <v>1.7041573938387375</v>
      </c>
      <c r="C34" s="205"/>
      <c r="D34" s="207">
        <f>-0.45*LN(D$30)+4.8</f>
        <v>1.7496166976117147</v>
      </c>
    </row>
    <row r="35" spans="1:4" ht="15.75">
      <c r="A35" s="205" t="s">
        <v>1433</v>
      </c>
      <c r="B35" s="207">
        <f>$B22+B34+$C$24</f>
        <v>7.667083308681585</v>
      </c>
      <c r="C35" s="205"/>
      <c r="D35" s="207">
        <f>$B22+D34+$C$24</f>
        <v>7.712542612454562</v>
      </c>
    </row>
    <row r="36" spans="1:4" ht="15.75">
      <c r="A36" s="205" t="s">
        <v>1468</v>
      </c>
      <c r="B36" s="207">
        <f>0.423*LN(B32)+6.3022</f>
        <v>8.08973482165017</v>
      </c>
      <c r="C36" s="205"/>
      <c r="D36" s="207">
        <f>0.423*LN(D32)+6.3022</f>
        <v>7.235653572185053</v>
      </c>
    </row>
    <row r="37" spans="1:4" ht="15.75">
      <c r="A37" s="205" t="s">
        <v>1172</v>
      </c>
      <c r="B37" s="207">
        <f>B33-B$35</f>
        <v>0.42265151296858505</v>
      </c>
      <c r="C37" s="205"/>
      <c r="D37" s="207">
        <f>D33-D$35</f>
        <v>-0.4768890402695085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7">
    <pageSetUpPr fitToPage="1"/>
  </sheetPr>
  <dimension ref="A1:A1"/>
  <sheetViews>
    <sheetView zoomScale="75" zoomScaleNormal="75" workbookViewId="0" topLeftCell="G1">
      <selection activeCell="Y45" sqref="Y45"/>
    </sheetView>
  </sheetViews>
  <sheetFormatPr defaultColWidth="9.140625" defaultRowHeight="12.75"/>
  <sheetData>
    <row r="1" ht="15.75">
      <c r="A1" s="1409" t="s">
        <v>547</v>
      </c>
    </row>
  </sheetData>
  <printOptions/>
  <pageMargins left="0.5" right="0.25" top="1" bottom="1" header="0.5" footer="0.5"/>
  <pageSetup fitToHeight="1" fitToWidth="1" horizontalDpi="600" verticalDpi="600" orientation="landscape" paperSize="17" scale="60" r:id="rId2"/>
  <drawing r:id="rId1"/>
</worksheet>
</file>

<file path=xl/worksheets/sheet40.xml><?xml version="1.0" encoding="utf-8"?>
<worksheet xmlns="http://schemas.openxmlformats.org/spreadsheetml/2006/main" xmlns:r="http://schemas.openxmlformats.org/officeDocument/2006/relationships">
  <sheetPr codeName="Sheet35"/>
  <dimension ref="A1:R75"/>
  <sheetViews>
    <sheetView workbookViewId="0" topLeftCell="A13">
      <selection activeCell="D13" sqref="D13"/>
    </sheetView>
  </sheetViews>
  <sheetFormatPr defaultColWidth="9.140625" defaultRowHeight="12.75"/>
  <cols>
    <col min="1" max="1" width="33.7109375" style="0" customWidth="1"/>
    <col min="2" max="2" width="12.8515625" style="0" customWidth="1"/>
    <col min="3" max="3" width="15.28125" style="0" customWidth="1"/>
    <col min="4" max="4" width="9.421875" style="0" customWidth="1"/>
    <col min="5" max="5" width="13.00390625" style="0" customWidth="1"/>
    <col min="6" max="6" width="15.7109375" style="0" customWidth="1"/>
    <col min="8" max="8" width="14.7109375" style="0"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spans="1:9" ht="14.25">
      <c r="A4" t="s">
        <v>1236</v>
      </c>
      <c r="I4" t="s">
        <v>1371</v>
      </c>
    </row>
    <row r="5" ht="12.75">
      <c r="J5" t="s">
        <v>1286</v>
      </c>
    </row>
    <row r="6" spans="1:18" ht="12.75">
      <c r="A6" s="932" t="s">
        <v>1233</v>
      </c>
      <c r="B6" s="931"/>
      <c r="I6" s="2" t="s">
        <v>1285</v>
      </c>
      <c r="J6" s="2">
        <v>5</v>
      </c>
      <c r="K6" s="2">
        <v>10</v>
      </c>
      <c r="L6" s="2">
        <v>15</v>
      </c>
      <c r="M6" s="2">
        <v>20</v>
      </c>
      <c r="N6" s="2">
        <v>25</v>
      </c>
      <c r="O6" s="2">
        <v>30</v>
      </c>
      <c r="P6" s="2">
        <v>35</v>
      </c>
      <c r="Q6" s="2">
        <v>40</v>
      </c>
      <c r="R6" s="2">
        <v>45</v>
      </c>
    </row>
    <row r="7" spans="1:18" ht="14.25">
      <c r="A7" s="931" t="s">
        <v>1237</v>
      </c>
      <c r="B7" s="356">
        <f>ROUND('{hh}S&amp;DSI'!B8,1)</f>
        <v>5.2</v>
      </c>
      <c r="I7">
        <v>10</v>
      </c>
      <c r="J7">
        <v>2.51</v>
      </c>
      <c r="K7">
        <v>2.39</v>
      </c>
      <c r="L7">
        <v>2.28</v>
      </c>
      <c r="M7">
        <v>2.17</v>
      </c>
      <c r="N7">
        <v>2.07</v>
      </c>
      <c r="O7">
        <v>1.97</v>
      </c>
      <c r="P7">
        <v>1.86</v>
      </c>
      <c r="Q7">
        <v>1.77</v>
      </c>
      <c r="R7">
        <v>1.68</v>
      </c>
    </row>
    <row r="8" spans="1:18" ht="14.25">
      <c r="A8" s="931" t="s">
        <v>1238</v>
      </c>
      <c r="B8" s="356">
        <f>ROUND('{hh}S&amp;DSI'!B9,1)</f>
        <v>147.5</v>
      </c>
      <c r="I8">
        <v>20</v>
      </c>
      <c r="J8">
        <v>2.53</v>
      </c>
      <c r="K8">
        <v>2.41</v>
      </c>
      <c r="L8">
        <v>2.29</v>
      </c>
      <c r="M8">
        <v>2.18</v>
      </c>
      <c r="N8">
        <v>2.08</v>
      </c>
      <c r="O8">
        <v>1.98</v>
      </c>
      <c r="P8">
        <v>1.87</v>
      </c>
      <c r="Q8">
        <v>1.78</v>
      </c>
      <c r="R8">
        <v>1.69</v>
      </c>
    </row>
    <row r="9" spans="1:18" ht="14.25">
      <c r="A9" s="931" t="s">
        <v>1241</v>
      </c>
      <c r="B9" s="356">
        <f>'{e}H20 Analysis'!C43</f>
        <v>500</v>
      </c>
      <c r="I9">
        <v>30</v>
      </c>
      <c r="J9">
        <v>2.54</v>
      </c>
      <c r="K9">
        <v>2.42</v>
      </c>
      <c r="L9">
        <v>2.3</v>
      </c>
      <c r="M9">
        <v>2.19</v>
      </c>
      <c r="N9">
        <v>2.09</v>
      </c>
      <c r="O9">
        <v>1.99</v>
      </c>
      <c r="P9">
        <v>1.88</v>
      </c>
      <c r="Q9">
        <v>1.79</v>
      </c>
      <c r="R9">
        <v>1.71</v>
      </c>
    </row>
    <row r="10" spans="1:18" ht="14.25">
      <c r="A10" s="931" t="s">
        <v>1253</v>
      </c>
      <c r="B10" s="357">
        <f>'{e}H20 Analysis'!C41</f>
        <v>7.54</v>
      </c>
      <c r="I10">
        <v>50</v>
      </c>
      <c r="J10">
        <v>2.55</v>
      </c>
      <c r="K10">
        <v>2.43</v>
      </c>
      <c r="L10">
        <v>2.31</v>
      </c>
      <c r="M10">
        <v>2.2</v>
      </c>
      <c r="N10">
        <v>2.1</v>
      </c>
      <c r="O10">
        <v>2</v>
      </c>
      <c r="P10">
        <v>1.9</v>
      </c>
      <c r="Q10">
        <v>1.8</v>
      </c>
      <c r="R10">
        <v>1.72</v>
      </c>
    </row>
    <row r="11" spans="1:18" ht="12.75">
      <c r="A11" s="931" t="s">
        <v>1727</v>
      </c>
      <c r="B11" s="356">
        <f>'{e}H20 Analysis'!C46</f>
        <v>11.75</v>
      </c>
      <c r="I11">
        <v>100</v>
      </c>
      <c r="J11">
        <v>2.58</v>
      </c>
      <c r="K11">
        <v>2.45</v>
      </c>
      <c r="L11">
        <v>2.34</v>
      </c>
      <c r="M11">
        <v>2.22</v>
      </c>
      <c r="N11">
        <v>2.12</v>
      </c>
      <c r="O11">
        <v>2.02</v>
      </c>
      <c r="P11">
        <v>1.93</v>
      </c>
      <c r="Q11">
        <v>1.83</v>
      </c>
      <c r="R11">
        <v>1.74</v>
      </c>
    </row>
    <row r="12" spans="1:18" ht="12.75">
      <c r="A12" s="931" t="s">
        <v>1374</v>
      </c>
      <c r="B12" s="357">
        <f>'{e}H20 Analysis'!C41</f>
        <v>7.54</v>
      </c>
      <c r="I12">
        <v>200</v>
      </c>
      <c r="J12">
        <v>2.6</v>
      </c>
      <c r="K12">
        <v>2.48</v>
      </c>
      <c r="L12">
        <v>2.37</v>
      </c>
      <c r="M12">
        <v>2.26</v>
      </c>
      <c r="N12">
        <v>2.15</v>
      </c>
      <c r="O12">
        <v>2.05</v>
      </c>
      <c r="P12">
        <v>1.96</v>
      </c>
      <c r="Q12">
        <v>1.86</v>
      </c>
      <c r="R12">
        <v>1.77</v>
      </c>
    </row>
    <row r="13" spans="1:18" ht="14.25">
      <c r="A13" s="931" t="s">
        <v>1388</v>
      </c>
      <c r="B13" s="356">
        <f>'{e}H20 Analysis'!C33</f>
        <v>7.91</v>
      </c>
      <c r="I13">
        <v>300</v>
      </c>
      <c r="J13">
        <v>2.62</v>
      </c>
      <c r="K13">
        <v>2.5</v>
      </c>
      <c r="L13">
        <v>2.38</v>
      </c>
      <c r="M13">
        <v>2.27</v>
      </c>
      <c r="N13">
        <v>2.17</v>
      </c>
      <c r="O13">
        <v>2.07</v>
      </c>
      <c r="P13">
        <v>1.98</v>
      </c>
      <c r="Q13">
        <v>1.88</v>
      </c>
      <c r="R13">
        <v>1.79</v>
      </c>
    </row>
    <row r="14" spans="1:18" ht="14.25">
      <c r="A14" s="931" t="s">
        <v>1389</v>
      </c>
      <c r="B14" s="937">
        <f>ROUND(-0.4343*LN(B7)+5,2)</f>
        <v>4.28</v>
      </c>
      <c r="I14">
        <v>500</v>
      </c>
      <c r="J14">
        <v>2.65</v>
      </c>
      <c r="K14">
        <v>2.52</v>
      </c>
      <c r="L14">
        <v>2.41</v>
      </c>
      <c r="M14">
        <v>2.3</v>
      </c>
      <c r="N14">
        <v>2.2</v>
      </c>
      <c r="O14">
        <v>2.1</v>
      </c>
      <c r="P14">
        <v>2</v>
      </c>
      <c r="Q14">
        <v>1.9</v>
      </c>
      <c r="R14">
        <v>1.81</v>
      </c>
    </row>
    <row r="15" spans="1:18" ht="12.75">
      <c r="A15" s="931" t="s">
        <v>1399</v>
      </c>
      <c r="B15" s="937">
        <f>ROUND(-0.45*LN(B8)+4.8,2)</f>
        <v>2.55</v>
      </c>
      <c r="I15">
        <v>1000</v>
      </c>
      <c r="J15">
        <v>2.68</v>
      </c>
      <c r="K15">
        <v>2.56</v>
      </c>
      <c r="L15">
        <v>2.44</v>
      </c>
      <c r="M15">
        <v>2.33</v>
      </c>
      <c r="N15">
        <v>2.23</v>
      </c>
      <c r="O15">
        <v>2.13</v>
      </c>
      <c r="P15">
        <v>2.03</v>
      </c>
      <c r="Q15">
        <v>1.93</v>
      </c>
      <c r="R15">
        <v>1.85</v>
      </c>
    </row>
    <row r="16" spans="1:18" ht="12.75">
      <c r="A16" s="931" t="s">
        <v>1260</v>
      </c>
      <c r="B16" s="937">
        <f>ROUND(0.0372*LN(B9)-0.0207*$B$11+2.491,2)</f>
        <v>2.48</v>
      </c>
      <c r="I16">
        <v>2000</v>
      </c>
      <c r="J16">
        <v>2.71</v>
      </c>
      <c r="K16">
        <v>2.58</v>
      </c>
      <c r="L16">
        <v>2.47</v>
      </c>
      <c r="M16">
        <v>2.36</v>
      </c>
      <c r="N16">
        <v>2.26</v>
      </c>
      <c r="O16">
        <v>2.16</v>
      </c>
      <c r="P16">
        <v>2.05</v>
      </c>
      <c r="Q16">
        <v>1.96</v>
      </c>
      <c r="R16">
        <v>1.87</v>
      </c>
    </row>
    <row r="17" spans="1:18" ht="14.25">
      <c r="A17" s="931" t="s">
        <v>1284</v>
      </c>
      <c r="B17" s="937">
        <f>SUM(B14:B16)</f>
        <v>9.31</v>
      </c>
      <c r="I17">
        <v>5000</v>
      </c>
      <c r="J17">
        <v>2.73</v>
      </c>
      <c r="K17">
        <v>2.6</v>
      </c>
      <c r="L17">
        <v>2.49</v>
      </c>
      <c r="M17">
        <v>2.38</v>
      </c>
      <c r="N17">
        <v>2.28</v>
      </c>
      <c r="O17">
        <v>2.18</v>
      </c>
      <c r="P17">
        <v>2.08</v>
      </c>
      <c r="Q17">
        <v>1.98</v>
      </c>
      <c r="R17">
        <v>1.89</v>
      </c>
    </row>
    <row r="18" spans="1:10" ht="14.25">
      <c r="A18" s="931" t="s">
        <v>1380</v>
      </c>
      <c r="B18" s="937">
        <f>B10-B17</f>
        <v>-1.7700000000000005</v>
      </c>
      <c r="J18" t="s">
        <v>1299</v>
      </c>
    </row>
    <row r="19" spans="9:18" ht="12.75">
      <c r="I19">
        <v>10</v>
      </c>
      <c r="J19" s="338">
        <f aca="true" t="shared" si="0" ref="J19:J29">0.03742*LN($I19)-0.0209*J$6+2.499</f>
        <v>2.4806627341798375</v>
      </c>
      <c r="K19" s="339">
        <f aca="true" t="shared" si="1" ref="K19:R29">0.03742*LN($I19)-0.0209*K$6+2.499</f>
        <v>2.3761627341798373</v>
      </c>
      <c r="L19" s="339">
        <f t="shared" si="1"/>
        <v>2.2716627341798374</v>
      </c>
      <c r="M19" s="339">
        <f t="shared" si="1"/>
        <v>2.167162734179837</v>
      </c>
      <c r="N19" s="339">
        <f t="shared" si="1"/>
        <v>2.0626627341798374</v>
      </c>
      <c r="O19" s="339">
        <f t="shared" si="1"/>
        <v>1.9581627341798373</v>
      </c>
      <c r="P19" s="339">
        <f t="shared" si="1"/>
        <v>1.8536627341798373</v>
      </c>
      <c r="Q19" s="339">
        <f t="shared" si="1"/>
        <v>1.7491627341798375</v>
      </c>
      <c r="R19" s="340">
        <f t="shared" si="1"/>
        <v>1.6446627341798374</v>
      </c>
    </row>
    <row r="20" spans="2:18" ht="12.75">
      <c r="B20" s="296"/>
      <c r="I20">
        <v>20</v>
      </c>
      <c r="J20" s="341">
        <f t="shared" si="0"/>
        <v>2.5066003016763903</v>
      </c>
      <c r="K20" s="293">
        <f t="shared" si="1"/>
        <v>2.4021003016763904</v>
      </c>
      <c r="L20" s="293">
        <f t="shared" si="1"/>
        <v>2.2976003016763906</v>
      </c>
      <c r="M20" s="293">
        <f t="shared" si="1"/>
        <v>2.1931003016763904</v>
      </c>
      <c r="N20" s="293">
        <f t="shared" si="1"/>
        <v>2.0886003016763905</v>
      </c>
      <c r="O20" s="293">
        <f t="shared" si="1"/>
        <v>1.9841003016763905</v>
      </c>
      <c r="P20" s="293">
        <f t="shared" si="1"/>
        <v>1.8796003016763905</v>
      </c>
      <c r="Q20" s="293">
        <f t="shared" si="1"/>
        <v>1.7751003016763904</v>
      </c>
      <c r="R20" s="342">
        <f t="shared" si="1"/>
        <v>1.6706003016763906</v>
      </c>
    </row>
    <row r="21" spans="2:18" ht="12.75">
      <c r="B21" s="296"/>
      <c r="I21">
        <v>30</v>
      </c>
      <c r="J21" s="341">
        <f t="shared" si="0"/>
        <v>2.521772806021798</v>
      </c>
      <c r="K21" s="293">
        <f t="shared" si="1"/>
        <v>2.417272806021798</v>
      </c>
      <c r="L21" s="293">
        <f t="shared" si="1"/>
        <v>2.312772806021798</v>
      </c>
      <c r="M21" s="293">
        <f t="shared" si="1"/>
        <v>2.2082728060217978</v>
      </c>
      <c r="N21" s="293">
        <f t="shared" si="1"/>
        <v>2.103772806021798</v>
      </c>
      <c r="O21" s="293">
        <f t="shared" si="1"/>
        <v>1.999272806021798</v>
      </c>
      <c r="P21" s="293">
        <f t="shared" si="1"/>
        <v>1.894772806021798</v>
      </c>
      <c r="Q21" s="293">
        <f t="shared" si="1"/>
        <v>1.790272806021798</v>
      </c>
      <c r="R21" s="342">
        <f t="shared" si="1"/>
        <v>1.685772806021798</v>
      </c>
    </row>
    <row r="22" spans="1:18" ht="12.75">
      <c r="A22" s="932" t="s">
        <v>1239</v>
      </c>
      <c r="B22" s="931"/>
      <c r="I22">
        <v>50</v>
      </c>
      <c r="J22" s="341">
        <f t="shared" si="0"/>
        <v>2.5408879008631216</v>
      </c>
      <c r="K22" s="293">
        <f t="shared" si="1"/>
        <v>2.4363879008631213</v>
      </c>
      <c r="L22" s="293">
        <f t="shared" si="1"/>
        <v>2.3318879008631215</v>
      </c>
      <c r="M22" s="293">
        <f t="shared" si="1"/>
        <v>2.227387900863121</v>
      </c>
      <c r="N22" s="293">
        <f t="shared" si="1"/>
        <v>2.1228879008631214</v>
      </c>
      <c r="O22" s="293">
        <f t="shared" si="1"/>
        <v>2.0183879008631216</v>
      </c>
      <c r="P22" s="293">
        <f t="shared" si="1"/>
        <v>1.9138879008631213</v>
      </c>
      <c r="Q22" s="293">
        <f t="shared" si="1"/>
        <v>1.8093879008631215</v>
      </c>
      <c r="R22" s="342">
        <f t="shared" si="1"/>
        <v>1.7048879008631215</v>
      </c>
    </row>
    <row r="23" spans="1:18" ht="12.75">
      <c r="A23" s="931" t="s">
        <v>1534</v>
      </c>
      <c r="B23" s="938">
        <f>'{c}Report'!D69</f>
        <v>0.85</v>
      </c>
      <c r="I23">
        <v>100</v>
      </c>
      <c r="J23" s="341">
        <f t="shared" si="0"/>
        <v>2.5668254683596747</v>
      </c>
      <c r="K23" s="293">
        <f t="shared" si="1"/>
        <v>2.4623254683596745</v>
      </c>
      <c r="L23" s="293">
        <f t="shared" si="1"/>
        <v>2.3578254683596747</v>
      </c>
      <c r="M23" s="293">
        <f t="shared" si="1"/>
        <v>2.2533254683596744</v>
      </c>
      <c r="N23" s="293">
        <f t="shared" si="1"/>
        <v>2.1488254683596746</v>
      </c>
      <c r="O23" s="293">
        <f t="shared" si="1"/>
        <v>2.0443254683596743</v>
      </c>
      <c r="P23" s="293">
        <f t="shared" si="1"/>
        <v>1.9398254683596745</v>
      </c>
      <c r="Q23" s="293">
        <f t="shared" si="1"/>
        <v>1.8353254683596747</v>
      </c>
      <c r="R23" s="342">
        <f t="shared" si="1"/>
        <v>1.7308254683596747</v>
      </c>
    </row>
    <row r="24" spans="1:18" ht="12.75">
      <c r="A24" s="931" t="s">
        <v>1240</v>
      </c>
      <c r="B24" s="2408">
        <f>'{c}Report'!D68</f>
        <v>0.995</v>
      </c>
      <c r="I24">
        <v>200</v>
      </c>
      <c r="J24" s="341">
        <f t="shared" si="0"/>
        <v>2.5927630358562275</v>
      </c>
      <c r="K24" s="293">
        <f t="shared" si="1"/>
        <v>2.4882630358562277</v>
      </c>
      <c r="L24" s="293">
        <f t="shared" si="1"/>
        <v>2.383763035856228</v>
      </c>
      <c r="M24" s="293">
        <f t="shared" si="1"/>
        <v>2.2792630358562276</v>
      </c>
      <c r="N24" s="293">
        <f t="shared" si="1"/>
        <v>2.1747630358562278</v>
      </c>
      <c r="O24" s="293">
        <f t="shared" si="1"/>
        <v>2.0702630358562275</v>
      </c>
      <c r="P24" s="293">
        <f t="shared" si="1"/>
        <v>1.9657630358562277</v>
      </c>
      <c r="Q24" s="293">
        <f t="shared" si="1"/>
        <v>1.8612630358562277</v>
      </c>
      <c r="R24" s="342">
        <f t="shared" si="1"/>
        <v>1.7567630358562276</v>
      </c>
    </row>
    <row r="25" spans="9:18" ht="12.75">
      <c r="I25">
        <v>300</v>
      </c>
      <c r="J25" s="341">
        <f t="shared" si="0"/>
        <v>2.6079355402016353</v>
      </c>
      <c r="K25" s="293">
        <f t="shared" si="1"/>
        <v>2.503435540201635</v>
      </c>
      <c r="L25" s="293">
        <f t="shared" si="1"/>
        <v>2.3989355402016352</v>
      </c>
      <c r="M25" s="293">
        <f t="shared" si="1"/>
        <v>2.294435540201635</v>
      </c>
      <c r="N25" s="293">
        <f t="shared" si="1"/>
        <v>2.189935540201635</v>
      </c>
      <c r="O25" s="293">
        <f t="shared" si="1"/>
        <v>2.085435540201635</v>
      </c>
      <c r="P25" s="293">
        <f t="shared" si="1"/>
        <v>1.980935540201635</v>
      </c>
      <c r="Q25" s="293">
        <f t="shared" si="1"/>
        <v>1.8764355402016353</v>
      </c>
      <c r="R25" s="342">
        <f t="shared" si="1"/>
        <v>1.7719355402016352</v>
      </c>
    </row>
    <row r="26" spans="9:18" ht="12.75">
      <c r="I26">
        <v>500</v>
      </c>
      <c r="J26" s="341">
        <f t="shared" si="0"/>
        <v>2.6270506350429583</v>
      </c>
      <c r="K26" s="293">
        <f t="shared" si="1"/>
        <v>2.5225506350429585</v>
      </c>
      <c r="L26" s="293">
        <f t="shared" si="1"/>
        <v>2.4180506350429587</v>
      </c>
      <c r="M26" s="293">
        <f t="shared" si="1"/>
        <v>2.3135506350429584</v>
      </c>
      <c r="N26" s="293">
        <f t="shared" si="1"/>
        <v>2.2090506350429586</v>
      </c>
      <c r="O26" s="293">
        <f t="shared" si="1"/>
        <v>2.1045506350429584</v>
      </c>
      <c r="P26" s="293">
        <f t="shared" si="1"/>
        <v>2.0000506350429585</v>
      </c>
      <c r="Q26" s="293">
        <f t="shared" si="1"/>
        <v>1.8955506350429585</v>
      </c>
      <c r="R26" s="342">
        <f t="shared" si="1"/>
        <v>1.7910506350429587</v>
      </c>
    </row>
    <row r="27" spans="1:18" ht="12.75">
      <c r="A27" s="932" t="s">
        <v>1242</v>
      </c>
      <c r="B27" s="931"/>
      <c r="D27" s="932" t="s">
        <v>1246</v>
      </c>
      <c r="E27" s="931"/>
      <c r="I27">
        <v>1000</v>
      </c>
      <c r="J27" s="341">
        <f t="shared" si="0"/>
        <v>2.6529882025395115</v>
      </c>
      <c r="K27" s="293">
        <f t="shared" si="1"/>
        <v>2.5484882025395117</v>
      </c>
      <c r="L27" s="293">
        <f t="shared" si="1"/>
        <v>2.4439882025395114</v>
      </c>
      <c r="M27" s="293">
        <f t="shared" si="1"/>
        <v>2.3394882025395116</v>
      </c>
      <c r="N27" s="293">
        <f t="shared" si="1"/>
        <v>2.234988202539512</v>
      </c>
      <c r="O27" s="293">
        <f t="shared" si="1"/>
        <v>2.1304882025395115</v>
      </c>
      <c r="P27" s="293">
        <f t="shared" si="1"/>
        <v>2.0259882025395117</v>
      </c>
      <c r="Q27" s="293">
        <f t="shared" si="1"/>
        <v>1.9214882025395117</v>
      </c>
      <c r="R27" s="342">
        <f t="shared" si="1"/>
        <v>1.8169882025395117</v>
      </c>
    </row>
    <row r="28" spans="1:18" ht="14.25">
      <c r="A28" s="931" t="s">
        <v>1243</v>
      </c>
      <c r="B28" s="936">
        <f>B7*((1-$B$23*(1-$B$24))/(1-$B$23))</f>
        <v>34.51933333333333</v>
      </c>
      <c r="D28" s="931" t="s">
        <v>1247</v>
      </c>
      <c r="E28" s="936">
        <f>B7*(1-$B$24)/$B$23</f>
        <v>0.030588235294117676</v>
      </c>
      <c r="I28">
        <v>2000</v>
      </c>
      <c r="J28" s="341">
        <f t="shared" si="0"/>
        <v>2.6789257700360647</v>
      </c>
      <c r="K28" s="293">
        <f t="shared" si="1"/>
        <v>2.574425770036065</v>
      </c>
      <c r="L28" s="293">
        <f t="shared" si="1"/>
        <v>2.469925770036065</v>
      </c>
      <c r="M28" s="293">
        <f t="shared" si="1"/>
        <v>2.365425770036065</v>
      </c>
      <c r="N28" s="293">
        <f t="shared" si="1"/>
        <v>2.260925770036065</v>
      </c>
      <c r="O28" s="293">
        <f t="shared" si="1"/>
        <v>2.1564257700360647</v>
      </c>
      <c r="P28" s="293">
        <f t="shared" si="1"/>
        <v>2.051925770036065</v>
      </c>
      <c r="Q28" s="293">
        <f t="shared" si="1"/>
        <v>1.9474257700360649</v>
      </c>
      <c r="R28" s="342">
        <f t="shared" si="1"/>
        <v>1.8429257700360648</v>
      </c>
    </row>
    <row r="29" spans="1:18" ht="14.25">
      <c r="A29" s="931" t="s">
        <v>1244</v>
      </c>
      <c r="B29" s="936">
        <f>B8*(1-$B$23*(1-$B$24))/(1-$B$23)</f>
        <v>979.1541666666666</v>
      </c>
      <c r="D29" s="931" t="s">
        <v>1248</v>
      </c>
      <c r="E29" s="936">
        <f>B8*(1-$B$24)/$B$23</f>
        <v>0.8676470588235302</v>
      </c>
      <c r="I29">
        <v>5000</v>
      </c>
      <c r="J29" s="343">
        <f t="shared" si="0"/>
        <v>2.713213369222796</v>
      </c>
      <c r="K29" s="344">
        <f t="shared" si="1"/>
        <v>2.6087133692227957</v>
      </c>
      <c r="L29" s="344">
        <f t="shared" si="1"/>
        <v>2.504213369222796</v>
      </c>
      <c r="M29" s="344">
        <f t="shared" si="1"/>
        <v>2.3997133692227957</v>
      </c>
      <c r="N29" s="344">
        <f t="shared" si="1"/>
        <v>2.295213369222796</v>
      </c>
      <c r="O29" s="344">
        <f t="shared" si="1"/>
        <v>2.1907133692227956</v>
      </c>
      <c r="P29" s="344">
        <f t="shared" si="1"/>
        <v>2.0862133692227958</v>
      </c>
      <c r="Q29" s="344">
        <f t="shared" si="1"/>
        <v>1.9817133692227957</v>
      </c>
      <c r="R29" s="345">
        <f t="shared" si="1"/>
        <v>1.877213369222796</v>
      </c>
    </row>
    <row r="30" spans="1:18" ht="14.25">
      <c r="A30" s="931" t="s">
        <v>1245</v>
      </c>
      <c r="B30" s="936">
        <f>B9*(1-$B$23*(1-$B$24))/(1-$B$23)</f>
        <v>3319.166666666666</v>
      </c>
      <c r="D30" s="931" t="s">
        <v>1249</v>
      </c>
      <c r="E30" s="936">
        <f>B9*(1-$B$24)/$B$23</f>
        <v>2.941176470588238</v>
      </c>
      <c r="J30" s="296"/>
      <c r="K30" s="296"/>
      <c r="L30" s="296"/>
      <c r="M30" s="296"/>
      <c r="N30" s="296"/>
      <c r="O30" s="296"/>
      <c r="P30" s="296"/>
      <c r="Q30" s="296"/>
      <c r="R30" s="296"/>
    </row>
    <row r="31" spans="1:10" ht="14.25">
      <c r="A31" s="931" t="s">
        <v>1250</v>
      </c>
      <c r="B31" s="935">
        <f>B13</f>
        <v>7.91</v>
      </c>
      <c r="D31" s="931" t="s">
        <v>1251</v>
      </c>
      <c r="E31" s="935">
        <f>B13</f>
        <v>7.91</v>
      </c>
      <c r="J31" t="s">
        <v>1294</v>
      </c>
    </row>
    <row r="32" spans="1:17" ht="15" customHeight="1">
      <c r="A32" s="931" t="s">
        <v>1234</v>
      </c>
      <c r="B32" s="935">
        <f>0.423*LN(B29/B31)+6.3022</f>
        <v>8.340451439191536</v>
      </c>
      <c r="D32" s="931" t="s">
        <v>1253</v>
      </c>
      <c r="E32" s="935">
        <f>0.423*LN(E29/E31)+6.3022</f>
        <v>5.367328527789872</v>
      </c>
      <c r="J32" t="s">
        <v>1158</v>
      </c>
      <c r="K32" s="328"/>
      <c r="L32" s="328"/>
      <c r="M32" t="s">
        <v>1157</v>
      </c>
      <c r="N32" s="337"/>
      <c r="O32" s="2576"/>
      <c r="P32" s="2576"/>
      <c r="Q32" s="2576"/>
    </row>
    <row r="33" spans="1:13" ht="14.25">
      <c r="A33" s="931" t="s">
        <v>1254</v>
      </c>
      <c r="B33" s="935">
        <f>ROUND(-0.4343*LN(B28)+5,2)</f>
        <v>3.46</v>
      </c>
      <c r="D33" s="931" t="s">
        <v>1256</v>
      </c>
      <c r="E33" s="935">
        <f>ROUND(-0.4343*LN(E28)+5,2)</f>
        <v>6.51</v>
      </c>
      <c r="J33" t="s">
        <v>1161</v>
      </c>
      <c r="M33" t="s">
        <v>1287</v>
      </c>
    </row>
    <row r="34" spans="1:13" ht="14.25">
      <c r="A34" s="931" t="s">
        <v>1255</v>
      </c>
      <c r="B34" s="935">
        <f>ROUND(-0.45*LN(B29)+4.8,2)</f>
        <v>1.7</v>
      </c>
      <c r="D34" s="931" t="s">
        <v>1257</v>
      </c>
      <c r="E34" s="935">
        <f>ROUND(-0.45*LN(E29)+4.8,2)</f>
        <v>4.86</v>
      </c>
      <c r="J34" t="s">
        <v>1160</v>
      </c>
      <c r="M34" t="s">
        <v>1288</v>
      </c>
    </row>
    <row r="35" spans="1:13" ht="12.75">
      <c r="A35" s="931" t="s">
        <v>1260</v>
      </c>
      <c r="B35" s="935">
        <f>ROUND(0.03742*LN(B30)-0.0201*$B$11+2.497,2)</f>
        <v>2.56</v>
      </c>
      <c r="D35" s="931" t="s">
        <v>1260</v>
      </c>
      <c r="E35" s="935">
        <f>ROUND(0.03742*LN(E30)-0.0209*$B$11+2.5,2)</f>
        <v>2.29</v>
      </c>
      <c r="J35" t="s">
        <v>1159</v>
      </c>
      <c r="M35" t="s">
        <v>1289</v>
      </c>
    </row>
    <row r="36" spans="1:13" ht="14.25">
      <c r="A36" s="931" t="s">
        <v>1284</v>
      </c>
      <c r="B36" s="935">
        <f>SUM(B33:B35)</f>
        <v>7.720000000000001</v>
      </c>
      <c r="D36" s="931" t="s">
        <v>1284</v>
      </c>
      <c r="E36" s="935">
        <f>SUM(E33:E35)</f>
        <v>13.66</v>
      </c>
      <c r="J36" t="s">
        <v>1162</v>
      </c>
      <c r="M36" t="s">
        <v>1289</v>
      </c>
    </row>
    <row r="37" spans="1:13" ht="14.25">
      <c r="A37" s="931" t="s">
        <v>1372</v>
      </c>
      <c r="B37" s="935">
        <f>B32-B36</f>
        <v>0.6204514391915357</v>
      </c>
      <c r="D37" s="931" t="s">
        <v>1373</v>
      </c>
      <c r="E37" s="935">
        <f>E32-E36</f>
        <v>-8.292671472210127</v>
      </c>
      <c r="J37" t="s">
        <v>1163</v>
      </c>
      <c r="M37" t="s">
        <v>1290</v>
      </c>
    </row>
    <row r="38" spans="2:13" ht="12.75">
      <c r="B38" s="296"/>
      <c r="F38" s="296"/>
      <c r="J38" t="s">
        <v>1164</v>
      </c>
      <c r="M38" t="s">
        <v>1291</v>
      </c>
    </row>
    <row r="39" spans="2:13" ht="12.75">
      <c r="B39" s="296"/>
      <c r="F39" s="296"/>
      <c r="J39" t="s">
        <v>1165</v>
      </c>
      <c r="M39" t="s">
        <v>1292</v>
      </c>
    </row>
    <row r="40" spans="2:13" ht="12.75">
      <c r="B40" s="296"/>
      <c r="F40" s="296"/>
      <c r="J40" t="s">
        <v>1166</v>
      </c>
      <c r="M40" t="s">
        <v>1293</v>
      </c>
    </row>
    <row r="42" spans="1:13" ht="12.75">
      <c r="A42" s="931" t="s">
        <v>1612</v>
      </c>
      <c r="B42" s="931" t="s">
        <v>1258</v>
      </c>
      <c r="C42" s="931" t="s">
        <v>1259</v>
      </c>
      <c r="J42" s="931" t="s">
        <v>1435</v>
      </c>
      <c r="K42" s="931" t="s">
        <v>1295</v>
      </c>
      <c r="L42" s="931" t="s">
        <v>1296</v>
      </c>
      <c r="M42" t="s">
        <v>1297</v>
      </c>
    </row>
    <row r="43" spans="1:12" ht="12.75">
      <c r="A43" s="205" t="s">
        <v>1421</v>
      </c>
      <c r="B43" s="208">
        <f>IF('{c}Report'!D142&gt;0,'{c}Report'!D142,'{c}Report'!D141)</f>
        <v>7</v>
      </c>
      <c r="C43" s="208">
        <f>IF('{c}Report'!D145&gt;0,'{c}Report'!D145,'{c}Report'!D144)</f>
        <v>73.40347443112309</v>
      </c>
      <c r="D43" s="1422" t="s">
        <v>1642</v>
      </c>
      <c r="E43" s="360"/>
      <c r="J43" s="931">
        <v>45</v>
      </c>
      <c r="K43" s="931">
        <v>0.0368</v>
      </c>
      <c r="L43" s="931">
        <v>1.5825</v>
      </c>
    </row>
    <row r="44" spans="1:12" ht="15.75">
      <c r="A44" s="205" t="s">
        <v>1452</v>
      </c>
      <c r="B44" s="208">
        <f>B8-1.016*B43</f>
        <v>140.388</v>
      </c>
      <c r="C44" s="207">
        <f>$B$8-1.37*C43</f>
        <v>46.93724002936136</v>
      </c>
      <c r="D44" s="3"/>
      <c r="E44" s="361"/>
      <c r="J44" s="931">
        <v>40</v>
      </c>
      <c r="K44" s="931">
        <v>0.0371</v>
      </c>
      <c r="L44" s="931">
        <v>1.6678</v>
      </c>
    </row>
    <row r="45" spans="1:12" ht="15.75">
      <c r="A45" s="205" t="s">
        <v>1453</v>
      </c>
      <c r="B45" s="208">
        <f>$B$13+(0.9*B43)</f>
        <v>14.21</v>
      </c>
      <c r="C45" s="207">
        <f>$B$13+1.21*C43</f>
        <v>96.72820406165893</v>
      </c>
      <c r="J45" s="931">
        <v>35</v>
      </c>
      <c r="K45" s="931">
        <v>0.0383</v>
      </c>
      <c r="L45" s="931">
        <v>1.7581</v>
      </c>
    </row>
    <row r="46" spans="1:12" ht="15.75">
      <c r="A46" s="205" t="s">
        <v>1461</v>
      </c>
      <c r="B46" s="207">
        <f>B44/B45</f>
        <v>9.879521463757916</v>
      </c>
      <c r="C46" s="207">
        <f>C44/C45</f>
        <v>0.4852487491594638</v>
      </c>
      <c r="J46" s="931">
        <v>30</v>
      </c>
      <c r="K46" s="931">
        <v>0.0372</v>
      </c>
      <c r="L46" s="931">
        <v>1.865</v>
      </c>
    </row>
    <row r="47" spans="1:12" ht="15.75">
      <c r="A47" s="205" t="s">
        <v>1455</v>
      </c>
      <c r="B47" s="208">
        <f>0.423*LN(B46)+6.3022</f>
        <v>7.271066304039905</v>
      </c>
      <c r="C47" s="207">
        <f>0.423*LN(C46)+6.3022</f>
        <v>5.996331392538707</v>
      </c>
      <c r="J47" s="931">
        <v>25</v>
      </c>
      <c r="K47" s="931">
        <v>0.0372</v>
      </c>
      <c r="L47" s="931">
        <v>1.965</v>
      </c>
    </row>
    <row r="48" spans="1:12" ht="12.75">
      <c r="A48" s="205" t="s">
        <v>1463</v>
      </c>
      <c r="B48" s="207">
        <f>-0.45*LN(B44)+4.8</f>
        <v>2.5750154919659405</v>
      </c>
      <c r="C48" s="207">
        <f>-0.45*LN(C53)+4.8</f>
        <v>2.2162474565314065</v>
      </c>
      <c r="J48" s="931">
        <v>20</v>
      </c>
      <c r="K48" s="931">
        <v>0.0372</v>
      </c>
      <c r="L48" s="931">
        <v>2.0358</v>
      </c>
    </row>
    <row r="49" spans="1:12" ht="12.75">
      <c r="A49" s="205" t="s">
        <v>1462</v>
      </c>
      <c r="B49" s="935">
        <f>$B$14</f>
        <v>4.28</v>
      </c>
      <c r="C49" s="935">
        <f>$B$33</f>
        <v>3.46</v>
      </c>
      <c r="E49" s="210"/>
      <c r="F49" s="209"/>
      <c r="G49" s="209"/>
      <c r="J49" s="931">
        <v>15</v>
      </c>
      <c r="K49" s="931">
        <v>0.037</v>
      </c>
      <c r="L49" s="931">
        <v>2.1775</v>
      </c>
    </row>
    <row r="50" spans="1:12" ht="15.75">
      <c r="A50" s="205" t="s">
        <v>1384</v>
      </c>
      <c r="B50" s="935">
        <f>0.0372*LN($B$9)-0.0209*$B$11+2.499</f>
        <v>2.4846084212613055</v>
      </c>
      <c r="C50" s="935">
        <f>0.0372*LN($B$30)-0.0209*$B$11+2.499</f>
        <v>2.5550228477816224</v>
      </c>
      <c r="J50" s="931">
        <v>10</v>
      </c>
      <c r="K50" s="931">
        <v>0.0362</v>
      </c>
      <c r="L50" s="931">
        <v>2.2963</v>
      </c>
    </row>
    <row r="51" spans="1:12" ht="15.75">
      <c r="A51" s="205" t="s">
        <v>1433</v>
      </c>
      <c r="B51" s="207">
        <f>B48+B49+B50</f>
        <v>9.339623913227246</v>
      </c>
      <c r="C51" s="207">
        <f>C48+C49+C50</f>
        <v>8.231270304313028</v>
      </c>
      <c r="E51" s="296"/>
      <c r="J51" s="931">
        <v>5</v>
      </c>
      <c r="K51" s="931">
        <v>0.0377</v>
      </c>
      <c r="L51" s="931">
        <v>2.412</v>
      </c>
    </row>
    <row r="52" spans="1:11" ht="15.75">
      <c r="A52" s="205" t="s">
        <v>1386</v>
      </c>
      <c r="B52" s="207">
        <f>B47-B51</f>
        <v>-2.0685576091873417</v>
      </c>
      <c r="C52" s="207">
        <f>C47-$B$17</f>
        <v>-3.3136686074612935</v>
      </c>
      <c r="D52" s="2"/>
      <c r="E52" s="2"/>
      <c r="J52" t="s">
        <v>403</v>
      </c>
      <c r="K52">
        <f>AVERAGE(K43:K51)</f>
        <v>0.03718888888888889</v>
      </c>
    </row>
    <row r="53" spans="1:13" ht="15.75">
      <c r="A53" s="205" t="s">
        <v>1454</v>
      </c>
      <c r="B53" s="207">
        <f>B44*(1-'{c}Report'!$D$69*(1-'{c}Report'!$D$68))/(1-'{c}Report'!$D$69)</f>
        <v>931.94234</v>
      </c>
      <c r="C53" s="207">
        <f>C44*(1-'{c}Report'!$D$69*(1-'{c}Report'!$D$68))/(1-'{c}Report'!$D$69)</f>
        <v>311.58504506157715</v>
      </c>
      <c r="J53" t="s">
        <v>1220</v>
      </c>
      <c r="M53" t="s">
        <v>1298</v>
      </c>
    </row>
    <row r="54" spans="1:3" ht="15.75">
      <c r="A54" s="205" t="s">
        <v>1482</v>
      </c>
      <c r="B54" s="207">
        <f>B53/B45</f>
        <v>65.5835566502463</v>
      </c>
      <c r="C54" s="207">
        <f>C53/C45</f>
        <v>3.2212429465035735</v>
      </c>
    </row>
    <row r="55" spans="1:3" ht="15.75">
      <c r="A55" s="205" t="s">
        <v>1468</v>
      </c>
      <c r="B55" s="207">
        <f>0.42*LN(B54)+6.3</f>
        <v>8.05699650155818</v>
      </c>
      <c r="C55" s="207">
        <f>0.423*LN(C54)+6.3022</f>
        <v>6.797011565068112</v>
      </c>
    </row>
    <row r="56" spans="1:15" ht="15.75">
      <c r="A56" s="205" t="s">
        <v>1153</v>
      </c>
      <c r="B56" s="207">
        <f>-0.45*LN(B53)+4.8</f>
        <v>1.7232280743814665</v>
      </c>
      <c r="C56" s="207">
        <f>-0.45*LN(C53)+4.8</f>
        <v>2.2162474565314065</v>
      </c>
      <c r="O56" t="s">
        <v>1221</v>
      </c>
    </row>
    <row r="57" spans="1:3" ht="15.75">
      <c r="A57" s="205" t="s">
        <v>1227</v>
      </c>
      <c r="B57" s="207">
        <f>0.0372*LN(B30)-0.0209*$B$11+2.499</f>
        <v>2.5550228477816224</v>
      </c>
      <c r="C57" s="207">
        <f>0.0372*LN(B30)-0.0209*$B$11+2.499</f>
        <v>2.5550228477816224</v>
      </c>
    </row>
    <row r="58" spans="1:3" ht="15.75">
      <c r="A58" s="205" t="s">
        <v>1228</v>
      </c>
      <c r="B58" s="207">
        <f>B56+B33+B57</f>
        <v>7.738250922163088</v>
      </c>
      <c r="C58" s="207">
        <f>C56+C33+C57</f>
        <v>4.771270304313029</v>
      </c>
    </row>
    <row r="59" spans="1:3" ht="15.75">
      <c r="A59" s="205" t="s">
        <v>1385</v>
      </c>
      <c r="B59" s="207">
        <f>B55-B58</f>
        <v>0.31874557939509174</v>
      </c>
      <c r="C59" s="207">
        <f>C55-C51</f>
        <v>-1.4342587392449166</v>
      </c>
    </row>
    <row r="60" ht="12.75">
      <c r="G60" t="s">
        <v>1226</v>
      </c>
    </row>
    <row r="61" spans="1:7" ht="12.75">
      <c r="A61" s="1421"/>
      <c r="B61" s="2"/>
      <c r="C61" s="2"/>
      <c r="D61" s="2"/>
      <c r="E61" s="2"/>
      <c r="F61" s="2"/>
      <c r="G61" s="359"/>
    </row>
    <row r="62" spans="1:8" ht="12.75">
      <c r="A62" s="938"/>
      <c r="B62" s="931" t="s">
        <v>1143</v>
      </c>
      <c r="C62" s="931" t="s">
        <v>493</v>
      </c>
      <c r="D62" s="931" t="s">
        <v>445</v>
      </c>
      <c r="E62" s="931" t="s">
        <v>1698</v>
      </c>
      <c r="F62" s="931" t="s">
        <v>1147</v>
      </c>
      <c r="G62" s="939" t="s">
        <v>1223</v>
      </c>
      <c r="H62" s="939" t="s">
        <v>1218</v>
      </c>
    </row>
    <row r="63" spans="1:11" ht="14.25">
      <c r="A63" s="931" t="s">
        <v>1222</v>
      </c>
      <c r="B63" s="931" t="s">
        <v>1144</v>
      </c>
      <c r="C63" s="931" t="s">
        <v>1145</v>
      </c>
      <c r="D63" s="931" t="s">
        <v>1146</v>
      </c>
      <c r="E63" s="931" t="s">
        <v>1205</v>
      </c>
      <c r="F63" s="931" t="s">
        <v>1148</v>
      </c>
      <c r="G63" s="939" t="s">
        <v>1224</v>
      </c>
      <c r="H63" s="939"/>
      <c r="K63" t="s">
        <v>1150</v>
      </c>
    </row>
    <row r="64" spans="1:9" ht="12.75">
      <c r="A64" s="355" t="s">
        <v>1400</v>
      </c>
      <c r="B64" s="355">
        <v>2.1</v>
      </c>
      <c r="C64" s="355">
        <v>100</v>
      </c>
      <c r="D64" s="355">
        <v>0.015105</v>
      </c>
      <c r="E64" s="355">
        <v>0.0666</v>
      </c>
      <c r="F64" s="355">
        <v>0</v>
      </c>
      <c r="G64" s="364">
        <v>1</v>
      </c>
      <c r="H64" s="939"/>
      <c r="I64" s="1422" t="s">
        <v>1642</v>
      </c>
    </row>
    <row r="65" spans="1:11" ht="15.75">
      <c r="A65" s="205" t="s">
        <v>1422</v>
      </c>
      <c r="B65" s="936">
        <f>$E$29+1.23*B64</f>
        <v>3.4506470588235305</v>
      </c>
      <c r="C65" s="936">
        <f>$E$29+0.94*C64</f>
        <v>94.86764705882354</v>
      </c>
      <c r="D65" s="936">
        <f>$E$29+1.61*D64</f>
        <v>0.8919661088235302</v>
      </c>
      <c r="E65" s="936">
        <f>$E$29+0.36*E64*100/120</f>
        <v>0.8876270588235302</v>
      </c>
      <c r="F65" s="936">
        <f>$E$29+1.26*F64</f>
        <v>0.8676470588235302</v>
      </c>
      <c r="G65" s="940">
        <f>$E$29+0.88*G64</f>
        <v>1.7476470588235302</v>
      </c>
      <c r="H65" s="940">
        <f>$E$29+0.94*$C64+1.26*F64</f>
        <v>94.86764705882354</v>
      </c>
      <c r="K65" s="931">
        <f>2*61/100</f>
        <v>1.22</v>
      </c>
    </row>
    <row r="66" spans="1:11" ht="15.75">
      <c r="A66" s="205" t="s">
        <v>1425</v>
      </c>
      <c r="B66" s="936">
        <f>$E$28</f>
        <v>0.030588235294117676</v>
      </c>
      <c r="C66" s="936">
        <f>$E$28</f>
        <v>0.030588235294117676</v>
      </c>
      <c r="D66" s="936">
        <f>$E$28+1.61*D64+0.36*E64*2.5</f>
        <v>0.11484728529411767</v>
      </c>
      <c r="E66" s="936">
        <f>$E$28+0.36*E64*2.5</f>
        <v>0.09052823529411767</v>
      </c>
      <c r="F66" s="936">
        <f>$E$28+1.26*F64</f>
        <v>0.030588235294117676</v>
      </c>
      <c r="G66" s="940">
        <f>$E$28</f>
        <v>0.030588235294117676</v>
      </c>
      <c r="H66" s="940">
        <f>$E$28+1.26*F64</f>
        <v>0.030588235294117676</v>
      </c>
      <c r="K66" s="931">
        <f>2*40/100</f>
        <v>0.8</v>
      </c>
    </row>
    <row r="67" spans="1:13" ht="15.75">
      <c r="A67" s="205" t="s">
        <v>1423</v>
      </c>
      <c r="B67" s="941">
        <f>$E$31-1.08*B64</f>
        <v>5.6419999999999995</v>
      </c>
      <c r="C67" s="941">
        <f>$E$31-0.41*C64</f>
        <v>-33.09</v>
      </c>
      <c r="D67" s="941">
        <f>$E$31-1.41*D64</f>
        <v>7.88870195</v>
      </c>
      <c r="E67" s="941">
        <f>$E$31-0.32*E64</f>
        <v>7.888688</v>
      </c>
      <c r="F67" s="941">
        <f>$E$31-1.11*F64</f>
        <v>7.91</v>
      </c>
      <c r="G67" s="942">
        <f>$E$31+G64</f>
        <v>8.91</v>
      </c>
      <c r="H67" s="364">
        <f>$E$31-1.11*F64-0.41*C64</f>
        <v>-33.09</v>
      </c>
      <c r="M67" s="296"/>
    </row>
    <row r="68" spans="1:8" ht="15.75">
      <c r="A68" s="205" t="s">
        <v>1188</v>
      </c>
      <c r="B68" s="941">
        <f aca="true" t="shared" si="2" ref="B68:H68">B65/B67</f>
        <v>0.6115999749775843</v>
      </c>
      <c r="C68" s="941">
        <f t="shared" si="2"/>
        <v>-2.866958206673422</v>
      </c>
      <c r="D68" s="941">
        <f t="shared" si="2"/>
        <v>0.11306880580315627</v>
      </c>
      <c r="E68" s="941">
        <f t="shared" si="2"/>
        <v>0.11251897131988617</v>
      </c>
      <c r="F68" s="941">
        <f t="shared" si="2"/>
        <v>0.10968989365657777</v>
      </c>
      <c r="G68" s="942">
        <f t="shared" si="2"/>
        <v>0.19614445104641193</v>
      </c>
      <c r="H68" s="942">
        <f t="shared" si="2"/>
        <v>-2.866958206673422</v>
      </c>
    </row>
    <row r="69" spans="1:8" ht="15.75">
      <c r="A69" s="205" t="s">
        <v>1626</v>
      </c>
      <c r="B69" s="941">
        <f aca="true" t="shared" si="3" ref="B69:H69">0.423*LN(B68)+6.3022</f>
        <v>6.094220694209565</v>
      </c>
      <c r="C69" s="941" t="e">
        <f t="shared" si="3"/>
        <v>#NUM!</v>
      </c>
      <c r="D69" s="941">
        <f t="shared" si="3"/>
        <v>5.380162051008036</v>
      </c>
      <c r="E69" s="941">
        <f t="shared" si="3"/>
        <v>5.378100055895104</v>
      </c>
      <c r="F69" s="941">
        <f t="shared" si="3"/>
        <v>5.367328527789872</v>
      </c>
      <c r="G69" s="942">
        <f t="shared" si="3"/>
        <v>5.613173651964751</v>
      </c>
      <c r="H69" s="942" t="e">
        <f t="shared" si="3"/>
        <v>#NUM!</v>
      </c>
    </row>
    <row r="70" spans="1:8" ht="12.75">
      <c r="A70" s="205" t="s">
        <v>1463</v>
      </c>
      <c r="B70" s="941">
        <f aca="true" t="shared" si="4" ref="B70:H70">-0.45*LN(B65)+4.8</f>
        <v>4.24264720496721</v>
      </c>
      <c r="C70" s="941">
        <f t="shared" si="4"/>
        <v>2.751382770889739</v>
      </c>
      <c r="D70" s="941">
        <f t="shared" si="4"/>
        <v>4.851447213772378</v>
      </c>
      <c r="E70" s="941">
        <f t="shared" si="4"/>
        <v>4.853641621353643</v>
      </c>
      <c r="F70" s="941">
        <f t="shared" si="4"/>
        <v>4.863886617571674</v>
      </c>
      <c r="G70" s="942">
        <f t="shared" si="4"/>
        <v>4.548778344561764</v>
      </c>
      <c r="H70" s="942">
        <f t="shared" si="4"/>
        <v>2.751382770889739</v>
      </c>
    </row>
    <row r="71" spans="1:8" ht="12.75">
      <c r="A71" s="205" t="s">
        <v>1462</v>
      </c>
      <c r="B71" s="941">
        <f aca="true" t="shared" si="5" ref="B71:H71">-0.4343*LN(B66)+5</f>
        <v>6.514464820118328</v>
      </c>
      <c r="C71" s="941">
        <f t="shared" si="5"/>
        <v>6.514464820118328</v>
      </c>
      <c r="D71" s="941">
        <f t="shared" si="5"/>
        <v>5.939891207995499</v>
      </c>
      <c r="E71" s="941">
        <f t="shared" si="5"/>
        <v>6.0432292004206305</v>
      </c>
      <c r="F71" s="941">
        <f t="shared" si="5"/>
        <v>6.514464820118328</v>
      </c>
      <c r="G71" s="942">
        <f t="shared" si="5"/>
        <v>6.514464820118328</v>
      </c>
      <c r="H71" s="942">
        <f t="shared" si="5"/>
        <v>6.514464820118328</v>
      </c>
    </row>
    <row r="72" spans="1:8" ht="15.75">
      <c r="A72" s="205" t="s">
        <v>1149</v>
      </c>
      <c r="B72" s="936">
        <f>$E$30+(B65-$E$29)*$K$65+(B64*23/40)</f>
        <v>7.2999364705882375</v>
      </c>
      <c r="C72" s="936">
        <f>$E$30+(C65-$E$29)*$K$65+(C64*23/84)</f>
        <v>145.0021288515406</v>
      </c>
      <c r="D72" s="936">
        <f>$E$30+(D65-$E$29)*$K$65+(D64*40/56)</f>
        <v>2.981634997302524</v>
      </c>
      <c r="E72" s="936">
        <f>$E$30+(E65-$E$29)*$K$65+(E64*40/56)</f>
        <v>3.0131234991596667</v>
      </c>
      <c r="F72" s="936">
        <f>$E$30+(F65-$E$29)*$K$65+(F64*40/74)</f>
        <v>2.941176470588238</v>
      </c>
      <c r="G72" s="940">
        <f>$E$30+(G65-$E$29)*$K$65+(G64*23/40)</f>
        <v>4.589776470588238</v>
      </c>
      <c r="H72" s="940">
        <f>$E$30+(H65-$E$29)*$K$65+(H64*40/74)</f>
        <v>117.62117647058822</v>
      </c>
    </row>
    <row r="73" spans="1:8" ht="15.75">
      <c r="A73" s="205" t="s">
        <v>1424</v>
      </c>
      <c r="B73" s="941">
        <f aca="true" t="shared" si="6" ref="B73:H73">0.03742*LN(B72)-0.0209*$B$11+2.499</f>
        <v>2.3278109324530134</v>
      </c>
      <c r="C73" s="941">
        <f t="shared" si="6"/>
        <v>2.4396549260278597</v>
      </c>
      <c r="D73" s="941">
        <f t="shared" si="6"/>
        <v>2.294305295013192</v>
      </c>
      <c r="E73" s="941">
        <f t="shared" si="6"/>
        <v>2.2946984086230304</v>
      </c>
      <c r="F73" s="941">
        <f t="shared" si="6"/>
        <v>2.2937940575285376</v>
      </c>
      <c r="G73" s="942">
        <f t="shared" si="6"/>
        <v>2.31044676813167</v>
      </c>
      <c r="H73" s="942">
        <f t="shared" si="6"/>
        <v>2.4318236933957844</v>
      </c>
    </row>
    <row r="74" spans="1:8" ht="15.75">
      <c r="A74" s="205" t="s">
        <v>1641</v>
      </c>
      <c r="B74" s="941">
        <f aca="true" t="shared" si="7" ref="B74:H74">SUM(B70:B71,B73)</f>
        <v>13.084922957538552</v>
      </c>
      <c r="C74" s="941">
        <f t="shared" si="7"/>
        <v>11.705502517035928</v>
      </c>
      <c r="D74" s="941">
        <f t="shared" si="7"/>
        <v>13.08564371678107</v>
      </c>
      <c r="E74" s="941">
        <f t="shared" si="7"/>
        <v>13.191569230397304</v>
      </c>
      <c r="F74" s="941">
        <f t="shared" si="7"/>
        <v>13.67214549521854</v>
      </c>
      <c r="G74" s="942">
        <f t="shared" si="7"/>
        <v>13.37368993281176</v>
      </c>
      <c r="H74" s="942">
        <f t="shared" si="7"/>
        <v>11.697671284403853</v>
      </c>
    </row>
    <row r="75" spans="1:8" ht="15.75">
      <c r="A75" s="205" t="s">
        <v>1151</v>
      </c>
      <c r="B75" s="941">
        <f aca="true" t="shared" si="8" ref="B75:H75">B69-B74</f>
        <v>-6.990702263328987</v>
      </c>
      <c r="C75" s="941" t="e">
        <f t="shared" si="8"/>
        <v>#NUM!</v>
      </c>
      <c r="D75" s="941">
        <f t="shared" si="8"/>
        <v>-7.705481665773033</v>
      </c>
      <c r="E75" s="941">
        <f t="shared" si="8"/>
        <v>-7.8134691745022</v>
      </c>
      <c r="F75" s="941">
        <f t="shared" si="8"/>
        <v>-8.304816967428668</v>
      </c>
      <c r="G75" s="942">
        <f t="shared" si="8"/>
        <v>-7.76051628084701</v>
      </c>
      <c r="H75" s="942" t="e">
        <f t="shared" si="8"/>
        <v>#NUM!</v>
      </c>
    </row>
  </sheetData>
  <mergeCells count="1">
    <mergeCell ref="O32:Q32"/>
  </mergeCells>
  <printOptions/>
  <pageMargins left="0.75" right="0.75" top="1" bottom="1" header="0.5" footer="0.5"/>
  <pageSetup horizontalDpi="600" verticalDpi="600" orientation="portrait" r:id="rId4"/>
  <drawing r:id="rId3"/>
  <legacyDrawing r:id="rId2"/>
</worksheet>
</file>

<file path=xl/worksheets/sheet41.xml><?xml version="1.0" encoding="utf-8"?>
<worksheet xmlns="http://schemas.openxmlformats.org/spreadsheetml/2006/main" xmlns:r="http://schemas.openxmlformats.org/officeDocument/2006/relationships">
  <sheetPr codeName="Sheet36"/>
  <dimension ref="A1:AC69"/>
  <sheetViews>
    <sheetView workbookViewId="0" topLeftCell="A1">
      <selection activeCell="C43" sqref="C43"/>
    </sheetView>
  </sheetViews>
  <sheetFormatPr defaultColWidth="9.140625" defaultRowHeight="12.75"/>
  <cols>
    <col min="1" max="1" width="28.140625" style="0" customWidth="1"/>
    <col min="2" max="2" width="12.8515625" style="0" customWidth="1"/>
    <col min="3" max="3" width="14.421875" style="0" customWidth="1"/>
    <col min="26" max="26" width="11.7109375" style="0" customWidth="1"/>
    <col min="27" max="27" width="12.8515625" style="0"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5" spans="1:26" ht="14.25">
      <c r="A5" s="932" t="s">
        <v>1435</v>
      </c>
      <c r="B5" s="931">
        <v>50</v>
      </c>
      <c r="C5" s="931">
        <v>40</v>
      </c>
      <c r="D5" s="931">
        <v>30</v>
      </c>
      <c r="E5" s="931">
        <v>25</v>
      </c>
      <c r="F5" s="931">
        <v>20</v>
      </c>
      <c r="G5" s="931">
        <v>10</v>
      </c>
      <c r="H5" s="931">
        <v>0</v>
      </c>
      <c r="Z5" t="s">
        <v>1445</v>
      </c>
    </row>
    <row r="6" spans="1:26" ht="12.75">
      <c r="A6" s="932" t="s">
        <v>1690</v>
      </c>
      <c r="B6" s="2577" t="s">
        <v>1434</v>
      </c>
      <c r="C6" s="2577"/>
      <c r="D6" s="2577"/>
      <c r="E6" s="2577"/>
      <c r="F6" s="2577"/>
      <c r="G6" s="2577"/>
      <c r="H6" s="2577"/>
      <c r="U6" t="s">
        <v>1462</v>
      </c>
      <c r="V6" t="s">
        <v>1463</v>
      </c>
      <c r="Z6" t="s">
        <v>1446</v>
      </c>
    </row>
    <row r="7" spans="1:23" ht="12.75">
      <c r="A7" s="931">
        <v>0</v>
      </c>
      <c r="B7" s="931">
        <v>1.5</v>
      </c>
      <c r="C7" s="931">
        <v>1.7</v>
      </c>
      <c r="D7" s="931">
        <v>1.85</v>
      </c>
      <c r="E7" s="931">
        <v>1.97</v>
      </c>
      <c r="F7" s="931">
        <v>2.12</v>
      </c>
      <c r="G7" s="931">
        <v>2.3</v>
      </c>
      <c r="H7" s="931">
        <v>2.52</v>
      </c>
      <c r="U7">
        <v>5</v>
      </c>
      <c r="V7">
        <v>4.75</v>
      </c>
      <c r="W7">
        <v>1</v>
      </c>
    </row>
    <row r="8" spans="1:28" ht="14.25">
      <c r="A8" s="931">
        <v>0.2</v>
      </c>
      <c r="B8" s="931">
        <v>2.27</v>
      </c>
      <c r="C8" s="931">
        <v>2.45</v>
      </c>
      <c r="D8" s="931">
        <v>2.65</v>
      </c>
      <c r="E8" s="931">
        <v>2.75</v>
      </c>
      <c r="F8" s="931">
        <v>2.9</v>
      </c>
      <c r="G8" s="931">
        <v>3.05</v>
      </c>
      <c r="H8" s="931">
        <v>3.25</v>
      </c>
      <c r="U8">
        <v>4</v>
      </c>
      <c r="V8">
        <v>3.7</v>
      </c>
      <c r="W8">
        <v>10</v>
      </c>
      <c r="Z8" t="s">
        <v>1447</v>
      </c>
      <c r="AA8" t="s">
        <v>1448</v>
      </c>
      <c r="AB8" t="s">
        <v>1449</v>
      </c>
    </row>
    <row r="9" spans="1:27" ht="12.75">
      <c r="A9" s="931">
        <v>0.4</v>
      </c>
      <c r="B9" s="931">
        <v>2.57</v>
      </c>
      <c r="C9" s="931">
        <v>2.77</v>
      </c>
      <c r="D9" s="931">
        <v>2.95</v>
      </c>
      <c r="E9" s="931">
        <v>3.07</v>
      </c>
      <c r="F9" s="931">
        <v>3.18</v>
      </c>
      <c r="G9" s="931">
        <v>3.35</v>
      </c>
      <c r="H9" s="931">
        <v>3.5</v>
      </c>
      <c r="U9">
        <v>3</v>
      </c>
      <c r="V9">
        <v>2.7</v>
      </c>
      <c r="W9">
        <v>100</v>
      </c>
      <c r="Z9">
        <v>5.3</v>
      </c>
      <c r="AA9">
        <v>0.098</v>
      </c>
    </row>
    <row r="10" spans="1:27" ht="12.75">
      <c r="A10" s="931">
        <v>0.6</v>
      </c>
      <c r="B10" s="931">
        <v>2.7</v>
      </c>
      <c r="C10" s="931">
        <v>2.92</v>
      </c>
      <c r="D10" s="931">
        <v>3.14</v>
      </c>
      <c r="E10" s="931">
        <v>3.25</v>
      </c>
      <c r="F10" s="931">
        <v>3.35</v>
      </c>
      <c r="G10" s="931">
        <v>3.5</v>
      </c>
      <c r="H10" s="931">
        <v>3.63</v>
      </c>
      <c r="U10">
        <v>2</v>
      </c>
      <c r="V10">
        <v>1.7</v>
      </c>
      <c r="W10">
        <v>1000</v>
      </c>
      <c r="Z10">
        <v>5.4</v>
      </c>
      <c r="AA10">
        <v>0.12</v>
      </c>
    </row>
    <row r="11" spans="1:27" ht="12.75">
      <c r="A11" s="931">
        <v>0.8</v>
      </c>
      <c r="B11" s="931">
        <v>2.8</v>
      </c>
      <c r="C11" s="931">
        <v>3.04</v>
      </c>
      <c r="D11" s="931">
        <v>3.25</v>
      </c>
      <c r="E11" s="931">
        <v>3.36</v>
      </c>
      <c r="F11" s="931">
        <v>3.47</v>
      </c>
      <c r="G11" s="931">
        <v>3.6</v>
      </c>
      <c r="H11" s="931">
        <v>3.7</v>
      </c>
      <c r="U11">
        <v>1</v>
      </c>
      <c r="V11">
        <v>0.7</v>
      </c>
      <c r="W11">
        <v>10000</v>
      </c>
      <c r="Z11">
        <v>5.6</v>
      </c>
      <c r="AA11">
        <v>0.19</v>
      </c>
    </row>
    <row r="12" spans="1:27" ht="12.75">
      <c r="A12" s="931">
        <v>1</v>
      </c>
      <c r="B12" s="931">
        <v>2.82</v>
      </c>
      <c r="C12" s="931">
        <v>3.1</v>
      </c>
      <c r="D12" s="931">
        <v>3.32</v>
      </c>
      <c r="E12" s="931">
        <v>3.42</v>
      </c>
      <c r="F12" s="931">
        <v>3.5</v>
      </c>
      <c r="G12" s="931">
        <v>3.65</v>
      </c>
      <c r="H12" s="931">
        <v>3.75</v>
      </c>
      <c r="Z12">
        <v>5.8</v>
      </c>
      <c r="AA12">
        <v>0.305</v>
      </c>
    </row>
    <row r="13" spans="1:27" ht="12.75">
      <c r="A13" s="931">
        <v>1.2</v>
      </c>
      <c r="B13" s="931">
        <v>2.85</v>
      </c>
      <c r="C13" s="931">
        <v>3.1</v>
      </c>
      <c r="D13" s="931">
        <v>3.33</v>
      </c>
      <c r="E13" s="931">
        <v>3.44</v>
      </c>
      <c r="F13" s="931">
        <v>3.55</v>
      </c>
      <c r="G13" s="931">
        <v>3.68</v>
      </c>
      <c r="H13" s="931">
        <v>3.78</v>
      </c>
      <c r="Z13">
        <v>6</v>
      </c>
      <c r="AA13">
        <v>0.5</v>
      </c>
    </row>
    <row r="14" spans="1:27" ht="12.75">
      <c r="A14" s="931">
        <v>1.4</v>
      </c>
      <c r="B14" s="931">
        <v>2.85</v>
      </c>
      <c r="C14" s="931">
        <v>3.09</v>
      </c>
      <c r="D14" s="931">
        <v>3.32</v>
      </c>
      <c r="E14" s="931">
        <v>3.42</v>
      </c>
      <c r="F14" s="931">
        <v>3.54</v>
      </c>
      <c r="G14" s="931">
        <v>3.68</v>
      </c>
      <c r="H14" s="931">
        <v>3.78</v>
      </c>
      <c r="Z14">
        <v>6.2</v>
      </c>
      <c r="AA14">
        <v>0.775</v>
      </c>
    </row>
    <row r="15" spans="1:27" ht="12.75">
      <c r="A15" s="931">
        <v>1.6</v>
      </c>
      <c r="B15" s="931">
        <v>2.82</v>
      </c>
      <c r="C15" s="931">
        <v>3.09</v>
      </c>
      <c r="D15" s="931">
        <v>3.3</v>
      </c>
      <c r="E15" s="931">
        <v>3.4</v>
      </c>
      <c r="F15" s="931">
        <v>3.52</v>
      </c>
      <c r="G15" s="931">
        <v>3.65</v>
      </c>
      <c r="H15" s="931">
        <v>3.75</v>
      </c>
      <c r="Z15">
        <v>6.4</v>
      </c>
      <c r="AA15">
        <v>1.25</v>
      </c>
    </row>
    <row r="16" spans="1:27" ht="12.75">
      <c r="A16" s="931">
        <v>1.8</v>
      </c>
      <c r="B16" s="931">
        <v>2.81</v>
      </c>
      <c r="C16" s="931">
        <v>3.08</v>
      </c>
      <c r="D16" s="931">
        <v>3.28</v>
      </c>
      <c r="E16" s="931">
        <v>3.38</v>
      </c>
      <c r="F16" s="931">
        <v>3.49</v>
      </c>
      <c r="G16" s="931">
        <v>3.62</v>
      </c>
      <c r="H16" s="931">
        <v>3.72</v>
      </c>
      <c r="Z16">
        <v>6.6</v>
      </c>
      <c r="AA16">
        <v>2</v>
      </c>
    </row>
    <row r="17" spans="1:27" ht="12.75">
      <c r="A17" s="931">
        <v>2</v>
      </c>
      <c r="B17" s="931">
        <v>2.8</v>
      </c>
      <c r="C17" s="931">
        <v>3.05</v>
      </c>
      <c r="D17" s="931">
        <v>3.24</v>
      </c>
      <c r="E17" s="931">
        <v>3.35</v>
      </c>
      <c r="F17" s="931">
        <v>3.45</v>
      </c>
      <c r="G17" s="931">
        <v>3.6</v>
      </c>
      <c r="H17" s="931">
        <v>3.7</v>
      </c>
      <c r="Z17">
        <v>6.8</v>
      </c>
      <c r="AA17">
        <v>3.2</v>
      </c>
    </row>
    <row r="18" spans="26:27" ht="12.75">
      <c r="Z18">
        <v>7</v>
      </c>
      <c r="AA18">
        <v>5</v>
      </c>
    </row>
    <row r="19" spans="26:27" ht="12.75">
      <c r="Z19">
        <v>7.2</v>
      </c>
      <c r="AA19">
        <v>8</v>
      </c>
    </row>
    <row r="20" spans="26:27" ht="12.75">
      <c r="Z20">
        <v>7.4</v>
      </c>
      <c r="AA20">
        <v>13</v>
      </c>
    </row>
    <row r="21" spans="26:27" ht="12.75">
      <c r="Z21">
        <v>7.5</v>
      </c>
      <c r="AA21">
        <v>17</v>
      </c>
    </row>
    <row r="22" spans="26:27" ht="12.75">
      <c r="Z22">
        <v>7.6</v>
      </c>
      <c r="AA22">
        <v>21.5</v>
      </c>
    </row>
    <row r="23" spans="26:27" ht="12.75">
      <c r="Z23">
        <v>7.8</v>
      </c>
      <c r="AA23">
        <v>34</v>
      </c>
    </row>
    <row r="24" spans="26:27" ht="12.75">
      <c r="Z24">
        <v>8</v>
      </c>
      <c r="AA24">
        <v>54</v>
      </c>
    </row>
    <row r="25" spans="26:27" ht="12.75">
      <c r="Z25">
        <v>8.2</v>
      </c>
      <c r="AA25">
        <v>100</v>
      </c>
    </row>
    <row r="26" spans="26:29" ht="14.25">
      <c r="Z26">
        <v>8.3</v>
      </c>
      <c r="AA26">
        <v>1000</v>
      </c>
      <c r="AC26" t="s">
        <v>1450</v>
      </c>
    </row>
    <row r="29" spans="1:6" ht="12.75">
      <c r="A29" s="931" t="s">
        <v>1480</v>
      </c>
      <c r="B29" s="931"/>
      <c r="C29" s="931"/>
      <c r="D29" s="931"/>
      <c r="E29" s="931"/>
      <c r="F29" s="931"/>
    </row>
    <row r="30" spans="1:6" ht="12.75">
      <c r="A30" s="933" t="s">
        <v>1435</v>
      </c>
      <c r="B30" s="934" t="s">
        <v>1436</v>
      </c>
      <c r="C30" s="934" t="s">
        <v>1437</v>
      </c>
      <c r="D30" s="934" t="s">
        <v>1438</v>
      </c>
      <c r="E30" s="934" t="s">
        <v>527</v>
      </c>
      <c r="F30" s="934" t="s">
        <v>1439</v>
      </c>
    </row>
    <row r="31" spans="1:6" ht="12.75">
      <c r="A31" s="934">
        <v>50</v>
      </c>
      <c r="B31" s="931">
        <v>0.634</v>
      </c>
      <c r="C31" s="931">
        <v>-2.5651</v>
      </c>
      <c r="D31" s="931">
        <v>3.2205</v>
      </c>
      <c r="E31" s="931">
        <v>1.5931</v>
      </c>
      <c r="F31" s="931">
        <v>0.9738</v>
      </c>
    </row>
    <row r="32" spans="1:6" ht="12.75">
      <c r="A32" s="934">
        <v>40</v>
      </c>
      <c r="B32" s="931">
        <v>0.6053</v>
      </c>
      <c r="C32" s="931">
        <v>-2.508</v>
      </c>
      <c r="D32" s="931">
        <v>3.2522</v>
      </c>
      <c r="E32" s="931">
        <v>1.7809</v>
      </c>
      <c r="F32" s="931">
        <v>0.9821</v>
      </c>
    </row>
    <row r="33" spans="1:6" ht="12.75">
      <c r="A33" s="934">
        <v>30</v>
      </c>
      <c r="B33" s="931">
        <v>0.6061</v>
      </c>
      <c r="C33" s="931">
        <v>-2.5612</v>
      </c>
      <c r="D33" s="931">
        <v>3.3709</v>
      </c>
      <c r="E33" s="931">
        <v>1.9387</v>
      </c>
      <c r="F33" s="931">
        <v>0.9813</v>
      </c>
    </row>
    <row r="34" spans="1:6" ht="12.75">
      <c r="A34" s="934">
        <v>25</v>
      </c>
      <c r="B34" s="931">
        <v>0.615</v>
      </c>
      <c r="C34" s="931">
        <v>-2.5826</v>
      </c>
      <c r="D34" s="931">
        <v>3.3744</v>
      </c>
      <c r="E34" s="931">
        <v>2.0527</v>
      </c>
      <c r="F34" s="931">
        <v>0.9832</v>
      </c>
    </row>
    <row r="35" spans="1:6" ht="12.75">
      <c r="A35" s="934">
        <v>20</v>
      </c>
      <c r="B35" s="931">
        <v>0.5679</v>
      </c>
      <c r="C35" s="931">
        <v>-2.4127</v>
      </c>
      <c r="D35" s="931">
        <v>3.1941</v>
      </c>
      <c r="E35" s="931">
        <v>2.2134</v>
      </c>
      <c r="F35" s="931">
        <v>0.9771</v>
      </c>
    </row>
    <row r="36" spans="1:6" ht="12.75">
      <c r="A36" s="934">
        <v>10</v>
      </c>
      <c r="B36" s="931">
        <v>0.576</v>
      </c>
      <c r="C36" s="931">
        <v>-2.4149</v>
      </c>
      <c r="D36" s="931">
        <v>3.1519</v>
      </c>
      <c r="E36" s="931">
        <v>2.3873</v>
      </c>
      <c r="F36" s="931">
        <v>0.9784</v>
      </c>
    </row>
    <row r="37" spans="1:6" ht="12.75">
      <c r="A37" s="934">
        <v>0</v>
      </c>
      <c r="B37" s="931">
        <v>0.5466</v>
      </c>
      <c r="C37" s="931">
        <v>-2.2635</v>
      </c>
      <c r="D37" s="931">
        <v>2.9032</v>
      </c>
      <c r="E37" s="931">
        <v>2.616</v>
      </c>
      <c r="F37" s="931">
        <v>0.9681</v>
      </c>
    </row>
    <row r="51" ht="12.75">
      <c r="A51" t="s">
        <v>1155</v>
      </c>
    </row>
    <row r="52" spans="1:2" ht="12.75">
      <c r="A52" s="938" t="s">
        <v>1478</v>
      </c>
      <c r="B52" s="937">
        <f>'{e}H20 Analysis'!$C$46</f>
        <v>11.75</v>
      </c>
    </row>
    <row r="53" spans="1:4" ht="12.75">
      <c r="A53" s="938" t="s">
        <v>1479</v>
      </c>
      <c r="B53" s="937">
        <f>'{hh}S&amp;DSI'!B16</f>
        <v>0.007277354936395458</v>
      </c>
      <c r="D53" t="s">
        <v>1481</v>
      </c>
    </row>
    <row r="54" spans="1:2" ht="15.75">
      <c r="A54" s="6" t="s">
        <v>1476</v>
      </c>
      <c r="B54" s="6" t="s">
        <v>1477</v>
      </c>
    </row>
    <row r="55" spans="1:2" ht="12.75">
      <c r="A55" s="1423" t="s">
        <v>1476</v>
      </c>
      <c r="B55" s="1424">
        <f>(0.0016*B52+0.5528)*B53^3+(0.0002*B52^2-0.0142*B52-2.2695)*B53^2+(-0.0004*B52^2+0.0266*B52+2.9072)*B53+(-0.0206*B52+2.598)</f>
        <v>2.3788520254445125</v>
      </c>
    </row>
    <row r="56" spans="1:2" ht="12.75">
      <c r="A56" s="6"/>
      <c r="B56" s="6"/>
    </row>
    <row r="57" spans="1:2" ht="12.75">
      <c r="A57" s="6" t="s">
        <v>1156</v>
      </c>
      <c r="B57" s="6"/>
    </row>
    <row r="58" spans="1:2" ht="12.75">
      <c r="A58" s="938" t="s">
        <v>1478</v>
      </c>
      <c r="B58" s="937">
        <f>'{e}H20 Analysis'!$C$46</f>
        <v>11.75</v>
      </c>
    </row>
    <row r="59" spans="1:2" ht="12.75">
      <c r="A59" s="938" t="s">
        <v>1479</v>
      </c>
      <c r="B59" s="937">
        <f>'{hh}S&amp;DSI'!B17</f>
        <v>0.04865928106566289</v>
      </c>
    </row>
    <row r="60" spans="1:2" ht="15.75">
      <c r="A60" s="6" t="s">
        <v>1476</v>
      </c>
      <c r="B60" s="6" t="s">
        <v>1477</v>
      </c>
    </row>
    <row r="61" spans="1:2" ht="12.75">
      <c r="A61" s="1423" t="s">
        <v>1476</v>
      </c>
      <c r="B61" s="1424">
        <f>(0.0016*B58+0.5528)*B59^3+(0.0002*B58^2-0.0142*B58-2.2695)*B59^2+(-0.0004*B58^2+0.0266*B58+2.9072)*B59+(-0.0206*B58+2.598)</f>
        <v>2.504296136970778</v>
      </c>
    </row>
    <row r="62" ht="12.75">
      <c r="A62" s="296"/>
    </row>
    <row r="63" ht="12.75">
      <c r="A63" s="296"/>
    </row>
    <row r="64" ht="12.75">
      <c r="A64" s="296" t="s">
        <v>1643</v>
      </c>
    </row>
    <row r="65" ht="12.75">
      <c r="A65" s="296"/>
    </row>
    <row r="66" ht="12.75">
      <c r="A66" s="296"/>
    </row>
    <row r="67" ht="12.75">
      <c r="A67" s="296"/>
    </row>
    <row r="69" ht="12.75">
      <c r="A69" s="328"/>
    </row>
  </sheetData>
  <mergeCells count="1">
    <mergeCell ref="B6:H6"/>
  </mergeCells>
  <printOptions/>
  <pageMargins left="0.75" right="0.75" top="1" bottom="1" header="0.5" footer="0.5"/>
  <pageSetup horizontalDpi="600" verticalDpi="600" orientation="portrait" r:id="rId2"/>
  <drawing r:id="rId1"/>
</worksheet>
</file>

<file path=xl/worksheets/sheet42.xml><?xml version="1.0" encoding="utf-8"?>
<worksheet xmlns="http://schemas.openxmlformats.org/spreadsheetml/2006/main" xmlns:r="http://schemas.openxmlformats.org/officeDocument/2006/relationships">
  <dimension ref="A1:E25"/>
  <sheetViews>
    <sheetView workbookViewId="0" topLeftCell="A1">
      <selection activeCell="G14" sqref="G14"/>
    </sheetView>
  </sheetViews>
  <sheetFormatPr defaultColWidth="9.140625" defaultRowHeight="12.75"/>
  <cols>
    <col min="1" max="1" width="35.140625" style="0" customWidth="1"/>
    <col min="2" max="2" width="12.8515625" style="0" customWidth="1"/>
    <col min="3" max="3" width="15.28125" style="0" customWidth="1"/>
    <col min="4" max="4" width="9.57421875" style="0" bestFit="1"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670" t="s">
        <v>1353</v>
      </c>
    </row>
    <row r="6" spans="1:5" ht="13.5" thickBot="1">
      <c r="A6" s="1405"/>
      <c r="B6" s="819"/>
      <c r="C6" s="1062" t="s">
        <v>1682</v>
      </c>
      <c r="D6" s="2492" t="s">
        <v>766</v>
      </c>
      <c r="E6" s="2492"/>
    </row>
    <row r="7" spans="1:5" ht="13.5" thickTop="1">
      <c r="A7" s="474" t="s">
        <v>36</v>
      </c>
      <c r="B7" s="1081">
        <f>'{b}Capacity'!E18</f>
        <v>69436.92287552002</v>
      </c>
      <c r="C7" s="943" t="s">
        <v>1540</v>
      </c>
      <c r="D7" s="1079">
        <f>B7*60*24</f>
        <v>99989168.94074881</v>
      </c>
      <c r="E7" s="943" t="s">
        <v>31</v>
      </c>
    </row>
    <row r="8" spans="1:5" ht="12.75">
      <c r="A8" s="433" t="s">
        <v>37</v>
      </c>
      <c r="B8" s="207">
        <v>0.05</v>
      </c>
      <c r="C8" s="205" t="s">
        <v>888</v>
      </c>
      <c r="D8" s="208"/>
      <c r="E8" s="205"/>
    </row>
    <row r="9" spans="1:5" ht="12.75">
      <c r="A9" s="433" t="s">
        <v>38</v>
      </c>
      <c r="B9" s="2458">
        <v>0</v>
      </c>
      <c r="C9" s="205" t="s">
        <v>888</v>
      </c>
      <c r="D9" s="208"/>
      <c r="E9" s="205"/>
    </row>
    <row r="10" spans="1:5" ht="12.75">
      <c r="A10" s="433" t="s">
        <v>34</v>
      </c>
      <c r="B10" s="208">
        <v>1</v>
      </c>
      <c r="C10" s="205" t="s">
        <v>32</v>
      </c>
      <c r="D10" s="747">
        <f>B10*12</f>
        <v>12</v>
      </c>
      <c r="E10" s="205" t="s">
        <v>35</v>
      </c>
    </row>
    <row r="11" spans="1:5" ht="12.75">
      <c r="A11" s="433" t="s">
        <v>33</v>
      </c>
      <c r="B11" s="315">
        <v>0</v>
      </c>
      <c r="C11" s="205" t="s">
        <v>32</v>
      </c>
      <c r="D11" s="747">
        <f>B11*12</f>
        <v>0</v>
      </c>
      <c r="E11" s="205" t="s">
        <v>35</v>
      </c>
    </row>
    <row r="12" spans="1:5" ht="12.75">
      <c r="A12" s="2460" t="s">
        <v>40</v>
      </c>
      <c r="B12">
        <f>ROUNDUP(0.070723*B7-4.3315,0)</f>
        <v>4907</v>
      </c>
      <c r="C12" s="205" t="s">
        <v>42</v>
      </c>
      <c r="D12" s="1082"/>
      <c r="E12" s="205"/>
    </row>
    <row r="13" spans="1:5" ht="12.75">
      <c r="A13" s="205" t="s">
        <v>41</v>
      </c>
      <c r="B13" s="2457">
        <v>48</v>
      </c>
      <c r="C13" s="205" t="s">
        <v>43</v>
      </c>
      <c r="D13" s="205"/>
      <c r="E13" s="205"/>
    </row>
    <row r="14" spans="1:5" ht="12.75">
      <c r="A14" s="2460" t="s">
        <v>45</v>
      </c>
      <c r="B14">
        <f>B12/IF(B11&gt;0,B11,B10)</f>
        <v>4907</v>
      </c>
      <c r="C14" s="205" t="s">
        <v>42</v>
      </c>
      <c r="D14" s="1082"/>
      <c r="E14" s="205"/>
    </row>
    <row r="15" spans="1:5" ht="12.75">
      <c r="A15" s="205" t="s">
        <v>46</v>
      </c>
      <c r="B15" s="1059">
        <f>B12*IF(B9&gt;0,B9,B8)*24*365</f>
        <v>2149266</v>
      </c>
      <c r="C15" s="205" t="s">
        <v>218</v>
      </c>
      <c r="D15" s="208"/>
      <c r="E15" s="205"/>
    </row>
    <row r="16" spans="1:5" ht="12.75">
      <c r="A16" s="205" t="s">
        <v>48</v>
      </c>
      <c r="B16" s="1059">
        <f>0.01189*B7+8.094</f>
        <v>833.6990129899331</v>
      </c>
      <c r="C16" s="205" t="s">
        <v>49</v>
      </c>
      <c r="D16" s="208"/>
      <c r="E16" s="205"/>
    </row>
    <row r="18" spans="1:5" ht="13.5" thickBot="1">
      <c r="A18" s="1405"/>
      <c r="B18" s="819"/>
      <c r="C18" s="1062" t="s">
        <v>1682</v>
      </c>
      <c r="D18" s="2492" t="s">
        <v>766</v>
      </c>
      <c r="E18" s="2492"/>
    </row>
    <row r="19" spans="1:5" ht="13.5" thickTop="1">
      <c r="A19" s="943" t="s">
        <v>39</v>
      </c>
      <c r="B19" s="2459">
        <f>28.911*B7+1540.1</f>
        <v>2009030.9772541593</v>
      </c>
      <c r="C19" s="943"/>
      <c r="D19" s="1079"/>
      <c r="E19" s="943"/>
    </row>
    <row r="20" spans="1:5" ht="12.75">
      <c r="A20" s="205" t="s">
        <v>44</v>
      </c>
      <c r="B20" s="2459">
        <f>B14*B13</f>
        <v>235536</v>
      </c>
      <c r="C20" s="205"/>
      <c r="D20" s="208"/>
      <c r="E20" s="205"/>
    </row>
    <row r="21" spans="1:5" ht="12.75">
      <c r="A21" s="205" t="s">
        <v>47</v>
      </c>
      <c r="B21" s="2459">
        <f>B15*Power</f>
        <v>150448.62000000002</v>
      </c>
      <c r="C21" s="205"/>
      <c r="D21" s="747"/>
      <c r="E21" s="205"/>
    </row>
    <row r="22" spans="1:5" ht="12.75">
      <c r="A22" s="205" t="s">
        <v>50</v>
      </c>
      <c r="B22" s="2459">
        <f>B16*ENR_Labor</f>
        <v>24218.956327357555</v>
      </c>
      <c r="C22" s="205"/>
      <c r="D22" s="747"/>
      <c r="E22" s="205"/>
    </row>
    <row r="23" spans="1:5" ht="12.75">
      <c r="A23" s="205" t="s">
        <v>51</v>
      </c>
      <c r="B23" s="2461">
        <f>SUM(B20:B22)</f>
        <v>410203.57632735756</v>
      </c>
      <c r="C23" s="205"/>
      <c r="D23" s="1082"/>
      <c r="E23" s="205"/>
    </row>
    <row r="25" ht="12.75">
      <c r="A25" t="s">
        <v>52</v>
      </c>
    </row>
  </sheetData>
  <mergeCells count="2">
    <mergeCell ref="D6:E6"/>
    <mergeCell ref="D18:E18"/>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20"/>
  <sheetViews>
    <sheetView workbookViewId="0" topLeftCell="A1">
      <selection activeCell="G15" sqref="G15"/>
    </sheetView>
  </sheetViews>
  <sheetFormatPr defaultColWidth="9.140625" defaultRowHeight="12.75"/>
  <cols>
    <col min="1" max="1" width="35.140625" style="0" customWidth="1"/>
    <col min="2" max="2" width="12.8515625" style="0" customWidth="1"/>
    <col min="3" max="3" width="15.28125" style="0" customWidth="1"/>
    <col min="5" max="5" width="12.00390625" style="0" customWidth="1"/>
    <col min="7" max="7" width="10.00390625" style="0" customWidth="1"/>
    <col min="8" max="10" width="10.57421875" style="0" bestFit="1"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4" ht="18">
      <c r="A4" s="670" t="s">
        <v>1354</v>
      </c>
    </row>
    <row r="7" spans="1:7" ht="16.5" thickBot="1">
      <c r="A7" s="1091"/>
      <c r="B7" s="1084"/>
      <c r="C7" s="1062" t="s">
        <v>1682</v>
      </c>
      <c r="D7" s="2492" t="s">
        <v>766</v>
      </c>
      <c r="E7" s="2492"/>
      <c r="F7" s="153"/>
      <c r="G7" s="153"/>
    </row>
    <row r="8" spans="1:7" ht="13.5" thickTop="1">
      <c r="A8" s="474" t="s">
        <v>1355</v>
      </c>
      <c r="B8" s="1970">
        <v>500000</v>
      </c>
      <c r="C8" s="433" t="s">
        <v>1360</v>
      </c>
      <c r="D8" s="1079">
        <f>B8*3.7854</f>
        <v>1892700</v>
      </c>
      <c r="E8" s="433" t="s">
        <v>1356</v>
      </c>
      <c r="F8" s="153"/>
      <c r="G8" s="153"/>
    </row>
    <row r="9" spans="1:7" ht="12.75">
      <c r="A9" s="153"/>
      <c r="B9" s="153"/>
      <c r="C9" s="153"/>
      <c r="D9" s="153"/>
      <c r="E9" s="153"/>
      <c r="F9" s="153"/>
      <c r="G9" s="153"/>
    </row>
    <row r="10" spans="1:7" ht="13.5" thickBot="1">
      <c r="A10" s="153"/>
      <c r="B10" s="153"/>
      <c r="C10" s="153"/>
      <c r="D10" s="153"/>
      <c r="E10" s="153"/>
      <c r="F10" s="156"/>
      <c r="G10" s="153"/>
    </row>
    <row r="11" spans="1:7" ht="13.5" thickBot="1">
      <c r="A11" s="777" t="s">
        <v>1357</v>
      </c>
      <c r="B11" s="781" t="s">
        <v>132</v>
      </c>
      <c r="C11" s="1182">
        <f>B20+C20*B8</f>
        <v>546042.7</v>
      </c>
      <c r="D11" s="153"/>
      <c r="E11" s="153"/>
      <c r="F11" s="156"/>
      <c r="G11" s="156"/>
    </row>
    <row r="12" spans="1:7" ht="13.5" thickTop="1">
      <c r="A12" s="1134" t="s">
        <v>1352</v>
      </c>
      <c r="B12" s="1283">
        <v>0.901</v>
      </c>
      <c r="C12" s="1199">
        <f>B12*$C$11*ENR_MI/2151</f>
        <v>603205.8997292091</v>
      </c>
      <c r="D12" s="156"/>
      <c r="E12" s="2462"/>
      <c r="F12" s="153"/>
      <c r="G12" s="1471"/>
    </row>
    <row r="13" spans="1:7" ht="12.75">
      <c r="A13" s="1045" t="s">
        <v>210</v>
      </c>
      <c r="B13" s="1284">
        <f>0.089</f>
        <v>0.089</v>
      </c>
      <c r="C13" s="2463">
        <f>B13*$C$11*ENR_SLI/5817</f>
        <v>62239.10342632731</v>
      </c>
      <c r="D13" s="156"/>
      <c r="E13" s="2462"/>
      <c r="F13" s="153"/>
      <c r="G13" s="1471"/>
    </row>
    <row r="14" spans="1:7" ht="12.75">
      <c r="A14" s="1137" t="s">
        <v>1358</v>
      </c>
      <c r="B14" s="2467">
        <v>0.01</v>
      </c>
      <c r="C14" s="1200">
        <f>B14*C11*ENR_BCI/3541</f>
        <v>6881.24830168314</v>
      </c>
      <c r="D14" s="156"/>
      <c r="E14" s="2462"/>
      <c r="F14" s="153"/>
      <c r="G14" s="1471"/>
    </row>
    <row r="15" spans="1:7" ht="13.5" thickBot="1">
      <c r="A15" s="758" t="str">
        <f>TEXT(IndexDate,"mmmm, yyyy")&amp;" Capital Cost $:"</f>
        <v>November, 2006 Capital Cost $:</v>
      </c>
      <c r="B15" s="782"/>
      <c r="C15" s="1203">
        <f>SUM(C12:C14)</f>
        <v>672326.2514572196</v>
      </c>
      <c r="D15" s="153"/>
      <c r="E15" s="2462"/>
      <c r="F15" s="2462"/>
      <c r="G15" s="2462"/>
    </row>
    <row r="16" spans="1:7" ht="12.75">
      <c r="A16" s="158"/>
      <c r="B16" s="153"/>
      <c r="C16" s="153"/>
      <c r="D16" s="170"/>
      <c r="E16" s="153"/>
      <c r="F16" s="153"/>
      <c r="G16" s="153"/>
    </row>
    <row r="17" spans="1:7" ht="13.5" thickBot="1">
      <c r="A17" s="153"/>
      <c r="B17" s="153"/>
      <c r="C17" s="153"/>
      <c r="D17" s="153"/>
      <c r="E17" s="153"/>
      <c r="F17" s="153"/>
      <c r="G17" s="153"/>
    </row>
    <row r="18" spans="1:7" ht="13.5" thickBot="1">
      <c r="A18" s="2464" t="s">
        <v>1359</v>
      </c>
      <c r="B18" s="2465"/>
      <c r="C18" s="2466"/>
      <c r="D18" s="123"/>
      <c r="E18" s="153"/>
      <c r="F18" s="153"/>
      <c r="G18" s="153"/>
    </row>
    <row r="19" spans="1:7" ht="13.5" thickTop="1">
      <c r="A19" s="163" t="s">
        <v>526</v>
      </c>
      <c r="B19" s="441" t="s">
        <v>527</v>
      </c>
      <c r="C19" s="839" t="s">
        <v>528</v>
      </c>
      <c r="D19" s="295"/>
      <c r="E19" s="153"/>
      <c r="F19" s="153"/>
      <c r="G19" s="153"/>
    </row>
    <row r="20" spans="1:7" ht="13.5" thickBot="1">
      <c r="A20" s="165"/>
      <c r="B20" s="166">
        <v>2842.7</v>
      </c>
      <c r="C20" s="167">
        <v>1.0864</v>
      </c>
      <c r="D20" s="295"/>
      <c r="E20" s="153"/>
      <c r="F20" s="153"/>
      <c r="G20" s="153"/>
    </row>
  </sheetData>
  <mergeCells count="1">
    <mergeCell ref="D7:E7"/>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35"/>
  <sheetViews>
    <sheetView workbookViewId="0" topLeftCell="A1">
      <selection activeCell="F14" sqref="F14"/>
    </sheetView>
  </sheetViews>
  <sheetFormatPr defaultColWidth="9.140625" defaultRowHeight="12.75"/>
  <cols>
    <col min="1" max="1" width="35.421875" style="0" customWidth="1"/>
    <col min="2" max="2" width="12.8515625" style="0" customWidth="1"/>
    <col min="3" max="3" width="12.57421875" style="0" customWidth="1"/>
    <col min="4" max="4" width="10.00390625" style="0" bestFit="1" customWidth="1"/>
    <col min="5" max="5" width="9.8515625" style="0" customWidth="1"/>
    <col min="6" max="6" width="8.7109375" style="0" customWidth="1"/>
    <col min="7" max="7" width="10.28125" style="0" customWidth="1"/>
    <col min="8" max="8" width="9.8515625" style="0" customWidth="1"/>
  </cols>
  <sheetData>
    <row r="1" spans="1:8" ht="15.75">
      <c r="A1" s="381" t="s">
        <v>846</v>
      </c>
      <c r="B1" s="382" t="s">
        <v>847</v>
      </c>
      <c r="C1" s="383" t="s">
        <v>848</v>
      </c>
      <c r="D1" s="153"/>
      <c r="E1" s="153"/>
      <c r="F1" s="153"/>
      <c r="G1" s="153"/>
      <c r="H1" s="153"/>
    </row>
    <row r="2" spans="1:8" ht="18.75" thickBot="1">
      <c r="A2" s="396" t="str">
        <f>'{a}Project &amp; Stage Info'!C3</f>
        <v>Model Development</v>
      </c>
      <c r="B2" s="397">
        <f>'{a}Project &amp; Stage Info'!C5</f>
        <v>38145</v>
      </c>
      <c r="C2" s="398" t="str">
        <f>'{a}Project &amp; Stage Info'!C7</f>
        <v>A1</v>
      </c>
      <c r="D2" s="153"/>
      <c r="E2" s="153"/>
      <c r="F2" s="153"/>
      <c r="G2" s="153"/>
      <c r="H2" s="153"/>
    </row>
    <row r="3" spans="1:8" ht="12.75">
      <c r="A3" s="153"/>
      <c r="B3" s="153"/>
      <c r="C3" s="153"/>
      <c r="D3" s="153"/>
      <c r="E3" s="153"/>
      <c r="F3" s="153"/>
      <c r="G3" s="153"/>
      <c r="H3" s="153"/>
    </row>
    <row r="4" spans="1:8" ht="18">
      <c r="A4" s="429" t="s">
        <v>1485</v>
      </c>
      <c r="B4" s="153"/>
      <c r="C4" s="153"/>
      <c r="D4" s="153"/>
      <c r="E4" s="153"/>
      <c r="F4" s="153"/>
      <c r="G4" s="153"/>
      <c r="H4" s="153"/>
    </row>
    <row r="5" spans="1:8" ht="15.75">
      <c r="A5" s="152"/>
      <c r="B5" s="153"/>
      <c r="C5" s="153"/>
      <c r="D5" s="153"/>
      <c r="E5" s="153"/>
      <c r="F5" s="153"/>
      <c r="G5" s="153"/>
      <c r="H5" s="153"/>
    </row>
    <row r="6" spans="1:8" ht="16.5" thickBot="1">
      <c r="A6" s="1091"/>
      <c r="B6" s="1084"/>
      <c r="C6" s="1062" t="s">
        <v>1682</v>
      </c>
      <c r="D6" s="2492" t="s">
        <v>766</v>
      </c>
      <c r="E6" s="2492"/>
      <c r="F6" s="153"/>
      <c r="G6" s="153"/>
      <c r="H6" s="153"/>
    </row>
    <row r="7" spans="1:8" ht="13.5" thickTop="1">
      <c r="A7" s="474" t="s">
        <v>891</v>
      </c>
      <c r="B7" s="1033">
        <f>'{b}Capacity'!H18</f>
        <v>99.98916894074883</v>
      </c>
      <c r="C7" s="433" t="s">
        <v>1090</v>
      </c>
      <c r="D7" s="687">
        <f>B7/1440*1000000</f>
        <v>69436.92287552002</v>
      </c>
      <c r="E7" s="433" t="s">
        <v>100</v>
      </c>
      <c r="F7" s="153"/>
      <c r="G7" s="153"/>
      <c r="H7" s="153"/>
    </row>
    <row r="8" spans="1:8" ht="12.75">
      <c r="A8" s="153"/>
      <c r="B8" s="153"/>
      <c r="C8" s="153"/>
      <c r="D8" s="153"/>
      <c r="E8" s="153"/>
      <c r="F8" s="153"/>
      <c r="G8" s="153"/>
      <c r="H8" s="121"/>
    </row>
    <row r="9" spans="1:8" ht="13.5" thickBot="1">
      <c r="A9" s="153"/>
      <c r="B9" s="153"/>
      <c r="C9" s="153"/>
      <c r="D9" s="153"/>
      <c r="E9" s="153"/>
      <c r="F9" s="156"/>
      <c r="G9" s="153"/>
      <c r="H9" s="121"/>
    </row>
    <row r="10" spans="1:8" ht="13.5" thickBot="1">
      <c r="A10" s="777" t="s">
        <v>1488</v>
      </c>
      <c r="B10" s="781" t="s">
        <v>132</v>
      </c>
      <c r="C10" s="1182">
        <f>C25*B7^D25*(1000000*B7)</f>
        <v>50374731.79508908</v>
      </c>
      <c r="D10" s="153"/>
      <c r="E10" s="153"/>
      <c r="F10" s="156"/>
      <c r="G10" s="156"/>
      <c r="H10" s="121"/>
    </row>
    <row r="11" spans="1:8" ht="13.5" thickTop="1">
      <c r="A11" s="1134" t="s">
        <v>1072</v>
      </c>
      <c r="B11" s="1709">
        <v>1</v>
      </c>
      <c r="C11" s="1199">
        <f>B11*C10*ENR_CCI/6334</f>
        <v>62915208.7199098</v>
      </c>
      <c r="D11" s="156"/>
      <c r="E11" s="153"/>
      <c r="F11" s="153"/>
      <c r="G11" s="153"/>
      <c r="H11" s="153"/>
    </row>
    <row r="12" spans="1:8" ht="12.75">
      <c r="A12" s="1045" t="s">
        <v>1063</v>
      </c>
      <c r="B12" s="1710">
        <v>0</v>
      </c>
      <c r="C12" s="1200">
        <f>C10*B12*ENR_BCI/3574</f>
        <v>0</v>
      </c>
      <c r="D12" s="156"/>
      <c r="E12" s="153"/>
      <c r="F12" s="153"/>
      <c r="G12" s="153"/>
      <c r="H12" s="153"/>
    </row>
    <row r="13" spans="1:8" ht="12.75">
      <c r="A13" s="1137" t="s">
        <v>1064</v>
      </c>
      <c r="B13" s="1710">
        <v>0</v>
      </c>
      <c r="C13" s="1200">
        <f>C10*B13*ENR_SLI/6067</f>
        <v>0</v>
      </c>
      <c r="D13" s="156"/>
      <c r="E13" s="153"/>
      <c r="F13" s="153"/>
      <c r="G13" s="153"/>
      <c r="H13" s="153"/>
    </row>
    <row r="14" spans="1:8" ht="12.75">
      <c r="A14" s="1045" t="s">
        <v>1073</v>
      </c>
      <c r="B14" s="1710">
        <v>0</v>
      </c>
      <c r="C14" s="1200">
        <f>C10*B14*ENR_MI/2056</f>
        <v>0</v>
      </c>
      <c r="D14" s="156"/>
      <c r="E14" s="153"/>
      <c r="F14" s="153"/>
      <c r="G14" s="153"/>
      <c r="H14" s="153"/>
    </row>
    <row r="15" spans="1:8" ht="13.5" thickBot="1">
      <c r="A15" s="758" t="str">
        <f>TEXT(IndexDate,"mmmm, yyyy")&amp;" Capital Cost $:"</f>
        <v>November, 2006 Capital Cost $:</v>
      </c>
      <c r="B15" s="782"/>
      <c r="C15" s="1203">
        <f>SUM(C11:C14)</f>
        <v>62915208.7199098</v>
      </c>
      <c r="D15" s="153"/>
      <c r="E15" s="153"/>
      <c r="F15" s="153"/>
      <c r="G15" s="153"/>
      <c r="H15" s="153"/>
    </row>
    <row r="16" spans="1:8" ht="13.5" thickBot="1">
      <c r="A16" s="158"/>
      <c r="B16" s="153"/>
      <c r="C16" s="153"/>
      <c r="D16" s="170"/>
      <c r="E16" s="153"/>
      <c r="F16" s="153"/>
      <c r="G16" s="153"/>
      <c r="H16" s="153"/>
    </row>
    <row r="17" spans="1:8" ht="15" thickBot="1">
      <c r="A17" s="778" t="s">
        <v>812</v>
      </c>
      <c r="B17" s="2470" t="s">
        <v>813</v>
      </c>
      <c r="C17" s="1182">
        <f>C29*B7^D29*B7*1000000/1000*365</f>
        <v>3083396.4274733528</v>
      </c>
      <c r="D17" s="123"/>
      <c r="E17" s="1234"/>
      <c r="F17" s="123"/>
      <c r="G17" s="1234"/>
      <c r="H17" s="153"/>
    </row>
    <row r="18" spans="1:8" ht="13.5" thickTop="1">
      <c r="A18" s="1134" t="s">
        <v>1495</v>
      </c>
      <c r="B18" s="1135">
        <v>0.13</v>
      </c>
      <c r="C18" s="1241">
        <f>C17*B18*'{d}Cost Index'!B17/2056</f>
        <v>514167.0021968601</v>
      </c>
      <c r="D18" s="123"/>
      <c r="E18" s="1234"/>
      <c r="F18" s="123"/>
      <c r="G18" s="1234"/>
      <c r="H18" s="123"/>
    </row>
    <row r="19" spans="1:8" ht="12.75">
      <c r="A19" s="1045" t="s">
        <v>1494</v>
      </c>
      <c r="B19" s="1136">
        <v>0.12</v>
      </c>
      <c r="C19" s="1242">
        <f>C$17*B19*Power/0.072</f>
        <v>359729.58320522454</v>
      </c>
      <c r="D19" s="123"/>
      <c r="E19" s="1234"/>
      <c r="F19" s="123"/>
      <c r="G19" s="1234"/>
      <c r="H19" s="123"/>
    </row>
    <row r="20" spans="1:8" ht="13.5" thickBot="1">
      <c r="A20" s="1138" t="s">
        <v>210</v>
      </c>
      <c r="B20" s="1139">
        <v>0.75</v>
      </c>
      <c r="C20" s="1243">
        <f>C17*B20*ENR_SLI/6067</f>
        <v>2839634.297014941</v>
      </c>
      <c r="D20" s="123"/>
      <c r="E20" s="1234"/>
      <c r="F20" s="123"/>
      <c r="G20" s="1234"/>
      <c r="H20" s="123"/>
    </row>
    <row r="21" spans="1:8" ht="13.5" thickBot="1">
      <c r="A21" s="127" t="str">
        <f>TEXT(IndexDate,"mmmm, yyyy")&amp;"  Operation &amp; Maintenance $:"</f>
        <v>November, 2006  Operation &amp; Maintenance $:</v>
      </c>
      <c r="B21" s="313"/>
      <c r="C21" s="1313">
        <f>SUM(C18:C20)</f>
        <v>3713530.8824170255</v>
      </c>
      <c r="D21" s="123"/>
      <c r="E21" s="1234"/>
      <c r="F21" s="123"/>
      <c r="G21" s="1234"/>
      <c r="H21" s="153"/>
    </row>
    <row r="22" spans="1:8" ht="13.5" thickBot="1">
      <c r="A22" s="153"/>
      <c r="B22" s="153"/>
      <c r="C22" s="153"/>
      <c r="D22" s="153"/>
      <c r="E22" s="153"/>
      <c r="F22" s="153"/>
      <c r="G22" s="153"/>
      <c r="H22" s="153"/>
    </row>
    <row r="23" spans="1:8" ht="14.25">
      <c r="A23" s="1740" t="s">
        <v>809</v>
      </c>
      <c r="B23" s="1741"/>
      <c r="C23" s="1741"/>
      <c r="D23" s="1742"/>
      <c r="E23" s="153"/>
      <c r="F23" s="153"/>
      <c r="G23" s="153"/>
      <c r="H23" s="153"/>
    </row>
    <row r="24" spans="1:8" ht="12.75">
      <c r="A24" s="163" t="s">
        <v>1487</v>
      </c>
      <c r="B24" s="153"/>
      <c r="C24" s="441" t="s">
        <v>527</v>
      </c>
      <c r="D24" s="839" t="s">
        <v>528</v>
      </c>
      <c r="E24" s="153"/>
      <c r="F24" s="153"/>
      <c r="G24" s="153"/>
      <c r="H24" s="153"/>
    </row>
    <row r="25" spans="1:8" ht="12.75">
      <c r="A25" s="163"/>
      <c r="B25" s="153"/>
      <c r="C25" s="153">
        <v>2.4914</v>
      </c>
      <c r="D25" s="164">
        <v>-0.3471</v>
      </c>
      <c r="E25" s="153"/>
      <c r="F25" s="153"/>
      <c r="G25" s="153"/>
      <c r="H25" s="153"/>
    </row>
    <row r="26" spans="1:8" ht="12.75">
      <c r="A26" s="869"/>
      <c r="B26" s="843"/>
      <c r="C26" s="843"/>
      <c r="D26" s="870"/>
      <c r="E26" s="153"/>
      <c r="F26" s="153"/>
      <c r="G26" s="153"/>
      <c r="H26" s="153"/>
    </row>
    <row r="27" spans="1:8" ht="14.25">
      <c r="A27" s="1743" t="s">
        <v>810</v>
      </c>
      <c r="B27" s="1744"/>
      <c r="C27" s="1744"/>
      <c r="D27" s="1745"/>
      <c r="E27" s="153"/>
      <c r="F27" s="153"/>
      <c r="G27" s="153"/>
      <c r="H27" s="153"/>
    </row>
    <row r="28" spans="1:8" ht="12.75">
      <c r="A28" s="163" t="s">
        <v>1487</v>
      </c>
      <c r="B28" s="153"/>
      <c r="C28" s="441" t="s">
        <v>527</v>
      </c>
      <c r="D28" s="839" t="s">
        <v>528</v>
      </c>
      <c r="E28" s="153"/>
      <c r="F28" s="156"/>
      <c r="G28" s="153"/>
      <c r="H28" s="153"/>
    </row>
    <row r="29" spans="1:8" ht="13.5" thickBot="1">
      <c r="A29" s="165"/>
      <c r="B29" s="166"/>
      <c r="C29" s="166">
        <v>1.0451</v>
      </c>
      <c r="D29" s="167">
        <v>-0.5462</v>
      </c>
      <c r="E29" s="153"/>
      <c r="F29" s="156"/>
      <c r="G29" s="153"/>
      <c r="H29" s="153"/>
    </row>
    <row r="31" ht="12.75">
      <c r="A31" t="s">
        <v>815</v>
      </c>
    </row>
    <row r="32" ht="12.75">
      <c r="A32" t="s">
        <v>814</v>
      </c>
    </row>
    <row r="34" ht="15.75">
      <c r="A34" s="2469" t="s">
        <v>811</v>
      </c>
    </row>
    <row r="35" ht="12.75">
      <c r="A35" s="123" t="s">
        <v>1486</v>
      </c>
    </row>
  </sheetData>
  <mergeCells count="1">
    <mergeCell ref="D6:E6"/>
  </mergeCells>
  <printOptions/>
  <pageMargins left="0.75" right="0.75" top="1"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codeName="Sheet27">
    <pageSetUpPr fitToPage="1"/>
  </sheetPr>
  <dimension ref="A1:L73"/>
  <sheetViews>
    <sheetView workbookViewId="0" topLeftCell="A14">
      <pane ySplit="750" topLeftCell="BM16" activePane="bottomLeft" state="split"/>
      <selection pane="topLeft" activeCell="A14" sqref="A14"/>
      <selection pane="bottomLeft" activeCell="H32" sqref="H32"/>
    </sheetView>
  </sheetViews>
  <sheetFormatPr defaultColWidth="9.140625" defaultRowHeight="12.75"/>
  <cols>
    <col min="1" max="1" width="28.57421875" style="159" customWidth="1"/>
    <col min="2" max="2" width="14.421875" style="159" customWidth="1"/>
    <col min="3" max="3" width="14.00390625" style="298" customWidth="1"/>
    <col min="4" max="4" width="13.00390625" style="159" customWidth="1"/>
    <col min="5" max="5" width="12.28125" style="159" customWidth="1"/>
    <col min="6" max="6" width="12.7109375" style="159" customWidth="1"/>
    <col min="7" max="7" width="12.8515625" style="159" customWidth="1"/>
    <col min="8" max="8" width="12.57421875" style="0" customWidth="1"/>
    <col min="9" max="9" width="12.421875" style="0" customWidth="1"/>
    <col min="10" max="16384" width="9.140625" style="159"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6" spans="1:12" ht="26.25" thickBot="1">
      <c r="A6" s="946"/>
      <c r="B6" s="947" t="s">
        <v>1375</v>
      </c>
      <c r="C6" s="947" t="s">
        <v>1376</v>
      </c>
      <c r="D6" s="947" t="s">
        <v>1377</v>
      </c>
      <c r="E6" s="947" t="s">
        <v>1378</v>
      </c>
      <c r="F6" s="947" t="s">
        <v>802</v>
      </c>
      <c r="G6" s="947" t="s">
        <v>1379</v>
      </c>
      <c r="H6" s="2472" t="s">
        <v>968</v>
      </c>
      <c r="I6" s="2472" t="s">
        <v>969</v>
      </c>
      <c r="J6" s="2472" t="s">
        <v>970</v>
      </c>
      <c r="K6" s="2472" t="s">
        <v>971</v>
      </c>
      <c r="L6" s="2472" t="s">
        <v>972</v>
      </c>
    </row>
    <row r="7" spans="1:12" ht="13.5" thickTop="1">
      <c r="A7" s="943" t="s">
        <v>1691</v>
      </c>
      <c r="B7" s="944"/>
      <c r="C7" s="945">
        <v>0.35</v>
      </c>
      <c r="D7" s="945"/>
      <c r="E7" s="945"/>
      <c r="F7" s="945">
        <v>0.01</v>
      </c>
      <c r="G7" s="943"/>
      <c r="H7" s="1828"/>
      <c r="I7" s="1828"/>
      <c r="J7" s="1828"/>
      <c r="K7" s="1828"/>
      <c r="L7" s="1828"/>
    </row>
    <row r="8" spans="1:12" ht="12.75">
      <c r="A8" s="205" t="s">
        <v>1693</v>
      </c>
      <c r="B8" s="350"/>
      <c r="C8" s="346"/>
      <c r="D8" s="346"/>
      <c r="E8" s="346"/>
      <c r="F8" s="347">
        <v>0.00033</v>
      </c>
      <c r="G8" s="205"/>
      <c r="H8" s="1829"/>
      <c r="I8" s="1829"/>
      <c r="J8" s="1829"/>
      <c r="K8" s="1829"/>
      <c r="L8" s="1829"/>
    </row>
    <row r="9" spans="1:12" ht="12.75">
      <c r="A9" s="205" t="s">
        <v>1694</v>
      </c>
      <c r="B9" s="350"/>
      <c r="C9" s="346"/>
      <c r="D9" s="346"/>
      <c r="E9" s="346"/>
      <c r="F9" s="347"/>
      <c r="G9" s="205"/>
      <c r="H9" s="1829">
        <v>0.0029</v>
      </c>
      <c r="I9" s="1829">
        <v>0.0025</v>
      </c>
      <c r="J9" s="1829">
        <v>0.003</v>
      </c>
      <c r="K9" s="1829"/>
      <c r="L9" s="1829"/>
    </row>
    <row r="10" spans="1:12" ht="12.75">
      <c r="A10" s="205" t="s">
        <v>1695</v>
      </c>
      <c r="B10" s="350">
        <v>0.05</v>
      </c>
      <c r="C10" s="346">
        <v>0.0983</v>
      </c>
      <c r="D10" s="346"/>
      <c r="E10" s="346"/>
      <c r="F10" s="346">
        <v>0.03</v>
      </c>
      <c r="G10" s="205">
        <v>0.11</v>
      </c>
      <c r="H10" s="1829"/>
      <c r="I10" s="1829"/>
      <c r="J10" s="1829"/>
      <c r="K10" s="1829"/>
      <c r="L10" s="1829"/>
    </row>
    <row r="11" spans="1:12" ht="12.75">
      <c r="A11" s="205" t="s">
        <v>1696</v>
      </c>
      <c r="B11" s="350"/>
      <c r="C11" s="346"/>
      <c r="D11" s="346"/>
      <c r="E11" s="346"/>
      <c r="F11" s="347">
        <v>6E-07</v>
      </c>
      <c r="G11" s="205">
        <v>0.0005</v>
      </c>
      <c r="H11" s="1829"/>
      <c r="I11" s="1829"/>
      <c r="J11" s="1829"/>
      <c r="K11" s="1829"/>
      <c r="L11" s="1829"/>
    </row>
    <row r="12" spans="1:12" ht="12.75">
      <c r="A12" s="205" t="s">
        <v>880</v>
      </c>
      <c r="B12" s="350"/>
      <c r="C12" s="346"/>
      <c r="D12" s="346"/>
      <c r="E12" s="346"/>
      <c r="F12" s="347"/>
      <c r="G12" s="205"/>
      <c r="H12" s="1829">
        <v>0.223</v>
      </c>
      <c r="I12" s="1829">
        <v>0.13</v>
      </c>
      <c r="J12" s="1829">
        <v>0.603</v>
      </c>
      <c r="K12" s="1829">
        <v>0.28</v>
      </c>
      <c r="L12" s="1829">
        <v>0.1375</v>
      </c>
    </row>
    <row r="13" spans="1:12" ht="12.75">
      <c r="A13" s="205" t="s">
        <v>1697</v>
      </c>
      <c r="B13" s="350">
        <v>0.001</v>
      </c>
      <c r="C13" s="346"/>
      <c r="D13" s="346"/>
      <c r="E13" s="346"/>
      <c r="F13" s="347">
        <v>0.00011</v>
      </c>
      <c r="G13" s="205"/>
      <c r="H13" s="1829"/>
      <c r="I13" s="1829"/>
      <c r="J13" s="1829"/>
      <c r="K13" s="1829"/>
      <c r="L13" s="1829"/>
    </row>
    <row r="14" spans="1:12" ht="12.75">
      <c r="A14" s="205" t="s">
        <v>1698</v>
      </c>
      <c r="B14" s="350">
        <v>100</v>
      </c>
      <c r="C14" s="346">
        <v>182</v>
      </c>
      <c r="D14" s="346">
        <v>110</v>
      </c>
      <c r="E14" s="346">
        <v>637</v>
      </c>
      <c r="F14" s="346">
        <v>406</v>
      </c>
      <c r="G14" s="205">
        <v>22.2</v>
      </c>
      <c r="H14" s="1829">
        <v>64</v>
      </c>
      <c r="I14" s="1829">
        <v>1.1</v>
      </c>
      <c r="J14" s="1829">
        <v>238</v>
      </c>
      <c r="K14" s="1829">
        <v>47</v>
      </c>
      <c r="L14" s="1829">
        <v>69.5</v>
      </c>
    </row>
    <row r="15" spans="1:12" ht="12.75">
      <c r="A15" s="205" t="s">
        <v>803</v>
      </c>
      <c r="B15" s="350">
        <v>0.01</v>
      </c>
      <c r="C15" s="346">
        <v>0.023</v>
      </c>
      <c r="D15" s="346"/>
      <c r="E15" s="346"/>
      <c r="F15" s="347">
        <v>5E-05</v>
      </c>
      <c r="G15" s="205"/>
      <c r="H15" s="1829"/>
      <c r="I15" s="1829"/>
      <c r="J15" s="1829"/>
      <c r="K15" s="1829"/>
      <c r="L15" s="1829"/>
    </row>
    <row r="16" spans="1:12" ht="12.75">
      <c r="A16" s="205" t="s">
        <v>1701</v>
      </c>
      <c r="B16" s="350">
        <v>0.05</v>
      </c>
      <c r="C16" s="346">
        <v>0.09</v>
      </c>
      <c r="D16" s="346"/>
      <c r="E16" s="346"/>
      <c r="F16" s="347">
        <v>0.003</v>
      </c>
      <c r="G16" s="205"/>
      <c r="H16" s="1829"/>
      <c r="I16" s="1829"/>
      <c r="J16" s="1829"/>
      <c r="K16" s="1829"/>
      <c r="L16" s="1829"/>
    </row>
    <row r="17" spans="1:12" ht="12.75">
      <c r="A17" s="205" t="s">
        <v>1702</v>
      </c>
      <c r="B17" s="350">
        <v>0.05</v>
      </c>
      <c r="C17" s="346">
        <v>0.019</v>
      </c>
      <c r="D17" s="346"/>
      <c r="E17" s="346"/>
      <c r="F17" s="346">
        <v>0.01</v>
      </c>
      <c r="G17" s="205"/>
      <c r="H17" s="1829"/>
      <c r="I17" s="1829"/>
      <c r="J17" s="1829"/>
      <c r="K17" s="1829"/>
      <c r="L17" s="1829"/>
    </row>
    <row r="18" spans="1:12" ht="12.75">
      <c r="A18" s="205" t="s">
        <v>1703</v>
      </c>
      <c r="B18" s="350">
        <v>0.005</v>
      </c>
      <c r="C18" s="346">
        <v>0.006</v>
      </c>
      <c r="D18" s="346"/>
      <c r="E18" s="346"/>
      <c r="F18" s="347">
        <v>3E-05</v>
      </c>
      <c r="G18" s="205"/>
      <c r="H18" s="1829"/>
      <c r="I18" s="1829"/>
      <c r="J18" s="1829"/>
      <c r="K18" s="1829"/>
      <c r="L18" s="1829"/>
    </row>
    <row r="19" spans="1:12" ht="12.75">
      <c r="A19" s="205" t="s">
        <v>1704</v>
      </c>
      <c r="B19" s="350">
        <v>35</v>
      </c>
      <c r="C19" s="346">
        <v>85</v>
      </c>
      <c r="D19" s="346">
        <v>80</v>
      </c>
      <c r="E19" s="346">
        <v>283</v>
      </c>
      <c r="F19" s="347">
        <v>1290</v>
      </c>
      <c r="G19" s="205">
        <v>7.3</v>
      </c>
      <c r="H19" s="1829">
        <v>24</v>
      </c>
      <c r="I19" s="1829"/>
      <c r="J19" s="1829">
        <v>87</v>
      </c>
      <c r="K19" s="1829">
        <v>11</v>
      </c>
      <c r="L19" s="1829">
        <v>41</v>
      </c>
    </row>
    <row r="20" spans="1:12" ht="12.75">
      <c r="A20" s="205" t="s">
        <v>1705</v>
      </c>
      <c r="B20" s="350">
        <v>0.55</v>
      </c>
      <c r="C20" s="346">
        <v>0.0811</v>
      </c>
      <c r="D20" s="346"/>
      <c r="E20" s="346"/>
      <c r="F20" s="347">
        <v>0.002</v>
      </c>
      <c r="G20" s="205">
        <v>0.03</v>
      </c>
      <c r="H20" s="1829">
        <v>0.0285</v>
      </c>
      <c r="I20" s="1829"/>
      <c r="J20" s="1829">
        <v>0.06</v>
      </c>
      <c r="K20" s="1829"/>
      <c r="L20" s="1829"/>
    </row>
    <row r="21" spans="1:12" ht="12.75">
      <c r="A21" s="205" t="s">
        <v>1706</v>
      </c>
      <c r="B21" s="350"/>
      <c r="C21" s="346"/>
      <c r="D21" s="346"/>
      <c r="E21" s="346"/>
      <c r="F21" s="347">
        <v>3E-05</v>
      </c>
      <c r="G21" s="205"/>
      <c r="H21" s="1829"/>
      <c r="I21" s="1829"/>
      <c r="J21" s="1829"/>
      <c r="K21" s="1829"/>
      <c r="L21" s="1829"/>
    </row>
    <row r="22" spans="1:12" ht="12.75">
      <c r="A22" s="205" t="s">
        <v>1707</v>
      </c>
      <c r="B22" s="350"/>
      <c r="C22" s="346"/>
      <c r="D22" s="346"/>
      <c r="E22" s="346"/>
      <c r="F22" s="347">
        <v>0.0054</v>
      </c>
      <c r="G22" s="205">
        <v>0.004</v>
      </c>
      <c r="H22" s="1829"/>
      <c r="I22" s="1829"/>
      <c r="J22" s="1829"/>
      <c r="K22" s="1829"/>
      <c r="L22" s="1829"/>
    </row>
    <row r="23" spans="1:12" ht="12.75">
      <c r="A23" s="205" t="s">
        <v>1711</v>
      </c>
      <c r="B23" s="350">
        <v>1.8</v>
      </c>
      <c r="C23" s="346">
        <v>4.78</v>
      </c>
      <c r="D23" s="346">
        <v>10</v>
      </c>
      <c r="E23" s="346">
        <v>131</v>
      </c>
      <c r="F23" s="346">
        <v>385</v>
      </c>
      <c r="G23" s="205">
        <v>2</v>
      </c>
      <c r="H23" s="1829">
        <v>14.3</v>
      </c>
      <c r="I23" s="1829">
        <v>1.3</v>
      </c>
      <c r="J23" s="1829">
        <v>49.3</v>
      </c>
      <c r="K23" s="1829">
        <v>12</v>
      </c>
      <c r="L23" s="1829">
        <v>9.5</v>
      </c>
    </row>
    <row r="24" spans="1:12" ht="12.75">
      <c r="A24" s="205" t="s">
        <v>1710</v>
      </c>
      <c r="B24" s="350">
        <v>0.005</v>
      </c>
      <c r="C24" s="346"/>
      <c r="D24" s="346"/>
      <c r="E24" s="346"/>
      <c r="F24" s="347">
        <v>9E-05</v>
      </c>
      <c r="G24" s="205">
        <v>0.005</v>
      </c>
      <c r="H24" s="1829"/>
      <c r="I24" s="1829"/>
      <c r="J24" s="1829"/>
      <c r="K24" s="1829"/>
      <c r="L24" s="1829"/>
    </row>
    <row r="25" spans="1:12" ht="12.75">
      <c r="A25" s="205" t="s">
        <v>1712</v>
      </c>
      <c r="B25" s="350">
        <v>0.005</v>
      </c>
      <c r="C25" s="346"/>
      <c r="D25" s="346"/>
      <c r="E25" s="346"/>
      <c r="F25" s="347">
        <v>0.0003</v>
      </c>
      <c r="G25" s="205"/>
      <c r="H25" s="1829"/>
      <c r="I25" s="1829"/>
      <c r="J25" s="1829"/>
      <c r="K25" s="1829"/>
      <c r="L25" s="1829"/>
    </row>
    <row r="26" spans="1:12" ht="12.75">
      <c r="A26" s="205" t="s">
        <v>1713</v>
      </c>
      <c r="B26" s="350">
        <v>110.9</v>
      </c>
      <c r="C26" s="346">
        <v>175.8</v>
      </c>
      <c r="D26" s="346">
        <v>815</v>
      </c>
      <c r="E26" s="346">
        <v>3284</v>
      </c>
      <c r="F26" s="348">
        <v>10741</v>
      </c>
      <c r="G26" s="205">
        <v>25</v>
      </c>
      <c r="H26" s="1829">
        <v>62.5</v>
      </c>
      <c r="I26" s="1829">
        <v>3.15</v>
      </c>
      <c r="J26" s="1829">
        <v>200</v>
      </c>
      <c r="K26" s="1829">
        <v>59</v>
      </c>
      <c r="L26" s="1829">
        <v>74</v>
      </c>
    </row>
    <row r="27" spans="1:12" ht="12.75">
      <c r="A27" s="205" t="s">
        <v>1709</v>
      </c>
      <c r="B27" s="350">
        <v>1.3</v>
      </c>
      <c r="C27" s="346">
        <v>2.71</v>
      </c>
      <c r="D27" s="346">
        <v>5</v>
      </c>
      <c r="E27" s="346">
        <v>15</v>
      </c>
      <c r="F27" s="346">
        <v>14</v>
      </c>
      <c r="G27" s="205">
        <v>0.61</v>
      </c>
      <c r="H27" s="1829">
        <v>0.26</v>
      </c>
      <c r="I27" s="1829"/>
      <c r="J27" s="1829">
        <v>0.825</v>
      </c>
      <c r="K27" s="1829"/>
      <c r="L27" s="1829"/>
    </row>
    <row r="28" spans="1:12" ht="13.5" thickBot="1">
      <c r="A28" s="205" t="s">
        <v>1708</v>
      </c>
      <c r="B28" s="350">
        <v>0.05</v>
      </c>
      <c r="C28" s="346"/>
      <c r="D28" s="346"/>
      <c r="E28" s="346"/>
      <c r="F28" s="346">
        <v>0.01</v>
      </c>
      <c r="G28" s="205">
        <v>0.02</v>
      </c>
      <c r="H28" s="1830">
        <v>0.0593</v>
      </c>
      <c r="I28" s="1830"/>
      <c r="J28" s="1830">
        <v>0.151</v>
      </c>
      <c r="K28" s="1830"/>
      <c r="L28" s="1830"/>
    </row>
    <row r="29" spans="1:12" ht="12.75">
      <c r="A29" s="205" t="s">
        <v>1714</v>
      </c>
      <c r="B29" s="350">
        <v>232</v>
      </c>
      <c r="C29" s="349">
        <v>189</v>
      </c>
      <c r="D29" s="349">
        <v>125</v>
      </c>
      <c r="E29" s="349">
        <v>163</v>
      </c>
      <c r="F29" s="349">
        <v>144</v>
      </c>
      <c r="G29" s="205">
        <v>25</v>
      </c>
      <c r="H29" s="1793">
        <v>345</v>
      </c>
      <c r="I29" s="1793">
        <v>11.6</v>
      </c>
      <c r="J29" s="1793">
        <v>945</v>
      </c>
      <c r="K29" s="1793">
        <v>180</v>
      </c>
      <c r="L29" s="1793">
        <v>530</v>
      </c>
    </row>
    <row r="30" spans="1:12" ht="12.75">
      <c r="A30" s="205" t="s">
        <v>1715</v>
      </c>
      <c r="B30" s="350">
        <v>0</v>
      </c>
      <c r="C30" s="346"/>
      <c r="D30" s="346"/>
      <c r="E30" s="346"/>
      <c r="F30" s="346">
        <v>0.5</v>
      </c>
      <c r="G30" s="205"/>
      <c r="H30" s="217"/>
      <c r="I30" s="217">
        <v>16.6</v>
      </c>
      <c r="J30" s="217"/>
      <c r="K30" s="217"/>
      <c r="L30" s="217"/>
    </row>
    <row r="31" spans="1:12" ht="12.75">
      <c r="A31" s="205" t="s">
        <v>1716</v>
      </c>
      <c r="B31" s="350">
        <v>10.1</v>
      </c>
      <c r="C31" s="346">
        <v>13</v>
      </c>
      <c r="D31" s="346">
        <v>13.7</v>
      </c>
      <c r="E31" s="346">
        <v>44.8</v>
      </c>
      <c r="F31" s="347">
        <v>2.5</v>
      </c>
      <c r="G31" s="205">
        <v>2.7</v>
      </c>
      <c r="H31" s="217"/>
      <c r="I31" s="217"/>
      <c r="J31" s="217"/>
      <c r="K31" s="217"/>
      <c r="L31" s="217"/>
    </row>
    <row r="32" spans="1:12" ht="12.75">
      <c r="A32" s="205" t="s">
        <v>1717</v>
      </c>
      <c r="B32" s="350">
        <v>95</v>
      </c>
      <c r="C32" s="346">
        <v>560</v>
      </c>
      <c r="D32" s="346">
        <v>811</v>
      </c>
      <c r="E32" s="346">
        <v>6545</v>
      </c>
      <c r="F32" s="346">
        <v>19333</v>
      </c>
      <c r="G32" s="205">
        <v>71.7</v>
      </c>
      <c r="H32" s="217">
        <v>55</v>
      </c>
      <c r="I32" s="217">
        <v>5.3</v>
      </c>
      <c r="J32" s="217">
        <v>198</v>
      </c>
      <c r="K32" s="217">
        <v>45</v>
      </c>
      <c r="L32" s="217">
        <v>60</v>
      </c>
    </row>
    <row r="33" spans="1:12" ht="12.75">
      <c r="A33" s="205" t="s">
        <v>804</v>
      </c>
      <c r="B33" s="350"/>
      <c r="C33" s="346"/>
      <c r="D33" s="346"/>
      <c r="E33" s="346"/>
      <c r="F33" s="346"/>
      <c r="G33" s="205"/>
      <c r="H33" s="217"/>
      <c r="I33" s="217"/>
      <c r="J33" s="217"/>
      <c r="K33" s="217"/>
      <c r="L33" s="217"/>
    </row>
    <row r="34" spans="1:12" ht="12.75">
      <c r="A34" s="205" t="s">
        <v>805</v>
      </c>
      <c r="B34" s="350">
        <v>0.64</v>
      </c>
      <c r="C34" s="346">
        <v>0.31</v>
      </c>
      <c r="D34" s="346">
        <v>1</v>
      </c>
      <c r="E34" s="346">
        <v>1</v>
      </c>
      <c r="F34" s="346">
        <v>1.3</v>
      </c>
      <c r="G34" s="205">
        <v>0.5</v>
      </c>
      <c r="H34" s="217">
        <v>0.3</v>
      </c>
      <c r="I34" s="217"/>
      <c r="J34" s="217">
        <v>0.95</v>
      </c>
      <c r="K34" s="217">
        <v>0.3</v>
      </c>
      <c r="L34" s="217">
        <v>0.8</v>
      </c>
    </row>
    <row r="35" spans="1:12" ht="12.75">
      <c r="A35" s="205" t="s">
        <v>1721</v>
      </c>
      <c r="B35" s="350">
        <v>1</v>
      </c>
      <c r="C35" s="346">
        <v>10.7</v>
      </c>
      <c r="D35" s="346"/>
      <c r="E35" s="346"/>
      <c r="F35" s="346">
        <v>0.5</v>
      </c>
      <c r="G35" s="205"/>
      <c r="H35" s="217">
        <v>12.5</v>
      </c>
      <c r="I35" s="217"/>
      <c r="J35" s="217">
        <v>56.1</v>
      </c>
      <c r="K35" s="217">
        <v>7.5</v>
      </c>
      <c r="L35" s="217"/>
    </row>
    <row r="36" spans="1:12" ht="12.75">
      <c r="A36" s="205" t="s">
        <v>1724</v>
      </c>
      <c r="B36" s="350"/>
      <c r="C36" s="346">
        <v>0.37</v>
      </c>
      <c r="D36" s="346"/>
      <c r="E36" s="346"/>
      <c r="F36" s="346">
        <v>0.07</v>
      </c>
      <c r="G36" s="205">
        <v>0.04</v>
      </c>
      <c r="H36" s="217">
        <v>3.7</v>
      </c>
      <c r="I36" s="217">
        <v>1.22</v>
      </c>
      <c r="J36" s="217">
        <v>20</v>
      </c>
      <c r="K36" s="217">
        <f>14-K35</f>
        <v>6.5</v>
      </c>
      <c r="L36" s="217"/>
    </row>
    <row r="37" spans="1:12" ht="13.5" thickBot="1">
      <c r="A37" s="205" t="s">
        <v>1726</v>
      </c>
      <c r="B37" s="350">
        <v>300</v>
      </c>
      <c r="C37" s="346">
        <v>231</v>
      </c>
      <c r="D37" s="346">
        <v>1100</v>
      </c>
      <c r="E37" s="346">
        <v>680</v>
      </c>
      <c r="F37" s="346">
        <v>2688</v>
      </c>
      <c r="G37" s="205">
        <v>20</v>
      </c>
      <c r="H37" s="388">
        <v>39.5</v>
      </c>
      <c r="I37" s="388"/>
      <c r="J37" s="388">
        <v>268</v>
      </c>
      <c r="K37" s="388">
        <v>14</v>
      </c>
      <c r="L37" s="388">
        <v>79</v>
      </c>
    </row>
    <row r="38" spans="1:12" ht="12.75">
      <c r="A38" s="205" t="s">
        <v>1038</v>
      </c>
      <c r="B38" s="350">
        <v>17</v>
      </c>
      <c r="C38" s="346">
        <v>11.9</v>
      </c>
      <c r="D38" s="346">
        <v>12</v>
      </c>
      <c r="E38" s="346">
        <v>18</v>
      </c>
      <c r="F38" s="346"/>
      <c r="G38" s="205">
        <v>10</v>
      </c>
      <c r="H38" s="1778">
        <v>27</v>
      </c>
      <c r="I38" s="1778"/>
      <c r="J38" s="1778">
        <v>81</v>
      </c>
      <c r="K38" s="1778"/>
      <c r="L38" s="1778">
        <v>60</v>
      </c>
    </row>
    <row r="39" spans="1:12" ht="12.75">
      <c r="A39" s="205" t="s">
        <v>1722</v>
      </c>
      <c r="B39" s="350">
        <v>7.62</v>
      </c>
      <c r="C39" s="346">
        <v>7.39</v>
      </c>
      <c r="D39" s="346">
        <v>7.2</v>
      </c>
      <c r="E39" s="346">
        <v>6.8</v>
      </c>
      <c r="F39" s="346">
        <v>8</v>
      </c>
      <c r="G39" s="205">
        <v>7.2</v>
      </c>
      <c r="H39" s="217">
        <v>7.5</v>
      </c>
      <c r="I39" s="217">
        <v>6.8</v>
      </c>
      <c r="J39" s="217">
        <v>7.4</v>
      </c>
      <c r="K39" s="217">
        <v>7.8</v>
      </c>
      <c r="L39" s="217">
        <v>7.2</v>
      </c>
    </row>
    <row r="40" spans="1:12" ht="12.75">
      <c r="A40" s="205" t="s">
        <v>1417</v>
      </c>
      <c r="B40" s="350"/>
      <c r="C40" s="346"/>
      <c r="D40" s="346"/>
      <c r="E40" s="346"/>
      <c r="F40" s="346"/>
      <c r="G40" s="205"/>
      <c r="H40" s="217">
        <f>14-H39</f>
        <v>6.5</v>
      </c>
      <c r="I40" s="217">
        <f>14-I39</f>
        <v>7.2</v>
      </c>
      <c r="J40" s="217">
        <f>14-J39</f>
        <v>6.6</v>
      </c>
      <c r="K40" s="217">
        <f>14-K39</f>
        <v>6.2</v>
      </c>
      <c r="L40" s="217">
        <f>14-L39</f>
        <v>6.8</v>
      </c>
    </row>
    <row r="41" spans="1:12" ht="12.75">
      <c r="A41" s="205" t="s">
        <v>1725</v>
      </c>
      <c r="B41" s="350">
        <v>905</v>
      </c>
      <c r="C41" s="348">
        <v>1453</v>
      </c>
      <c r="D41" s="346">
        <v>3070</v>
      </c>
      <c r="E41" s="346">
        <v>11757</v>
      </c>
      <c r="F41" s="346">
        <v>35005</v>
      </c>
      <c r="G41" s="205">
        <v>184</v>
      </c>
      <c r="H41" s="329">
        <v>425</v>
      </c>
      <c r="I41" s="329">
        <v>18</v>
      </c>
      <c r="J41" s="329">
        <v>1500</v>
      </c>
      <c r="K41" s="329">
        <v>384</v>
      </c>
      <c r="L41" s="329">
        <v>499</v>
      </c>
    </row>
    <row r="42" spans="1:12" ht="12.75">
      <c r="A42" s="205" t="s">
        <v>1728</v>
      </c>
      <c r="B42" s="350">
        <v>1</v>
      </c>
      <c r="C42" s="346">
        <v>1.3</v>
      </c>
      <c r="D42" s="346">
        <v>1</v>
      </c>
      <c r="E42" s="346">
        <v>1</v>
      </c>
      <c r="F42" s="346">
        <v>1</v>
      </c>
      <c r="G42" s="205">
        <v>1</v>
      </c>
      <c r="H42" s="217"/>
      <c r="I42" s="217"/>
      <c r="J42" s="217"/>
      <c r="K42" s="217"/>
      <c r="L42" s="217"/>
    </row>
    <row r="43" spans="1:12" ht="12.75">
      <c r="A43" s="205" t="s">
        <v>1718</v>
      </c>
      <c r="B43" s="350">
        <v>1560</v>
      </c>
      <c r="C43" s="346">
        <v>2758</v>
      </c>
      <c r="D43" s="346">
        <v>5232</v>
      </c>
      <c r="E43" s="346">
        <v>19604</v>
      </c>
      <c r="F43" s="346">
        <v>54534</v>
      </c>
      <c r="G43" s="205">
        <v>362</v>
      </c>
      <c r="H43" s="217">
        <v>790</v>
      </c>
      <c r="I43" s="217">
        <v>25</v>
      </c>
      <c r="J43" s="217">
        <v>2475</v>
      </c>
      <c r="K43" s="217">
        <v>470</v>
      </c>
      <c r="L43" s="217">
        <v>1145</v>
      </c>
    </row>
    <row r="44" spans="1:12" ht="13.5" thickBot="1">
      <c r="A44" s="205" t="s">
        <v>1727</v>
      </c>
      <c r="B44" s="350">
        <v>25</v>
      </c>
      <c r="C44" s="346">
        <v>25</v>
      </c>
      <c r="D44" s="346">
        <v>25</v>
      </c>
      <c r="E44" s="346">
        <v>25</v>
      </c>
      <c r="F44" s="346">
        <v>25</v>
      </c>
      <c r="G44" s="205">
        <v>25</v>
      </c>
      <c r="H44" s="388">
        <v>25</v>
      </c>
      <c r="I44" s="388">
        <v>25</v>
      </c>
      <c r="J44" s="388">
        <v>25</v>
      </c>
      <c r="K44" s="388">
        <v>25</v>
      </c>
      <c r="L44" s="388">
        <v>25</v>
      </c>
    </row>
    <row r="45" spans="1:12" s="210" customFormat="1" ht="12.75">
      <c r="A45" s="123"/>
      <c r="B45" s="123"/>
      <c r="C45" s="351"/>
      <c r="D45" s="123"/>
      <c r="E45" s="191"/>
      <c r="F45" s="133"/>
      <c r="G45" s="6"/>
      <c r="H45"/>
      <c r="I45"/>
      <c r="J45" s="6"/>
      <c r="K45" s="6"/>
      <c r="L45" s="6"/>
    </row>
    <row r="46" spans="3:12" s="210" customFormat="1" ht="12.75">
      <c r="C46" s="352"/>
      <c r="H46"/>
      <c r="I46"/>
      <c r="J46" s="6"/>
      <c r="K46" s="6"/>
      <c r="L46" s="6"/>
    </row>
    <row r="47" spans="10:12" ht="12.75">
      <c r="J47"/>
      <c r="K47"/>
      <c r="L47"/>
    </row>
    <row r="48" spans="10:12" ht="12.75">
      <c r="J48"/>
      <c r="K48"/>
      <c r="L48"/>
    </row>
    <row r="49" spans="10:12" ht="12.75">
      <c r="J49"/>
      <c r="K49"/>
      <c r="L49"/>
    </row>
    <row r="50" spans="10:12" ht="12.75">
      <c r="J50"/>
      <c r="K50"/>
      <c r="L50"/>
    </row>
    <row r="51" spans="10:12" ht="12.75">
      <c r="J51"/>
      <c r="K51"/>
      <c r="L51"/>
    </row>
    <row r="56" ht="12.75">
      <c r="F56" s="299"/>
    </row>
    <row r="57" ht="12.75">
      <c r="F57" s="299"/>
    </row>
    <row r="58" ht="12.75">
      <c r="F58" s="299"/>
    </row>
    <row r="59" ht="12.75">
      <c r="F59" s="299"/>
    </row>
    <row r="60" ht="12.75">
      <c r="F60" s="299"/>
    </row>
    <row r="61" ht="12.75">
      <c r="F61" s="299"/>
    </row>
    <row r="62" ht="12.75">
      <c r="F62" s="299"/>
    </row>
    <row r="63" ht="12.75">
      <c r="F63" s="299"/>
    </row>
    <row r="64" ht="12.75">
      <c r="F64" s="299"/>
    </row>
    <row r="65" ht="12.75">
      <c r="F65" s="299"/>
    </row>
    <row r="66" ht="12.75">
      <c r="F66" s="299"/>
    </row>
    <row r="69" ht="12.75">
      <c r="G69" s="195"/>
    </row>
    <row r="70" ht="12.75">
      <c r="G70" s="195"/>
    </row>
    <row r="71" ht="12.75">
      <c r="G71" s="195"/>
    </row>
    <row r="72" ht="12.75">
      <c r="G72" s="195"/>
    </row>
    <row r="73" ht="12.75">
      <c r="G73" s="195"/>
    </row>
  </sheetData>
  <printOptions gridLines="1" horizontalCentered="1" verticalCentered="1"/>
  <pageMargins left="0.75" right="0.75" top="0.84" bottom="0.88" header="0.5" footer="0.5"/>
  <pageSetup fitToHeight="1" fitToWidth="1" horizontalDpi="300" verticalDpi="300" orientation="landscape" scale="93" r:id="rId1"/>
  <headerFooter alignWithMargins="0">
    <oddHeader>&amp;C&amp;A</oddHeader>
    <oddFooter>&amp;CWater Treatment Cost Estimation Program</oddFooter>
  </headerFooter>
</worksheet>
</file>

<file path=xl/worksheets/sheet5.xml><?xml version="1.0" encoding="utf-8"?>
<worksheet xmlns="http://schemas.openxmlformats.org/spreadsheetml/2006/main" xmlns:r="http://schemas.openxmlformats.org/officeDocument/2006/relationships">
  <sheetPr codeName="Sheet29"/>
  <dimension ref="A1:K32"/>
  <sheetViews>
    <sheetView zoomScale="95" zoomScaleNormal="95" workbookViewId="0" topLeftCell="A1">
      <selection activeCell="D10" sqref="D10"/>
    </sheetView>
  </sheetViews>
  <sheetFormatPr defaultColWidth="9.140625" defaultRowHeight="12.75"/>
  <cols>
    <col min="1" max="1" width="12.140625" style="1705" customWidth="1"/>
    <col min="2" max="2" width="19.140625" style="1705" bestFit="1" customWidth="1"/>
    <col min="3" max="3" width="27.7109375" style="0" bestFit="1" customWidth="1"/>
    <col min="4" max="4" width="11.57421875" style="1705" bestFit="1" customWidth="1"/>
    <col min="5" max="5" width="11.57421875" style="1772" customWidth="1"/>
    <col min="6" max="6" width="11.8515625" style="0" customWidth="1"/>
    <col min="7" max="7" width="12.8515625" style="0" customWidth="1"/>
    <col min="8" max="8" width="47.8515625" style="6" bestFit="1" customWidth="1"/>
    <col min="9" max="9" width="53.57421875" style="0" bestFit="1" customWidth="1"/>
  </cols>
  <sheetData>
    <row r="1" spans="1:5" ht="19.5">
      <c r="A1" s="1731" t="s">
        <v>176</v>
      </c>
      <c r="B1" s="1712"/>
      <c r="D1" s="1706"/>
      <c r="E1" s="1771"/>
    </row>
    <row r="2" spans="1:2" ht="12.75">
      <c r="A2"/>
      <c r="B2"/>
    </row>
    <row r="3" spans="1:5" ht="12.75">
      <c r="A3" t="s">
        <v>544</v>
      </c>
      <c r="B3"/>
      <c r="D3" s="1726" t="s">
        <v>546</v>
      </c>
      <c r="E3" s="1776"/>
    </row>
    <row r="4" ht="13.5" thickBot="1"/>
    <row r="5" spans="1:8" ht="13.5" thickBot="1">
      <c r="A5" s="1714" t="s">
        <v>772</v>
      </c>
      <c r="B5" s="1715" t="s">
        <v>772</v>
      </c>
      <c r="C5" s="1716" t="s">
        <v>1548</v>
      </c>
      <c r="D5" s="1715" t="s">
        <v>1550</v>
      </c>
      <c r="E5" s="1715" t="s">
        <v>545</v>
      </c>
      <c r="F5" s="1715" t="s">
        <v>1545</v>
      </c>
      <c r="G5" s="1715" t="s">
        <v>177</v>
      </c>
      <c r="H5" s="1724" t="s">
        <v>1547</v>
      </c>
    </row>
    <row r="6" spans="1:8" ht="12.75">
      <c r="A6" s="1722" t="s">
        <v>528</v>
      </c>
      <c r="B6" s="1717" t="s">
        <v>1114</v>
      </c>
      <c r="C6" s="1718" t="s">
        <v>874</v>
      </c>
      <c r="D6" s="1719" t="s">
        <v>1752</v>
      </c>
      <c r="E6" s="1862"/>
      <c r="F6" s="1718"/>
      <c r="G6" s="2102"/>
      <c r="H6" s="1774"/>
    </row>
    <row r="7" spans="1:8" ht="12.75">
      <c r="A7" s="1723" t="s">
        <v>447</v>
      </c>
      <c r="B7" s="1720" t="s">
        <v>535</v>
      </c>
      <c r="C7" s="931" t="s">
        <v>178</v>
      </c>
      <c r="D7" s="934"/>
      <c r="E7" s="1773">
        <f>'{e}H20 Analysis'!C58</f>
        <v>0</v>
      </c>
      <c r="F7" s="931"/>
      <c r="G7" s="931">
        <f>'{e}H20 Analysis'!E58</f>
        <v>0.00019</v>
      </c>
      <c r="H7" s="1725"/>
    </row>
    <row r="8" spans="1:9" ht="12.75">
      <c r="A8" s="1723" t="s">
        <v>451</v>
      </c>
      <c r="B8" s="2002" t="s">
        <v>780</v>
      </c>
      <c r="C8" s="931" t="s">
        <v>1546</v>
      </c>
      <c r="D8" s="934" t="str">
        <f>'{i}Acid'!A14</f>
        <v>Dose Rate by volume</v>
      </c>
      <c r="E8" s="1773">
        <f>'{i}Acid'!B14</f>
        <v>-0.14841063241030827</v>
      </c>
      <c r="F8" s="931">
        <f>'{i}Acid'!F14</f>
        <v>0.04</v>
      </c>
      <c r="G8" s="931">
        <f>'{i}Acid'!G14</f>
        <v>20</v>
      </c>
      <c r="H8" s="1725" t="s">
        <v>1549</v>
      </c>
      <c r="I8" s="1743" t="s">
        <v>1579</v>
      </c>
    </row>
    <row r="9" spans="1:10" ht="12.75">
      <c r="A9" s="1723" t="s">
        <v>452</v>
      </c>
      <c r="B9" s="2002" t="s">
        <v>781</v>
      </c>
      <c r="C9" s="931" t="str">
        <f>'{j}IronCoag'!A14</f>
        <v>Basis dose rate</v>
      </c>
      <c r="D9" s="934" t="str">
        <f>'{j}IronCoag'!D14</f>
        <v>kg/day</v>
      </c>
      <c r="E9" s="1773">
        <f>'{j}IronCoag'!B14</f>
        <v>1212.1848030506512</v>
      </c>
      <c r="F9" s="931">
        <f>'{j}IronCoag'!F14</f>
        <v>144</v>
      </c>
      <c r="G9" s="931">
        <f>'{j}IronCoag'!G14</f>
        <v>72000</v>
      </c>
      <c r="H9" s="1725" t="s">
        <v>1588</v>
      </c>
      <c r="I9" s="1743" t="s">
        <v>1579</v>
      </c>
      <c r="J9" s="6"/>
    </row>
    <row r="10" spans="1:10" ht="12.75">
      <c r="A10" s="2488" t="s">
        <v>453</v>
      </c>
      <c r="B10" s="2486" t="s">
        <v>536</v>
      </c>
      <c r="C10" s="931" t="str">
        <f>'{k}Alum'!A18</f>
        <v>Calculated dose rate</v>
      </c>
      <c r="D10" s="1721" t="str">
        <f>'{k}Alum'!C18</f>
        <v>kg/hr.</v>
      </c>
      <c r="E10" s="1773">
        <f>'{k}Alum'!B18</f>
        <v>63.99313898574384</v>
      </c>
      <c r="F10" s="931">
        <f>'{k}Alum'!F18</f>
        <v>4</v>
      </c>
      <c r="G10" s="931">
        <f>'{k}Alum'!G18</f>
        <v>2300</v>
      </c>
      <c r="H10" s="1725"/>
      <c r="I10" s="1743" t="s">
        <v>1587</v>
      </c>
      <c r="J10" s="6"/>
    </row>
    <row r="11" spans="1:10" ht="12.75">
      <c r="A11" s="2489"/>
      <c r="B11" s="2487"/>
      <c r="C11" s="931" t="str">
        <f>'{k}Alum'!A46</f>
        <v>Liquid Alum dose rate</v>
      </c>
      <c r="D11" s="934" t="str">
        <f>'{k}Alum'!C46</f>
        <v>kg/hr.</v>
      </c>
      <c r="E11" s="1773">
        <f>'{k}Alum'!B46</f>
        <v>127.98627797148768</v>
      </c>
      <c r="F11" s="931">
        <f>'{k}Alum'!F54</f>
        <v>4</v>
      </c>
      <c r="G11" s="931">
        <f>'{k}Alum'!G54</f>
        <v>2500</v>
      </c>
      <c r="H11" s="1725"/>
      <c r="I11" s="1743" t="s">
        <v>1587</v>
      </c>
      <c r="J11" s="6"/>
    </row>
    <row r="12" spans="1:10" ht="12.75">
      <c r="A12" s="2008" t="s">
        <v>548</v>
      </c>
      <c r="B12" s="2009" t="s">
        <v>782</v>
      </c>
      <c r="C12" s="931" t="str">
        <f>'{L}PACl'!A18</f>
        <v>Calculated dose rate</v>
      </c>
      <c r="D12" s="1721" t="str">
        <f>'{L}PACl'!C18</f>
        <v>kg/hr.</v>
      </c>
      <c r="E12" s="1773">
        <f>'{L}PACl'!B18</f>
        <v>16.233679857907617</v>
      </c>
      <c r="F12" s="931">
        <f>'{L}PACl'!F18</f>
        <v>4</v>
      </c>
      <c r="G12" s="931">
        <f>'{L}PACl'!G18</f>
        <v>2300</v>
      </c>
      <c r="H12" s="1725"/>
      <c r="I12" s="182" t="s">
        <v>1596</v>
      </c>
      <c r="J12" s="6"/>
    </row>
    <row r="13" spans="1:10" ht="12.75">
      <c r="A13" s="2008" t="s">
        <v>159</v>
      </c>
      <c r="B13" s="2009" t="s">
        <v>537</v>
      </c>
      <c r="C13" s="931" t="str">
        <f>'{m}De-Cl2'!A14</f>
        <v>Basis dose rate kg/day:</v>
      </c>
      <c r="D13" s="934" t="s">
        <v>1815</v>
      </c>
      <c r="E13" s="1773">
        <f>'{m}De-Cl2'!D14</f>
        <v>400.7647058823529</v>
      </c>
      <c r="F13" s="931">
        <f>'{m}De-Cl2'!H14</f>
        <v>0.5</v>
      </c>
      <c r="G13" s="931">
        <f>'{m}De-Cl2'!I14</f>
        <v>100</v>
      </c>
      <c r="H13" s="1725"/>
      <c r="I13" s="182" t="s">
        <v>1596</v>
      </c>
      <c r="J13" s="6"/>
    </row>
    <row r="14" spans="1:10" ht="12.75">
      <c r="A14" s="2008" t="s">
        <v>454</v>
      </c>
      <c r="B14" s="2009" t="s">
        <v>1737</v>
      </c>
      <c r="C14" s="931" t="str">
        <f>'{n}CL2'!A18</f>
        <v>Basis</v>
      </c>
      <c r="D14" s="934" t="str">
        <f>'{n}CL2'!C18</f>
        <v>kg/day</v>
      </c>
      <c r="E14" s="1773">
        <f>'{n}CL2'!B18</f>
        <v>946.25</v>
      </c>
      <c r="F14" s="931">
        <f>'{n}CL2'!G18</f>
        <v>4</v>
      </c>
      <c r="G14" s="931">
        <f>'{n}CL2'!H18</f>
        <v>4500</v>
      </c>
      <c r="H14" s="1725"/>
      <c r="I14" s="1743" t="s">
        <v>1590</v>
      </c>
      <c r="J14" s="6"/>
    </row>
    <row r="15" spans="1:9" ht="12.75">
      <c r="A15" s="2488" t="s">
        <v>455</v>
      </c>
      <c r="B15" s="2486" t="s">
        <v>538</v>
      </c>
      <c r="C15" s="931" t="str">
        <f>'{o}NHCL'!A17</f>
        <v>Calculated Cl2 Dose</v>
      </c>
      <c r="D15" s="934" t="str">
        <f>'{o}NHCL'!C17</f>
        <v>kg/day</v>
      </c>
      <c r="E15" s="1773">
        <f>'{o}NHCL'!B17</f>
        <v>1568.492217898833</v>
      </c>
      <c r="F15" s="931">
        <f>'{o}NHCL'!G17</f>
        <v>4</v>
      </c>
      <c r="G15" s="931">
        <f>'{o}NHCL'!H17</f>
        <v>4500</v>
      </c>
      <c r="H15" s="1725"/>
      <c r="I15" s="1743" t="s">
        <v>1590</v>
      </c>
    </row>
    <row r="16" spans="1:9" ht="12.75">
      <c r="A16" s="2489"/>
      <c r="B16" s="2487"/>
      <c r="C16" s="931" t="str">
        <f>'{o}NHCL'!A21</f>
        <v>Calculated Aqua Ammonia</v>
      </c>
      <c r="D16" s="934" t="str">
        <f>'{o}NHCL'!C21</f>
        <v>kg/day</v>
      </c>
      <c r="E16" s="1773">
        <f>'{o}NHCL'!B21</f>
        <v>375.55447470817126</v>
      </c>
      <c r="F16" s="931">
        <f>'{o}NHCL'!G21</f>
        <v>110</v>
      </c>
      <c r="G16" s="931">
        <f>'{o}NHCL'!H21</f>
        <v>2300</v>
      </c>
      <c r="H16" s="1725"/>
      <c r="I16" s="1743" t="s">
        <v>1594</v>
      </c>
    </row>
    <row r="17" spans="1:9" ht="12.75">
      <c r="A17" s="2008" t="s">
        <v>456</v>
      </c>
      <c r="B17" s="2009" t="s">
        <v>1651</v>
      </c>
      <c r="C17" s="931" t="str">
        <f>'{p} Ozone'!A26</f>
        <v>Ozone Requirements:</v>
      </c>
      <c r="D17" s="934" t="str">
        <f>'{p} Ozone'!C26</f>
        <v>kg/day</v>
      </c>
      <c r="E17" s="1773">
        <f>'{p} Ozone'!B26</f>
        <v>378.50000000000006</v>
      </c>
      <c r="F17" s="931">
        <f>'{p} Ozone'!E26</f>
        <v>4</v>
      </c>
      <c r="G17" s="931">
        <f>'{p} Ozone'!F26</f>
        <v>1800</v>
      </c>
      <c r="H17" s="1725"/>
      <c r="I17" s="1743" t="s">
        <v>1591</v>
      </c>
    </row>
    <row r="18" spans="1:9" ht="12.75">
      <c r="A18" s="2488" t="s">
        <v>457</v>
      </c>
      <c r="B18" s="2486" t="s">
        <v>539</v>
      </c>
      <c r="C18" s="931" t="str">
        <f>'{q}LimeFeed'!A26</f>
        <v>Basis Lime:</v>
      </c>
      <c r="D18" s="934" t="str">
        <f>'{q}LimeFeed'!C26</f>
        <v>kg/hr</v>
      </c>
      <c r="E18" s="1773">
        <f>'{q}LimeFeed'!B26</f>
        <v>117.8361432957021</v>
      </c>
      <c r="F18" s="931">
        <f>'{q}LimeFeed'!E26</f>
        <v>4</v>
      </c>
      <c r="G18" s="931">
        <f>'{q}LimeFeed'!F26</f>
        <v>4500</v>
      </c>
      <c r="H18" s="1725"/>
      <c r="I18" s="1743" t="s">
        <v>1593</v>
      </c>
    </row>
    <row r="19" spans="1:9" ht="12.75">
      <c r="A19" s="2489"/>
      <c r="B19" s="2487"/>
      <c r="C19" s="931" t="str">
        <f>'{q}LimeFeed'!A27</f>
        <v>Basis Soda:</v>
      </c>
      <c r="D19" s="934" t="str">
        <f>'{q}LimeFeed'!C27</f>
        <v>kg/hr</v>
      </c>
      <c r="E19" s="1773">
        <f>'{q}LimeFeed'!B27</f>
        <v>0</v>
      </c>
      <c r="F19" s="931">
        <f>'{q}LimeFeed'!E27</f>
        <v>4</v>
      </c>
      <c r="G19" s="931">
        <f>'{q}LimeFeed'!F27</f>
        <v>4500</v>
      </c>
      <c r="H19" s="1725"/>
      <c r="I19" s="182" t="s">
        <v>1596</v>
      </c>
    </row>
    <row r="20" spans="1:9" ht="12.75">
      <c r="A20" s="2008" t="s">
        <v>458</v>
      </c>
      <c r="B20" s="2009" t="s">
        <v>1589</v>
      </c>
      <c r="C20" s="931" t="str">
        <f>'{r}Antiscalent'!A10</f>
        <v>Basis Polymer Feed</v>
      </c>
      <c r="D20" s="934" t="str">
        <f>'{r}Antiscalent'!C10</f>
        <v>kg/day</v>
      </c>
      <c r="E20" s="1773">
        <f>'{r}Antiscalent'!B10</f>
        <v>222.64705882352942</v>
      </c>
      <c r="F20" s="931">
        <f>'{r}Antiscalent'!G10</f>
        <v>0.4</v>
      </c>
      <c r="G20" s="931">
        <f>'{r}Antiscalent'!H10</f>
        <v>100</v>
      </c>
      <c r="H20" s="1725"/>
      <c r="I20" s="1743" t="s">
        <v>1592</v>
      </c>
    </row>
    <row r="21" spans="1:9" ht="12.75">
      <c r="A21" s="2008" t="s">
        <v>459</v>
      </c>
      <c r="B21" s="2009" t="s">
        <v>786</v>
      </c>
      <c r="C21" s="931" t="str">
        <f>'{s}PolyElectrolyte'!A10</f>
        <v>Basis Polymer Feed</v>
      </c>
      <c r="D21" s="934" t="str">
        <f>'{s}PolyElectrolyte'!C10</f>
        <v>kg/day</v>
      </c>
      <c r="E21" s="1773">
        <f>'{s}PolyElectrolyte'!B10</f>
        <v>222.64705882352942</v>
      </c>
      <c r="F21" s="931">
        <f>'{s}PolyElectrolyte'!G10</f>
        <v>0.5</v>
      </c>
      <c r="G21" s="931">
        <f>'{s}PolyElectrolyte'!H10</f>
        <v>100</v>
      </c>
      <c r="H21" s="1725"/>
      <c r="I21" s="182" t="s">
        <v>1596</v>
      </c>
    </row>
    <row r="22" spans="1:11" ht="12.75">
      <c r="A22" s="2488" t="s">
        <v>460</v>
      </c>
      <c r="B22" s="2486" t="s">
        <v>787</v>
      </c>
      <c r="C22" s="931" t="str">
        <f>'{t}KMnO4'!A14</f>
        <v>Basis KMnO4</v>
      </c>
      <c r="D22" s="934" t="str">
        <f>'{t}KMnO4'!C14</f>
        <v>kg/day</v>
      </c>
      <c r="E22" s="1773">
        <f>'{t}KMnO4'!B14</f>
        <v>890.5882352941177</v>
      </c>
      <c r="F22" s="931">
        <f>'{t}KMnO4'!I14</f>
        <v>0.4</v>
      </c>
      <c r="G22" s="931">
        <f>'{t}KMnO4'!J14</f>
        <v>220</v>
      </c>
      <c r="H22" s="1725"/>
      <c r="I22" s="1743" t="s">
        <v>1595</v>
      </c>
      <c r="J22" s="1"/>
      <c r="K22" s="1"/>
    </row>
    <row r="23" spans="1:11" ht="12.75">
      <c r="A23" s="2489"/>
      <c r="B23" s="2487"/>
      <c r="C23" s="931" t="str">
        <f>'{t}KMnO4'!A9</f>
        <v>Feed/Product Flow</v>
      </c>
      <c r="D23" s="934" t="str">
        <f>'{t}KMnO4'!G9</f>
        <v>gpd</v>
      </c>
      <c r="E23" s="1773">
        <f>'{t}KMnO4'!F9</f>
        <v>81699.34640522876</v>
      </c>
      <c r="F23" s="931">
        <f>'{t}KMnO4'!U9</f>
        <v>2500</v>
      </c>
      <c r="G23" s="2001">
        <f>'{t}KMnO4'!J9</f>
        <v>200000000</v>
      </c>
      <c r="H23" s="1725"/>
      <c r="I23" s="1743" t="s">
        <v>626</v>
      </c>
      <c r="J23" s="1"/>
      <c r="K23" s="1"/>
    </row>
    <row r="24" spans="1:11" ht="12.75">
      <c r="A24" s="2008" t="s">
        <v>478</v>
      </c>
      <c r="B24" s="2009" t="s">
        <v>540</v>
      </c>
      <c r="C24" s="931" t="str">
        <f>'{w}GravityFilt'!G10</f>
        <v>Filter area (m2):</v>
      </c>
      <c r="D24" s="934" t="s">
        <v>939</v>
      </c>
      <c r="E24" s="1773">
        <f>'{w}GravityFilt'!H10</f>
        <v>2120.448179271709</v>
      </c>
      <c r="F24" s="931">
        <f>'{w}GravityFilt'!I10</f>
        <v>13</v>
      </c>
      <c r="G24" s="931">
        <f>'{w}GravityFilt'!J10</f>
        <v>2600</v>
      </c>
      <c r="H24" s="1725" t="s">
        <v>1551</v>
      </c>
      <c r="I24" s="182" t="s">
        <v>1599</v>
      </c>
      <c r="J24" s="1"/>
      <c r="K24" s="1"/>
    </row>
    <row r="25" spans="1:9" ht="12.75">
      <c r="A25" s="2008"/>
      <c r="B25" s="2009"/>
      <c r="C25" s="931" t="str">
        <f>'{w}GravityFilt'!L10</f>
        <v>Filter area (m2):</v>
      </c>
      <c r="D25" s="934" t="s">
        <v>939</v>
      </c>
      <c r="E25" s="1773">
        <f>'{w}GravityFilt'!M10</f>
        <v>2120.448179271709</v>
      </c>
      <c r="F25" s="931">
        <f>'{w}GravityFilt'!N10</f>
        <v>13</v>
      </c>
      <c r="G25" s="931">
        <f>'{w}GravityFilt'!O10</f>
        <v>2600</v>
      </c>
      <c r="H25" s="1725" t="s">
        <v>1552</v>
      </c>
      <c r="I25" s="1743" t="s">
        <v>1597</v>
      </c>
    </row>
    <row r="26" spans="1:8" ht="12.75">
      <c r="A26" s="2488" t="s">
        <v>479</v>
      </c>
      <c r="B26" s="2486" t="s">
        <v>541</v>
      </c>
      <c r="C26" s="931" t="str">
        <f>'{y}IX '!A11</f>
        <v>Service Flow Rate :</v>
      </c>
      <c r="D26" s="934" t="str">
        <f>'{y}IX '!C11</f>
        <v>L/(hr*L resin)</v>
      </c>
      <c r="E26" s="1773">
        <f>'{y}IX '!B11</f>
        <v>20</v>
      </c>
      <c r="F26" s="931">
        <f>'{y}IX '!E11</f>
        <v>16</v>
      </c>
      <c r="G26" s="931">
        <f>'{y}IX '!F11</f>
        <v>40</v>
      </c>
      <c r="H26" s="1725"/>
    </row>
    <row r="27" spans="1:8" ht="12.75">
      <c r="A27" s="2489"/>
      <c r="B27" s="2487"/>
      <c r="C27" s="931" t="str">
        <f>'{y}IX '!I8</f>
        <v>Filter area (m2):</v>
      </c>
      <c r="D27" s="934" t="s">
        <v>939</v>
      </c>
      <c r="E27" s="1773">
        <f>'{y}IX '!J8</f>
        <v>49.608914885493796</v>
      </c>
      <c r="F27" s="931">
        <f>'{y}IX '!K8</f>
        <v>13</v>
      </c>
      <c r="G27" s="931">
        <f>'{y}IX '!L8</f>
        <v>2600</v>
      </c>
      <c r="H27" s="1725"/>
    </row>
    <row r="28" spans="1:9" ht="12.75">
      <c r="A28" s="1723" t="s">
        <v>480</v>
      </c>
      <c r="B28" s="2002" t="s">
        <v>542</v>
      </c>
      <c r="C28" s="1720" t="str">
        <f>'{z}MF-P input'!A9</f>
        <v>Design MF product flow rate </v>
      </c>
      <c r="D28" s="934" t="str">
        <f>'{z}MF-P input'!C9</f>
        <v>MGD</v>
      </c>
      <c r="E28" s="1773">
        <f>'{z}MF-P input'!B9</f>
        <v>99.98916894074883</v>
      </c>
      <c r="F28" s="931">
        <f>'{z}MF-P input'!H9</f>
        <v>0.01</v>
      </c>
      <c r="G28" s="931">
        <f>'{z}MF-P input'!I9</f>
        <v>0</v>
      </c>
      <c r="H28" s="1725"/>
      <c r="I28" s="1705"/>
    </row>
    <row r="29" spans="1:8" ht="12.75">
      <c r="A29" s="1723" t="s">
        <v>448</v>
      </c>
      <c r="B29" s="2002" t="s">
        <v>543</v>
      </c>
      <c r="C29" s="931" t="str">
        <f>'{f}RO&amp;NF Input'!A11</f>
        <v>Primary Treatment Product Flow</v>
      </c>
      <c r="D29" s="931" t="str">
        <f>'{f}RO&amp;NF Input'!C11</f>
        <v>L/s</v>
      </c>
      <c r="E29" s="1773">
        <f>'{f}RO&amp;NF Input'!B11</f>
        <v>4795.53610563226</v>
      </c>
      <c r="F29" s="931">
        <f>'{f}RO&amp;NF Input'!F11</f>
        <v>0</v>
      </c>
      <c r="G29" s="931">
        <f>'{f}RO&amp;NF Input'!G11</f>
        <v>0</v>
      </c>
      <c r="H29" s="1725"/>
    </row>
    <row r="30" spans="1:8" ht="12.75">
      <c r="A30" s="1723"/>
      <c r="B30" s="1720"/>
      <c r="C30" s="2002" t="str">
        <f>'{f}RO&amp;NF Input'!H37</f>
        <v>   Size </v>
      </c>
      <c r="D30" s="931" t="str">
        <f>'{f}RO&amp;NF Input'!J37</f>
        <v>hp</v>
      </c>
      <c r="E30" s="1773">
        <f>'{f}RO&amp;NF Input'!I37</f>
        <v>528.3186557178419</v>
      </c>
      <c r="F30" s="931" t="str">
        <f>'{f}RO&amp;NF Input'!M38</f>
        <v>error</v>
      </c>
      <c r="G30" s="931" t="str">
        <f>'{f}RO&amp;NF Input'!N38</f>
        <v>error</v>
      </c>
      <c r="H30" s="1725" t="s">
        <v>1553</v>
      </c>
    </row>
    <row r="31" spans="1:8" ht="12.75">
      <c r="A31" s="1723"/>
      <c r="B31" s="1720"/>
      <c r="C31" s="2002" t="str">
        <f>'{f}RO&amp;NF Input'!H51</f>
        <v>  Size</v>
      </c>
      <c r="D31" s="931" t="str">
        <f>'{f}RO&amp;NF Input'!J51</f>
        <v>hp</v>
      </c>
      <c r="E31" s="1773">
        <f>'{f}RO&amp;NF Input'!I51</f>
        <v>163.03723965042192</v>
      </c>
      <c r="F31" s="931">
        <f>'{f}RO&amp;NF Input'!M53</f>
        <v>3</v>
      </c>
      <c r="G31" s="931">
        <f>'{f}RO&amp;NF Input'!N53</f>
        <v>350</v>
      </c>
      <c r="H31" s="1725" t="s">
        <v>1554</v>
      </c>
    </row>
    <row r="32" spans="1:8" ht="13.5" thickBot="1">
      <c r="A32" s="2003"/>
      <c r="B32" s="2004"/>
      <c r="C32" s="2005" t="str">
        <f>'{f}RO&amp;NF Input'!H63</f>
        <v>  Size</v>
      </c>
      <c r="D32" s="1775" t="str">
        <f>'{f}RO&amp;NF Input'!J63</f>
        <v>hp</v>
      </c>
      <c r="E32" s="2006">
        <f>'{f}RO&amp;NF Input'!I63</f>
        <v>138.5816537028586</v>
      </c>
      <c r="F32" s="1775">
        <f>'{f}RO&amp;NF Input'!M65</f>
        <v>3</v>
      </c>
      <c r="G32" s="1775">
        <f>'{f}RO&amp;NF Input'!N65</f>
        <v>350</v>
      </c>
      <c r="H32" s="2007" t="s">
        <v>1555</v>
      </c>
    </row>
  </sheetData>
  <mergeCells count="10">
    <mergeCell ref="B10:B11"/>
    <mergeCell ref="A10:A11"/>
    <mergeCell ref="A26:A27"/>
    <mergeCell ref="B26:B27"/>
    <mergeCell ref="A15:A16"/>
    <mergeCell ref="B15:B16"/>
    <mergeCell ref="A22:A23"/>
    <mergeCell ref="B22:B23"/>
    <mergeCell ref="B18:B19"/>
    <mergeCell ref="A18:A19"/>
  </mergeCells>
  <conditionalFormatting sqref="F6:F32">
    <cfRule type="cellIs" priority="1" dxfId="0" operator="greaterThan" stopIfTrue="1">
      <formula>E6</formula>
    </cfRule>
  </conditionalFormatting>
  <conditionalFormatting sqref="G6:G32">
    <cfRule type="cellIs" priority="2" dxfId="0" operator="lessThan" stopIfTrue="1">
      <formula>E6</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38"/>
  <dimension ref="A8:A12"/>
  <sheetViews>
    <sheetView workbookViewId="0" topLeftCell="A1">
      <selection activeCell="H34" sqref="H34"/>
    </sheetView>
  </sheetViews>
  <sheetFormatPr defaultColWidth="9.140625" defaultRowHeight="12.75"/>
  <sheetData>
    <row r="8" ht="12.75">
      <c r="A8" t="s">
        <v>465</v>
      </c>
    </row>
    <row r="9" ht="12.75">
      <c r="A9" t="s">
        <v>466</v>
      </c>
    </row>
    <row r="10" ht="12.75">
      <c r="A10" t="s">
        <v>467</v>
      </c>
    </row>
    <row r="11" ht="12.75">
      <c r="A11" t="s">
        <v>468</v>
      </c>
    </row>
    <row r="12" ht="12.75">
      <c r="A12" t="s">
        <v>469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0">
    <pageSetUpPr fitToPage="1"/>
  </sheetPr>
  <dimension ref="A1:D50"/>
  <sheetViews>
    <sheetView view="pageBreakPreview" zoomScaleSheetLayoutView="100" workbookViewId="0" topLeftCell="A25">
      <selection activeCell="C54" sqref="C54"/>
    </sheetView>
  </sheetViews>
  <sheetFormatPr defaultColWidth="9.140625" defaultRowHeight="12.75"/>
  <cols>
    <col min="1" max="1" width="6.7109375" style="0" customWidth="1"/>
    <col min="2" max="2" width="18.00390625" style="0" customWidth="1"/>
    <col min="3" max="3" width="60.421875" style="0" bestFit="1" customWidth="1"/>
    <col min="4" max="4" width="12.57421875" style="0" bestFit="1" customWidth="1"/>
  </cols>
  <sheetData>
    <row r="1" spans="1:3" ht="18">
      <c r="A1" s="399" t="s">
        <v>350</v>
      </c>
      <c r="B1" s="399"/>
      <c r="C1" s="159"/>
    </row>
    <row r="3" spans="1:3" ht="12.75">
      <c r="A3" s="194" t="s">
        <v>846</v>
      </c>
      <c r="B3" s="194"/>
      <c r="C3" s="314" t="s">
        <v>852</v>
      </c>
    </row>
    <row r="4" spans="1:3" ht="12.75">
      <c r="A4" s="194"/>
      <c r="B4" s="194"/>
      <c r="C4" s="159"/>
    </row>
    <row r="5" spans="1:3" ht="12.75">
      <c r="A5" s="194" t="s">
        <v>847</v>
      </c>
      <c r="B5" s="194"/>
      <c r="C5" s="428">
        <v>38145</v>
      </c>
    </row>
    <row r="6" spans="1:3" ht="12.75">
      <c r="A6" s="194"/>
      <c r="B6" s="194"/>
      <c r="C6" s="159"/>
    </row>
    <row r="7" spans="1:4" ht="12.75">
      <c r="A7" s="194" t="s">
        <v>830</v>
      </c>
      <c r="B7" s="194"/>
      <c r="C7" s="314" t="s">
        <v>849</v>
      </c>
      <c r="D7" t="s">
        <v>831</v>
      </c>
    </row>
    <row r="11" ht="12.75">
      <c r="A11" t="s">
        <v>770</v>
      </c>
    </row>
    <row r="13" spans="1:3" ht="12.75">
      <c r="A13" s="932" t="s">
        <v>771</v>
      </c>
      <c r="B13" s="932" t="s">
        <v>772</v>
      </c>
      <c r="C13" s="932" t="s">
        <v>15</v>
      </c>
    </row>
    <row r="14" spans="1:3" ht="12.75">
      <c r="A14" s="931" t="s">
        <v>527</v>
      </c>
      <c r="B14" s="931" t="s">
        <v>773</v>
      </c>
      <c r="C14" s="1831" t="s">
        <v>1631</v>
      </c>
    </row>
    <row r="15" spans="1:3" ht="12.75">
      <c r="A15" s="931" t="s">
        <v>528</v>
      </c>
      <c r="B15" s="931" t="s">
        <v>1114</v>
      </c>
      <c r="C15" s="1831" t="s">
        <v>1632</v>
      </c>
    </row>
    <row r="16" spans="1:3" ht="12.75">
      <c r="A16" s="931" t="s">
        <v>947</v>
      </c>
      <c r="B16" s="931" t="s">
        <v>774</v>
      </c>
      <c r="C16" s="1831" t="s">
        <v>1633</v>
      </c>
    </row>
    <row r="17" spans="1:3" ht="12.75">
      <c r="A17" s="931" t="s">
        <v>446</v>
      </c>
      <c r="B17" s="931" t="s">
        <v>775</v>
      </c>
      <c r="C17" s="1831" t="s">
        <v>1634</v>
      </c>
    </row>
    <row r="18" spans="1:3" ht="12.75">
      <c r="A18" s="931" t="s">
        <v>447</v>
      </c>
      <c r="B18" s="931" t="s">
        <v>776</v>
      </c>
      <c r="C18" s="1831" t="s">
        <v>1635</v>
      </c>
    </row>
    <row r="19" spans="1:3" ht="12.75">
      <c r="A19" s="931" t="s">
        <v>448</v>
      </c>
      <c r="B19" s="931" t="s">
        <v>777</v>
      </c>
      <c r="C19" s="1831" t="s">
        <v>1636</v>
      </c>
    </row>
    <row r="20" spans="1:3" ht="12.75">
      <c r="A20" s="931" t="s">
        <v>449</v>
      </c>
      <c r="B20" s="931" t="s">
        <v>778</v>
      </c>
      <c r="C20" s="1831" t="s">
        <v>1637</v>
      </c>
    </row>
    <row r="21" spans="1:3" ht="12.75">
      <c r="A21" s="931" t="s">
        <v>450</v>
      </c>
      <c r="B21" s="931" t="s">
        <v>779</v>
      </c>
      <c r="C21" s="1831" t="s">
        <v>1638</v>
      </c>
    </row>
    <row r="22" spans="1:3" ht="12.75">
      <c r="A22" s="931" t="s">
        <v>451</v>
      </c>
      <c r="B22" s="931" t="s">
        <v>780</v>
      </c>
      <c r="C22" s="931" t="s">
        <v>441</v>
      </c>
    </row>
    <row r="23" spans="1:3" ht="12.75">
      <c r="A23" s="931" t="s">
        <v>452</v>
      </c>
      <c r="B23" s="931" t="s">
        <v>781</v>
      </c>
      <c r="C23" s="931"/>
    </row>
    <row r="24" spans="1:3" ht="12.75">
      <c r="A24" s="931" t="s">
        <v>453</v>
      </c>
      <c r="B24" s="931" t="s">
        <v>396</v>
      </c>
      <c r="C24" s="931"/>
    </row>
    <row r="25" spans="1:3" ht="12.75">
      <c r="A25" s="931" t="s">
        <v>548</v>
      </c>
      <c r="B25" s="931" t="s">
        <v>442</v>
      </c>
      <c r="C25" s="931"/>
    </row>
    <row r="26" spans="1:3" ht="12.75">
      <c r="A26" s="931" t="s">
        <v>159</v>
      </c>
      <c r="B26" s="931" t="s">
        <v>436</v>
      </c>
      <c r="C26" s="931" t="s">
        <v>437</v>
      </c>
    </row>
    <row r="27" spans="1:3" ht="12.75">
      <c r="A27" s="931" t="s">
        <v>454</v>
      </c>
      <c r="B27" s="931" t="s">
        <v>783</v>
      </c>
      <c r="C27" s="931"/>
    </row>
    <row r="28" spans="1:3" ht="12.75">
      <c r="A28" s="931" t="s">
        <v>455</v>
      </c>
      <c r="B28" s="931" t="s">
        <v>784</v>
      </c>
      <c r="C28" s="931"/>
    </row>
    <row r="29" spans="1:3" ht="12.75">
      <c r="A29" s="931" t="s">
        <v>456</v>
      </c>
      <c r="B29" s="931" t="s">
        <v>1651</v>
      </c>
      <c r="C29" s="931"/>
    </row>
    <row r="30" spans="1:3" ht="12.75">
      <c r="A30" s="931" t="s">
        <v>457</v>
      </c>
      <c r="B30" s="931" t="s">
        <v>785</v>
      </c>
      <c r="C30" s="931"/>
    </row>
    <row r="31" spans="1:3" ht="12.75">
      <c r="A31" s="931" t="s">
        <v>458</v>
      </c>
      <c r="B31" s="931" t="s">
        <v>90</v>
      </c>
      <c r="C31" s="931"/>
    </row>
    <row r="32" spans="1:3" ht="12.75">
      <c r="A32" s="931" t="s">
        <v>459</v>
      </c>
      <c r="B32" s="931" t="s">
        <v>786</v>
      </c>
      <c r="C32" s="931"/>
    </row>
    <row r="33" spans="1:3" ht="12.75">
      <c r="A33" s="931" t="s">
        <v>460</v>
      </c>
      <c r="B33" s="931" t="s">
        <v>787</v>
      </c>
      <c r="C33" s="931"/>
    </row>
    <row r="34" spans="1:3" ht="12.75">
      <c r="A34" s="931" t="s">
        <v>461</v>
      </c>
      <c r="B34" s="931" t="s">
        <v>788</v>
      </c>
      <c r="C34" s="931"/>
    </row>
    <row r="35" spans="1:3" ht="12.75">
      <c r="A35" s="931" t="s">
        <v>462</v>
      </c>
      <c r="B35" s="931" t="s">
        <v>1609</v>
      </c>
      <c r="C35" s="931"/>
    </row>
    <row r="36" spans="1:3" ht="12.75">
      <c r="A36" s="931" t="s">
        <v>478</v>
      </c>
      <c r="B36" s="931" t="s">
        <v>789</v>
      </c>
      <c r="C36" s="931"/>
    </row>
    <row r="37" spans="1:3" ht="12.75">
      <c r="A37" s="931" t="s">
        <v>1438</v>
      </c>
      <c r="B37" s="931" t="s">
        <v>790</v>
      </c>
      <c r="C37" s="931"/>
    </row>
    <row r="38" spans="1:3" ht="12.75">
      <c r="A38" s="931" t="s">
        <v>479</v>
      </c>
      <c r="B38" s="931" t="s">
        <v>791</v>
      </c>
      <c r="C38" s="931"/>
    </row>
    <row r="39" spans="1:3" ht="12.75">
      <c r="A39" s="931" t="s">
        <v>480</v>
      </c>
      <c r="B39" s="931" t="s">
        <v>792</v>
      </c>
      <c r="C39" s="931"/>
    </row>
    <row r="40" spans="1:3" ht="12.75">
      <c r="A40" s="931" t="s">
        <v>481</v>
      </c>
      <c r="B40" s="931" t="s">
        <v>793</v>
      </c>
      <c r="C40" s="931"/>
    </row>
    <row r="41" spans="1:3" ht="12.75">
      <c r="A41" s="931" t="s">
        <v>482</v>
      </c>
      <c r="B41" s="931" t="s">
        <v>1240</v>
      </c>
      <c r="C41" s="931"/>
    </row>
    <row r="42" spans="1:3" ht="12.75">
      <c r="A42" s="931" t="s">
        <v>483</v>
      </c>
      <c r="B42" s="931" t="s">
        <v>794</v>
      </c>
      <c r="C42" s="931"/>
    </row>
    <row r="43" spans="1:3" ht="12.75">
      <c r="A43" s="931" t="s">
        <v>484</v>
      </c>
      <c r="B43" s="931" t="s">
        <v>795</v>
      </c>
      <c r="C43" s="931"/>
    </row>
    <row r="44" spans="1:3" ht="12.75">
      <c r="A44" s="931" t="s">
        <v>485</v>
      </c>
      <c r="B44" s="931" t="s">
        <v>796</v>
      </c>
      <c r="C44" s="931"/>
    </row>
    <row r="45" spans="1:3" ht="12.75">
      <c r="A45" s="931" t="s">
        <v>486</v>
      </c>
      <c r="B45" s="931" t="s">
        <v>652</v>
      </c>
      <c r="C45" s="931"/>
    </row>
    <row r="46" spans="1:3" ht="12.75">
      <c r="A46" s="931" t="s">
        <v>487</v>
      </c>
      <c r="B46" s="931" t="s">
        <v>797</v>
      </c>
      <c r="C46" s="931"/>
    </row>
    <row r="47" spans="1:3" ht="12.75">
      <c r="A47" s="931" t="s">
        <v>488</v>
      </c>
      <c r="B47" s="931" t="s">
        <v>798</v>
      </c>
      <c r="C47" s="931"/>
    </row>
    <row r="48" spans="1:3" ht="12.75">
      <c r="A48" s="931" t="s">
        <v>489</v>
      </c>
      <c r="B48" s="931" t="s">
        <v>799</v>
      </c>
      <c r="C48" s="931" t="s">
        <v>1467</v>
      </c>
    </row>
    <row r="49" spans="1:3" ht="12.75">
      <c r="A49" s="931" t="s">
        <v>490</v>
      </c>
      <c r="B49" s="931" t="s">
        <v>800</v>
      </c>
      <c r="C49" s="931"/>
    </row>
    <row r="50" ht="12.75">
      <c r="A50" t="s">
        <v>491</v>
      </c>
    </row>
  </sheetData>
  <printOptions/>
  <pageMargins left="0.75" right="0.75" top="1" bottom="1"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K61"/>
  <sheetViews>
    <sheetView view="pageBreakPreview" zoomScaleSheetLayoutView="100" workbookViewId="0" topLeftCell="A1">
      <selection activeCell="C9" sqref="C9"/>
    </sheetView>
  </sheetViews>
  <sheetFormatPr defaultColWidth="9.140625" defaultRowHeight="12.75"/>
  <cols>
    <col min="1" max="1" width="53.57421875" style="159" customWidth="1"/>
    <col min="2" max="2" width="12.140625" style="159" bestFit="1" customWidth="1"/>
    <col min="3" max="3" width="11.57421875" style="159" customWidth="1"/>
    <col min="4" max="4" width="14.57421875" style="159" customWidth="1"/>
    <col min="5" max="5" width="11.57421875" style="159" customWidth="1"/>
    <col min="6" max="6" width="11.421875" style="159" customWidth="1"/>
    <col min="7" max="7" width="13.421875" style="159" customWidth="1"/>
    <col min="8" max="8" width="14.57421875" style="159" customWidth="1"/>
    <col min="9" max="9" width="17.421875" style="159" customWidth="1"/>
    <col min="10" max="10" width="11.421875" style="159" customWidth="1"/>
    <col min="11" max="11" width="14.8515625" style="159" customWidth="1"/>
    <col min="12" max="12" width="14.28125" style="159" customWidth="1"/>
    <col min="13" max="13" width="13.00390625" style="159" customWidth="1"/>
    <col min="14" max="14" width="12.140625" style="159" customWidth="1"/>
    <col min="15" max="15" width="21.8515625" style="159" customWidth="1"/>
    <col min="16" max="16" width="9.140625" style="159" customWidth="1"/>
    <col min="17" max="17" width="10.8515625" style="159" customWidth="1"/>
    <col min="18" max="18" width="10.57421875" style="159" customWidth="1"/>
    <col min="19" max="19" width="6.421875" style="159" customWidth="1"/>
    <col min="20" max="20" width="15.7109375" style="159" customWidth="1"/>
    <col min="21" max="21" width="10.7109375" style="159" customWidth="1"/>
    <col min="22" max="22" width="9.57421875" style="159" customWidth="1"/>
    <col min="23" max="23" width="9.8515625" style="159" customWidth="1"/>
    <col min="24" max="24" width="11.00390625" style="159" customWidth="1"/>
    <col min="25" max="25" width="9.140625" style="159" customWidth="1"/>
    <col min="26" max="26" width="11.57421875" style="159" customWidth="1"/>
    <col min="27" max="27" width="10.8515625" style="159" customWidth="1"/>
    <col min="28" max="28" width="12.140625" style="159" customWidth="1"/>
    <col min="29" max="29" width="16.140625" style="159" customWidth="1"/>
    <col min="30" max="30" width="2.140625" style="159" customWidth="1"/>
    <col min="31" max="16384" width="9.140625" style="159" customWidth="1"/>
  </cols>
  <sheetData>
    <row r="1" spans="1:5" ht="15.75">
      <c r="A1" s="381" t="s">
        <v>846</v>
      </c>
      <c r="B1" s="382" t="s">
        <v>847</v>
      </c>
      <c r="C1" s="383" t="s">
        <v>848</v>
      </c>
      <c r="D1" s="526"/>
      <c r="E1" s="526"/>
    </row>
    <row r="2" spans="1:5" ht="18.75" thickBot="1">
      <c r="A2" s="396" t="str">
        <f>'{a}Project &amp; Stage Info'!C3</f>
        <v>Model Development</v>
      </c>
      <c r="B2" s="397">
        <f>'{a}Project &amp; Stage Info'!C5</f>
        <v>38145</v>
      </c>
      <c r="C2" s="398" t="str">
        <f>'{a}Project &amp; Stage Info'!C7</f>
        <v>A1</v>
      </c>
      <c r="D2" s="664"/>
      <c r="E2" s="664"/>
    </row>
    <row r="3" s="226" customFormat="1" ht="15"/>
    <row r="4" spans="1:9" ht="19.5" customHeight="1">
      <c r="A4" s="429" t="s">
        <v>759</v>
      </c>
      <c r="B4" s="429"/>
      <c r="C4" s="153"/>
      <c r="D4" s="153"/>
      <c r="E4" s="153"/>
      <c r="G4" s="626"/>
      <c r="H4" s="626"/>
      <c r="I4" s="626"/>
    </row>
    <row r="5" spans="1:9" s="226" customFormat="1" ht="14.25" customHeight="1" thickBot="1">
      <c r="A5" s="152"/>
      <c r="B5" s="152"/>
      <c r="C5" s="225"/>
      <c r="D5" s="225"/>
      <c r="E5" s="225"/>
      <c r="F5" s="430"/>
      <c r="G5" s="430"/>
      <c r="H5" s="430"/>
      <c r="I5" s="430"/>
    </row>
    <row r="6" spans="1:5" ht="13.5" thickBot="1">
      <c r="A6" s="628" t="s">
        <v>754</v>
      </c>
      <c r="B6" s="629" t="s">
        <v>132</v>
      </c>
      <c r="C6" s="2010" t="s">
        <v>1792</v>
      </c>
      <c r="D6" s="153"/>
      <c r="E6" s="153"/>
    </row>
    <row r="7" spans="1:11" ht="13.5" thickTop="1">
      <c r="A7" s="731" t="s">
        <v>698</v>
      </c>
      <c r="B7" s="732">
        <v>95</v>
      </c>
      <c r="C7" s="733">
        <f>B7/100</f>
        <v>0.95</v>
      </c>
      <c r="D7" s="627" t="s">
        <v>758</v>
      </c>
      <c r="E7" s="627"/>
      <c r="K7" s="451"/>
    </row>
    <row r="8" spans="1:11" ht="12.75">
      <c r="A8" s="632" t="s">
        <v>699</v>
      </c>
      <c r="B8" s="314">
        <v>100</v>
      </c>
      <c r="C8" s="2024">
        <f>B8/100</f>
        <v>1</v>
      </c>
      <c r="D8" s="627" t="s">
        <v>757</v>
      </c>
      <c r="E8" s="627"/>
      <c r="K8" s="451"/>
    </row>
    <row r="9" spans="1:6" ht="13.5" thickBot="1">
      <c r="A9" s="2490" t="s">
        <v>55</v>
      </c>
      <c r="B9" s="2491"/>
      <c r="C9" s="2025">
        <f>C7*C8</f>
        <v>0.95</v>
      </c>
      <c r="D9" s="2016"/>
      <c r="E9" s="187"/>
      <c r="F9" s="153"/>
    </row>
    <row r="10" spans="1:6" ht="12.75">
      <c r="A10" s="158"/>
      <c r="B10" s="158"/>
      <c r="C10" s="2016"/>
      <c r="D10" s="2016"/>
      <c r="E10" s="187"/>
      <c r="F10" s="153"/>
    </row>
    <row r="11" spans="1:9" ht="12.75">
      <c r="A11" s="1801" t="s">
        <v>645</v>
      </c>
      <c r="B11" s="158"/>
      <c r="C11" s="2016"/>
      <c r="D11" s="2016"/>
      <c r="E11" s="187"/>
      <c r="F11" s="153"/>
      <c r="I11" s="159" t="s">
        <v>1055</v>
      </c>
    </row>
    <row r="12" spans="1:10" ht="12.75">
      <c r="A12" s="159" t="s">
        <v>167</v>
      </c>
      <c r="B12" s="158"/>
      <c r="C12" s="2016"/>
      <c r="D12" s="2016"/>
      <c r="E12" s="187"/>
      <c r="F12" s="153"/>
      <c r="H12" s="333">
        <f>H13*1440</f>
        <v>1292630400</v>
      </c>
      <c r="I12" s="333">
        <f>I13*1440</f>
        <v>646315200</v>
      </c>
      <c r="J12" s="333">
        <f>J13*1440</f>
        <v>193894560</v>
      </c>
    </row>
    <row r="13" spans="2:10" ht="12.75">
      <c r="B13" s="158"/>
      <c r="C13" s="2016"/>
      <c r="D13" s="2016"/>
      <c r="E13" s="187"/>
      <c r="F13" s="153"/>
      <c r="H13" s="333">
        <f>7.4805*H14*60</f>
        <v>897660</v>
      </c>
      <c r="I13" s="333">
        <f>7.4805*I14*60</f>
        <v>448830</v>
      </c>
      <c r="J13" s="333">
        <f>7.4805*J14*60</f>
        <v>134649</v>
      </c>
    </row>
    <row r="14" spans="8:10" ht="12.75">
      <c r="H14" s="159">
        <v>2000</v>
      </c>
      <c r="I14" s="159">
        <v>1000</v>
      </c>
      <c r="J14" s="159">
        <v>300</v>
      </c>
    </row>
    <row r="15" ht="16.5" thickBot="1">
      <c r="A15" s="193" t="s">
        <v>1513</v>
      </c>
    </row>
    <row r="16" spans="1:11" ht="15" thickBot="1">
      <c r="A16" s="628" t="s">
        <v>920</v>
      </c>
      <c r="B16" s="629" t="s">
        <v>829</v>
      </c>
      <c r="C16" s="629" t="s">
        <v>828</v>
      </c>
      <c r="D16" s="629" t="s">
        <v>871</v>
      </c>
      <c r="E16" s="629" t="s">
        <v>100</v>
      </c>
      <c r="F16" s="629" t="s">
        <v>890</v>
      </c>
      <c r="G16" s="629" t="s">
        <v>103</v>
      </c>
      <c r="H16" s="629" t="s">
        <v>1752</v>
      </c>
      <c r="I16" s="2026" t="s">
        <v>1517</v>
      </c>
      <c r="J16" s="629" t="s">
        <v>677</v>
      </c>
      <c r="K16" s="630" t="s">
        <v>1519</v>
      </c>
    </row>
    <row r="17" spans="1:11" ht="13.5" thickTop="1">
      <c r="A17" s="631" t="s">
        <v>87</v>
      </c>
      <c r="B17" s="1947">
        <v>0</v>
      </c>
      <c r="C17" s="1971">
        <v>0</v>
      </c>
      <c r="D17" s="1970">
        <v>0</v>
      </c>
      <c r="E17" s="2042">
        <v>0</v>
      </c>
      <c r="F17" s="1970">
        <v>0</v>
      </c>
      <c r="G17" s="1970">
        <v>0</v>
      </c>
      <c r="H17" s="1947">
        <v>100</v>
      </c>
      <c r="I17" s="2028"/>
      <c r="J17" s="1970">
        <v>0</v>
      </c>
      <c r="K17" s="2038"/>
    </row>
    <row r="18" spans="1:11" ht="12.75">
      <c r="A18" s="2100" t="s">
        <v>23</v>
      </c>
      <c r="B18" s="2029">
        <f>C18*(1/60)</f>
        <v>4380.787037037037</v>
      </c>
      <c r="C18" s="2030">
        <f>IF(B17&gt;0,B17*(60/1),IF(C17&gt;0,C17,IF(D17&gt;0,D17*(1/440),IF(E17&gt;0,E17*(3.785/1),IF(F17&gt;0,F17*(1/60)*(3.785/1),IF(G17&gt;0,G17*(1/1440)*(3.785/1),IF(H17&gt;0,H17*(1/1440)*(3.785/1)*(1000000/1),IF(J17&gt;0,J17*(1/1440)*(1000/1)))))))))</f>
        <v>262847.22222222225</v>
      </c>
      <c r="D18" s="2031">
        <f>C18*1440</f>
        <v>378500000.00000006</v>
      </c>
      <c r="E18" s="2032">
        <f>C18*(1/3.78541)</f>
        <v>69436.92287552002</v>
      </c>
      <c r="F18" s="2033">
        <f>C18*(60/1)*(1/3.78541)</f>
        <v>4166215.372531201</v>
      </c>
      <c r="G18" s="2033">
        <f>F18*24</f>
        <v>99989168.94074883</v>
      </c>
      <c r="H18" s="2029">
        <f>G18/1000000</f>
        <v>99.98916894074883</v>
      </c>
      <c r="I18" s="2103">
        <f>G18*365.242</f>
        <v>36520244042.25698</v>
      </c>
      <c r="J18" s="2031">
        <f>C18*(1440/1)*(1/1000)</f>
        <v>378500.00000000006</v>
      </c>
      <c r="K18" s="2103">
        <f>J18*365.242</f>
        <v>138244097.00000003</v>
      </c>
    </row>
    <row r="19" spans="1:11" ht="12.75">
      <c r="A19" s="632" t="s">
        <v>30</v>
      </c>
      <c r="B19" s="1946">
        <f>B18/($C$9)</f>
        <v>4611.35477582846</v>
      </c>
      <c r="C19" s="1886">
        <f>C18/($C$9)</f>
        <v>276681.28654970764</v>
      </c>
      <c r="D19" s="2041"/>
      <c r="E19" s="1886">
        <f>E18/($C$9)</f>
        <v>73091.49776370528</v>
      </c>
      <c r="F19" s="1083">
        <f>F18/($C$9)</f>
        <v>4385489.865822317</v>
      </c>
      <c r="G19" s="1083">
        <f>G18/($C$9)</f>
        <v>105251756.77973561</v>
      </c>
      <c r="H19" s="2019"/>
      <c r="I19" s="2019"/>
      <c r="J19" s="2039"/>
      <c r="K19" s="2040"/>
    </row>
    <row r="20" spans="1:11" ht="13.5" thickBot="1">
      <c r="A20" s="635" t="s">
        <v>29</v>
      </c>
      <c r="B20" s="2020"/>
      <c r="C20" s="2020"/>
      <c r="D20" s="2021">
        <f>D18/($C$9)</f>
        <v>398421052.63157904</v>
      </c>
      <c r="E20" s="2020"/>
      <c r="F20" s="2020"/>
      <c r="G20" s="2020"/>
      <c r="H20" s="2022">
        <f>H18/($C$9)</f>
        <v>105.25175677973562</v>
      </c>
      <c r="I20" s="2021">
        <f>I18/($C$9)</f>
        <v>38442362149.744194</v>
      </c>
      <c r="J20" s="2022">
        <f>J18/($C$9)</f>
        <v>398421.05263157905</v>
      </c>
      <c r="K20" s="2473">
        <f>K18/($C$9)</f>
        <v>145520102.1052632</v>
      </c>
    </row>
    <row r="21" spans="1:11" ht="12.75">
      <c r="A21" s="153"/>
      <c r="B21" s="2018"/>
      <c r="C21" s="2018"/>
      <c r="D21" s="170"/>
      <c r="E21" s="2018"/>
      <c r="F21" s="2018"/>
      <c r="G21" s="2018"/>
      <c r="H21" s="2017"/>
      <c r="I21" s="2017"/>
      <c r="J21" s="2017"/>
      <c r="K21" s="2017"/>
    </row>
    <row r="22" spans="1:11" ht="12.75">
      <c r="A22" s="153"/>
      <c r="B22" s="2018"/>
      <c r="C22" s="2018"/>
      <c r="D22" s="170"/>
      <c r="E22" s="2018"/>
      <c r="F22" s="2018"/>
      <c r="G22" s="2018"/>
      <c r="H22" s="2017"/>
      <c r="I22" s="2017"/>
      <c r="J22" s="2017"/>
      <c r="K22" s="2017"/>
    </row>
    <row r="23" spans="1:11" ht="16.5" thickBot="1">
      <c r="A23" s="193" t="s">
        <v>26</v>
      </c>
      <c r="B23" s="1973"/>
      <c r="D23" s="2042"/>
      <c r="E23" s="1968"/>
      <c r="G23" s="153"/>
      <c r="H23" s="153"/>
      <c r="I23" s="153"/>
      <c r="J23" s="153"/>
      <c r="K23" s="153"/>
    </row>
    <row r="24" spans="1:11" ht="15" thickBot="1">
      <c r="A24" s="628" t="s">
        <v>920</v>
      </c>
      <c r="B24" s="629" t="s">
        <v>829</v>
      </c>
      <c r="C24" s="629" t="s">
        <v>828</v>
      </c>
      <c r="D24" s="2043" t="s">
        <v>871</v>
      </c>
      <c r="E24" s="629" t="s">
        <v>100</v>
      </c>
      <c r="F24" s="629" t="s">
        <v>890</v>
      </c>
      <c r="G24" s="629" t="s">
        <v>103</v>
      </c>
      <c r="H24" s="629" t="s">
        <v>1752</v>
      </c>
      <c r="I24" s="2026" t="s">
        <v>1517</v>
      </c>
      <c r="J24" s="629" t="s">
        <v>677</v>
      </c>
      <c r="K24" s="630" t="s">
        <v>1519</v>
      </c>
    </row>
    <row r="25" spans="1:11" ht="13.5" thickTop="1">
      <c r="A25" s="631" t="s">
        <v>87</v>
      </c>
      <c r="B25" s="1947">
        <v>0</v>
      </c>
      <c r="C25" s="1971">
        <v>0</v>
      </c>
      <c r="D25" s="1970">
        <v>0</v>
      </c>
      <c r="E25" s="1971">
        <v>0</v>
      </c>
      <c r="F25" s="1970">
        <v>0</v>
      </c>
      <c r="G25" s="1970">
        <v>0</v>
      </c>
      <c r="H25" s="1947">
        <v>1</v>
      </c>
      <c r="I25" s="2028"/>
      <c r="J25" s="1970">
        <v>0</v>
      </c>
      <c r="K25" s="2038"/>
    </row>
    <row r="26" spans="1:11" ht="12.75">
      <c r="A26" s="632" t="s">
        <v>1663</v>
      </c>
      <c r="B26" s="1946">
        <f>C26*(1/60)</f>
        <v>43.807870370370374</v>
      </c>
      <c r="C26" s="1886">
        <f>IF(B25&gt;0,B25*(60/1),IF(C25&gt;0,C25,IF(D25&gt;0,D25*(1/440),IF(E25&gt;0,E25*(3.785/1),IF(F25&gt;0,F25*(1/60)*(3.785/1),IF(G25&gt;0,G25*(1/1440)*(3.785/1),IF(H25&gt;0,H25*(1/1440)*(3.785/1)*(1000000/1),IF(J25&gt;0,J25*(1/1440)*(1000/1)))))))))</f>
        <v>2628.4722222222226</v>
      </c>
      <c r="D26" s="1083">
        <f>C26*1440</f>
        <v>3785000.0000000005</v>
      </c>
      <c r="E26" s="634">
        <f>C26*(1/3.78541)</f>
        <v>694.3692287552002</v>
      </c>
      <c r="F26" s="1885">
        <f>C26*(60/1)*(1/3.78541)</f>
        <v>41662.15372531202</v>
      </c>
      <c r="G26" s="1885">
        <f>F26*24</f>
        <v>999891.6894074884</v>
      </c>
      <c r="H26" s="1946">
        <f>G26/1000000</f>
        <v>0.9998916894074884</v>
      </c>
      <c r="I26" s="2027">
        <f>G26*365.242</f>
        <v>365202440.42256993</v>
      </c>
      <c r="J26" s="1083">
        <f>C26*(1440/1)*(1/1000)</f>
        <v>3785.0000000000005</v>
      </c>
      <c r="K26" s="2027">
        <f>J26*365.242</f>
        <v>1382440.9700000002</v>
      </c>
    </row>
    <row r="27" spans="1:11" ht="12.75">
      <c r="A27" s="2100" t="s">
        <v>53</v>
      </c>
      <c r="B27" s="2029">
        <f>B26/($C$9)</f>
        <v>46.113547758284604</v>
      </c>
      <c r="C27" s="2030">
        <f>C26/($C$9)</f>
        <v>2766.8128654970765</v>
      </c>
      <c r="D27" s="2104"/>
      <c r="E27" s="2030">
        <f>E26/($C$9)</f>
        <v>730.9149776370529</v>
      </c>
      <c r="F27" s="2031">
        <f>F26/($C$9)</f>
        <v>43854.89865822318</v>
      </c>
      <c r="G27" s="2031">
        <f>G26/($C$9)</f>
        <v>1052517.5677973563</v>
      </c>
      <c r="H27" s="2105"/>
      <c r="I27" s="2105"/>
      <c r="J27" s="2106"/>
      <c r="K27" s="2107"/>
    </row>
    <row r="28" spans="1:11" ht="13.5" thickBot="1">
      <c r="A28" s="635" t="s">
        <v>29</v>
      </c>
      <c r="B28" s="2020"/>
      <c r="C28" s="2020"/>
      <c r="D28" s="2021">
        <f>D26/($C$9)</f>
        <v>3984210.52631579</v>
      </c>
      <c r="E28" s="2020"/>
      <c r="F28" s="2020"/>
      <c r="G28" s="2020"/>
      <c r="H28" s="2022">
        <f>H26/($C$9)</f>
        <v>1.0525175677973562</v>
      </c>
      <c r="I28" s="2021">
        <f>I26/($C$9)</f>
        <v>384423621.49744207</v>
      </c>
      <c r="J28" s="2022">
        <f>J26/($C$9)</f>
        <v>3984.21052631579</v>
      </c>
      <c r="K28" s="2023">
        <f>K26/($C$9)</f>
        <v>1455201.0210526318</v>
      </c>
    </row>
    <row r="29" spans="2:11" ht="12.75">
      <c r="B29" s="1972"/>
      <c r="D29" s="2042"/>
      <c r="E29" s="1968"/>
      <c r="G29" s="153"/>
      <c r="H29" s="153"/>
      <c r="I29" s="153"/>
      <c r="J29" s="153"/>
      <c r="K29" s="153"/>
    </row>
    <row r="30" spans="1:11" ht="13.5" thickBot="1">
      <c r="A30" s="163"/>
      <c r="B30" s="1974"/>
      <c r="C30" s="187"/>
      <c r="D30" s="187"/>
      <c r="E30" s="272"/>
      <c r="F30" s="153"/>
      <c r="G30" s="636"/>
      <c r="H30" s="190"/>
      <c r="I30" s="190"/>
      <c r="J30" s="203"/>
      <c r="K30" s="203"/>
    </row>
    <row r="31" spans="1:11" ht="15" thickBot="1">
      <c r="A31" s="628" t="s">
        <v>27</v>
      </c>
      <c r="B31" s="629" t="s">
        <v>829</v>
      </c>
      <c r="C31" s="629" t="s">
        <v>828</v>
      </c>
      <c r="D31" s="2043" t="s">
        <v>871</v>
      </c>
      <c r="E31" s="1969" t="s">
        <v>100</v>
      </c>
      <c r="F31" s="629" t="s">
        <v>890</v>
      </c>
      <c r="G31" s="629" t="s">
        <v>103</v>
      </c>
      <c r="H31" s="629" t="s">
        <v>1752</v>
      </c>
      <c r="I31" s="2026" t="s">
        <v>1517</v>
      </c>
      <c r="J31" s="629" t="s">
        <v>677</v>
      </c>
      <c r="K31" s="630" t="s">
        <v>1519</v>
      </c>
    </row>
    <row r="32" spans="1:11" ht="13.5" thickTop="1">
      <c r="A32" s="2101" t="s">
        <v>24</v>
      </c>
      <c r="B32" s="1967">
        <f>$B$18/'{c}Report'!$D$69</f>
        <v>5153.867102396514</v>
      </c>
      <c r="C32" s="1967">
        <f>$C$18/'{c}Report'!$D$69</f>
        <v>309232.02614379086</v>
      </c>
      <c r="D32" s="637">
        <f>$D$18/'{c}Report'!$D$69</f>
        <v>445294117.6470589</v>
      </c>
      <c r="E32" s="1967">
        <f>$E$18/'{c}Report'!$D$69</f>
        <v>81690.49750061179</v>
      </c>
      <c r="F32" s="1967">
        <f>$F$18/'{c}Report'!$D$69</f>
        <v>4901429.850036708</v>
      </c>
      <c r="G32" s="637">
        <f>$G$18/'{c}Report'!$D$69</f>
        <v>117634316.40088098</v>
      </c>
      <c r="H32" s="1967">
        <f>$H$18/'{c}Report'!$D$69</f>
        <v>117.63431640088098</v>
      </c>
      <c r="I32" s="637">
        <f>$I$18/'{c}Report'!$D$69</f>
        <v>42964992990.890564</v>
      </c>
      <c r="J32" s="1967">
        <f>$J$18/'{c}Report'!$D$69</f>
        <v>445294.1176470589</v>
      </c>
      <c r="K32" s="1967">
        <f>$K$18/'{c}Report'!$D$69</f>
        <v>162640114.1176471</v>
      </c>
    </row>
    <row r="33" spans="1:11" ht="12.75">
      <c r="A33" s="2101" t="s">
        <v>54</v>
      </c>
      <c r="B33" s="1967">
        <f>$B$27/'{c}Report'!$D$69</f>
        <v>54.25123265680542</v>
      </c>
      <c r="C33" s="1967">
        <f>$C$27/'{c}Report'!$D$69</f>
        <v>3255.073959408325</v>
      </c>
      <c r="D33" s="2109"/>
      <c r="E33" s="1967">
        <f>$E$27/'{c}Report'!$D$69</f>
        <v>859.8999736906504</v>
      </c>
      <c r="F33" s="1967">
        <f>$F$27/'{c}Report'!$D$69</f>
        <v>51593.998421439035</v>
      </c>
      <c r="G33" s="637">
        <f>$G$27/'{c}Report'!$D$69</f>
        <v>1238255.962114537</v>
      </c>
      <c r="H33" s="2109"/>
      <c r="I33" s="2109"/>
      <c r="J33" s="2109"/>
      <c r="K33" s="2109"/>
    </row>
    <row r="34" spans="1:11" ht="12.75">
      <c r="A34" s="2239" t="s">
        <v>308</v>
      </c>
      <c r="G34" s="123"/>
      <c r="H34" s="238"/>
      <c r="I34" s="238"/>
      <c r="J34" s="191"/>
      <c r="K34" s="153"/>
    </row>
    <row r="35" spans="1:5" ht="13.5" thickBot="1">
      <c r="A35" s="123"/>
      <c r="B35" s="123"/>
      <c r="C35" s="123"/>
      <c r="D35" s="123"/>
      <c r="E35" s="123"/>
    </row>
    <row r="36" spans="1:11" ht="15" thickBot="1">
      <c r="A36" s="628" t="s">
        <v>305</v>
      </c>
      <c r="B36" s="629" t="s">
        <v>829</v>
      </c>
      <c r="C36" s="629" t="s">
        <v>828</v>
      </c>
      <c r="D36" s="2043" t="s">
        <v>871</v>
      </c>
      <c r="E36" s="1969" t="s">
        <v>100</v>
      </c>
      <c r="F36" s="629" t="s">
        <v>890</v>
      </c>
      <c r="G36" s="629" t="s">
        <v>103</v>
      </c>
      <c r="H36" s="629" t="s">
        <v>1752</v>
      </c>
      <c r="I36" s="2026" t="s">
        <v>1517</v>
      </c>
      <c r="J36" s="629" t="s">
        <v>677</v>
      </c>
      <c r="K36" s="630" t="s">
        <v>1519</v>
      </c>
    </row>
    <row r="37" spans="1:11" ht="13.5" thickTop="1">
      <c r="A37" s="2101" t="s">
        <v>306</v>
      </c>
      <c r="B37" s="1967">
        <f>$B$18/'{c}Report'!$D$69</f>
        <v>5153.867102396514</v>
      </c>
      <c r="C37" s="1967">
        <f>$C$18/'{c}Report'!$D$69</f>
        <v>309232.02614379086</v>
      </c>
      <c r="D37" s="637">
        <f>$D$18/'{c}Report'!$D$69</f>
        <v>445294117.6470589</v>
      </c>
      <c r="E37" s="1967">
        <f>$E$18/'{c}Report'!$D$69</f>
        <v>81690.49750061179</v>
      </c>
      <c r="F37" s="1967">
        <f>$F$18/'{c}Report'!$D$69</f>
        <v>4901429.850036708</v>
      </c>
      <c r="G37" s="637">
        <f>$G$18/'{c}Report'!$D$69</f>
        <v>117634316.40088098</v>
      </c>
      <c r="H37" s="1967">
        <f>$H$18/'{c}Report'!$D$69</f>
        <v>117.63431640088098</v>
      </c>
      <c r="I37" s="637">
        <f>$I$18/'{c}Report'!$D$69</f>
        <v>42964992990.890564</v>
      </c>
      <c r="J37" s="1967">
        <f>$J$18/'{c}Report'!$D$69</f>
        <v>445294.1176470589</v>
      </c>
      <c r="K37" s="1967">
        <f>$K$18/'{c}Report'!$D$69</f>
        <v>162640114.1176471</v>
      </c>
    </row>
    <row r="38" spans="1:11" ht="12.75">
      <c r="A38" s="2101" t="s">
        <v>307</v>
      </c>
      <c r="B38" s="1967">
        <f>$B$27/'{c}Report'!$D$69</f>
        <v>54.25123265680542</v>
      </c>
      <c r="C38" s="1967">
        <f>$C$27/'{c}Report'!$D$69</f>
        <v>3255.073959408325</v>
      </c>
      <c r="D38" s="2109"/>
      <c r="E38" s="1967">
        <f>$E$27/'{c}Report'!$D$69</f>
        <v>859.8999736906504</v>
      </c>
      <c r="F38" s="1967">
        <f>$F$27/'{c}Report'!$D$69</f>
        <v>51593.998421439035</v>
      </c>
      <c r="G38" s="637">
        <f>$G$27/'{c}Report'!$D$69</f>
        <v>1238255.962114537</v>
      </c>
      <c r="H38" s="2109"/>
      <c r="I38" s="2109"/>
      <c r="J38" s="2109"/>
      <c r="K38" s="2109"/>
    </row>
    <row r="39" spans="1:11" ht="12.75">
      <c r="A39" s="2239" t="s">
        <v>309</v>
      </c>
      <c r="G39" s="123"/>
      <c r="H39" s="238"/>
      <c r="I39" s="238"/>
      <c r="J39" s="191"/>
      <c r="K39" s="153"/>
    </row>
    <row r="61" ht="12.75">
      <c r="K61" s="153"/>
    </row>
  </sheetData>
  <mergeCells count="1">
    <mergeCell ref="A9:B9"/>
  </mergeCells>
  <printOptions gridLines="1" horizontalCentered="1" verticalCentered="1"/>
  <pageMargins left="0.38" right="0.36" top="0.84" bottom="0.67" header="0.5" footer="0.5"/>
  <pageSetup fitToHeight="1" fitToWidth="1" horizontalDpi="600" verticalDpi="600" orientation="landscape" scale="71" r:id="rId1"/>
  <headerFooter alignWithMargins="0">
    <oddHeader>&amp;C&amp;13&amp;A</oddHeader>
    <oddFooter>&amp;CWater Treatment Cost Estimation Program</oddFooter>
  </headerFooter>
  <colBreaks count="1" manualBreakCount="1">
    <brk id="12" max="65535" man="1"/>
  </colBreaks>
</worksheet>
</file>

<file path=xl/worksheets/sheet9.xml><?xml version="1.0" encoding="utf-8"?>
<worksheet xmlns="http://schemas.openxmlformats.org/spreadsheetml/2006/main" xmlns:r="http://schemas.openxmlformats.org/officeDocument/2006/relationships">
  <sheetPr codeName="Sheet19"/>
  <dimension ref="A1:U25"/>
  <sheetViews>
    <sheetView workbookViewId="0" topLeftCell="A1">
      <selection activeCell="I35" sqref="I35"/>
    </sheetView>
  </sheetViews>
  <sheetFormatPr defaultColWidth="9.140625" defaultRowHeight="12.75"/>
  <cols>
    <col min="1" max="1" width="36.8515625" style="159" customWidth="1"/>
    <col min="2" max="2" width="12.8515625" style="159" customWidth="1"/>
    <col min="3" max="3" width="14.7109375" style="159" customWidth="1"/>
    <col min="4" max="5" width="16.140625" style="159" customWidth="1"/>
    <col min="6" max="6" width="7.57421875" style="159" bestFit="1" customWidth="1"/>
    <col min="7" max="7" width="9.28125" style="159" customWidth="1"/>
    <col min="8" max="8" width="8.7109375" style="159" customWidth="1"/>
    <col min="9" max="9" width="21.140625" style="159" customWidth="1"/>
    <col min="10" max="10" width="17.28125" style="159" customWidth="1"/>
    <col min="11" max="11" width="20.28125" style="159" customWidth="1"/>
    <col min="12" max="12" width="16.28125" style="159" customWidth="1"/>
    <col min="13" max="13" width="19.28125" style="159" customWidth="1"/>
    <col min="14" max="14" width="16.28125" style="159" customWidth="1"/>
    <col min="15" max="15" width="19.28125" style="159" customWidth="1"/>
    <col min="16" max="17" width="11.8515625" style="159" customWidth="1"/>
    <col min="18" max="18" width="12.8515625" style="159" customWidth="1"/>
    <col min="19" max="19" width="11.8515625" style="159" customWidth="1"/>
    <col min="20" max="20" width="12.8515625" style="159" customWidth="1"/>
    <col min="21" max="21" width="11.8515625" style="159" customWidth="1"/>
    <col min="22" max="16384" width="8.7109375" style="159" customWidth="1"/>
  </cols>
  <sheetData>
    <row r="1" spans="1:3" ht="15.75">
      <c r="A1" s="381" t="s">
        <v>846</v>
      </c>
      <c r="B1" s="382" t="s">
        <v>847</v>
      </c>
      <c r="C1" s="383" t="s">
        <v>848</v>
      </c>
    </row>
    <row r="2" spans="1:3" ht="18.75" thickBot="1">
      <c r="A2" s="396" t="str">
        <f>'{a}Project &amp; Stage Info'!C3</f>
        <v>Model Development</v>
      </c>
      <c r="B2" s="397">
        <f>'{a}Project &amp; Stage Info'!C5</f>
        <v>38145</v>
      </c>
      <c r="C2" s="398" t="str">
        <f>'{a}Project &amp; Stage Info'!C7</f>
        <v>A1</v>
      </c>
    </row>
    <row r="3" ht="15.75" customHeight="1"/>
    <row r="4" spans="1:2" ht="18">
      <c r="A4" s="399" t="s">
        <v>533</v>
      </c>
      <c r="B4" s="194"/>
    </row>
    <row r="5" spans="1:2" ht="18">
      <c r="A5" s="399"/>
      <c r="B5" s="194"/>
    </row>
    <row r="6" spans="1:15" ht="13.5" thickBot="1">
      <c r="A6" s="873"/>
      <c r="B6" s="1084"/>
      <c r="C6" s="1062" t="s">
        <v>1682</v>
      </c>
      <c r="D6" s="2492" t="s">
        <v>766</v>
      </c>
      <c r="E6" s="2492"/>
      <c r="F6" s="2492" t="s">
        <v>766</v>
      </c>
      <c r="G6" s="2492"/>
      <c r="J6" s="508"/>
      <c r="K6" s="508"/>
      <c r="L6" s="508"/>
      <c r="M6" s="508"/>
      <c r="N6" s="508"/>
      <c r="O6" s="508"/>
    </row>
    <row r="7" spans="1:15" ht="15" thickTop="1">
      <c r="A7" s="474" t="s">
        <v>377</v>
      </c>
      <c r="B7" s="1081">
        <f>IF('{c}Report'!D38=0,'{b}Capacity'!$B$19,'{c}Report'!D38)</f>
        <v>4611.35477582846</v>
      </c>
      <c r="C7" s="433" t="s">
        <v>99</v>
      </c>
      <c r="D7" s="1083">
        <f>B7*60/3.785</f>
        <v>73099.41520467837</v>
      </c>
      <c r="E7" s="687" t="s">
        <v>100</v>
      </c>
      <c r="F7" s="1083">
        <f>B7*86400/1000</f>
        <v>398421.052631579</v>
      </c>
      <c r="G7" s="433" t="s">
        <v>1497</v>
      </c>
      <c r="J7" s="508"/>
      <c r="K7" s="508"/>
      <c r="L7" s="508"/>
      <c r="M7" s="508"/>
      <c r="N7" s="508"/>
      <c r="O7" s="508"/>
    </row>
    <row r="8" spans="1:21" ht="12.75">
      <c r="A8" s="153"/>
      <c r="B8" s="153"/>
      <c r="C8" s="153"/>
      <c r="D8" s="154"/>
      <c r="E8" s="153"/>
      <c r="F8" s="153"/>
      <c r="G8" s="153"/>
      <c r="M8" s="333"/>
      <c r="O8" s="333"/>
      <c r="P8" s="333"/>
      <c r="Q8" s="333"/>
      <c r="R8" s="333"/>
      <c r="S8" s="333"/>
      <c r="T8" s="333"/>
      <c r="U8" s="333"/>
    </row>
    <row r="9" spans="9:21" ht="12.75">
      <c r="I9" s="239"/>
      <c r="J9" s="511"/>
      <c r="K9" s="511"/>
      <c r="L9" s="511"/>
      <c r="M9" s="511"/>
      <c r="N9" s="511"/>
      <c r="O9" s="511"/>
      <c r="P9" s="333"/>
      <c r="Q9" s="333"/>
      <c r="R9" s="333"/>
      <c r="S9" s="333"/>
      <c r="T9" s="333"/>
      <c r="U9" s="333"/>
    </row>
    <row r="10" spans="6:21" ht="13.5" thickBot="1">
      <c r="F10" s="511"/>
      <c r="I10" s="239"/>
      <c r="J10" s="511"/>
      <c r="K10" s="511"/>
      <c r="L10" s="511"/>
      <c r="M10" s="511"/>
      <c r="N10" s="511"/>
      <c r="O10" s="511"/>
      <c r="P10" s="333"/>
      <c r="Q10" s="333"/>
      <c r="R10" s="333"/>
      <c r="S10" s="333"/>
      <c r="T10" s="333"/>
      <c r="U10" s="333"/>
    </row>
    <row r="11" spans="1:21" ht="13.5" thickBot="1">
      <c r="A11" s="159" t="s">
        <v>534</v>
      </c>
      <c r="C11" s="1978">
        <v>12</v>
      </c>
      <c r="D11" s="1979">
        <v>6</v>
      </c>
      <c r="E11" s="1980">
        <v>3</v>
      </c>
      <c r="I11" s="239"/>
      <c r="J11" s="511"/>
      <c r="K11" s="511"/>
      <c r="L11" s="511"/>
      <c r="M11" s="511"/>
      <c r="N11" s="511"/>
      <c r="O11" s="511"/>
      <c r="P11" s="333"/>
      <c r="Q11" s="333"/>
      <c r="R11" s="333"/>
      <c r="S11" s="333"/>
      <c r="T11" s="333"/>
      <c r="U11" s="333"/>
    </row>
    <row r="12" spans="1:21" ht="13.5" thickBot="1">
      <c r="A12" s="777" t="s">
        <v>187</v>
      </c>
      <c r="B12" s="822" t="s">
        <v>132</v>
      </c>
      <c r="C12" s="1975">
        <f>IF($F$7&lt;=4000,(9875*$F$7^(1-0.4596)),(1948.8*$F$7^(1-0.2569)))</f>
        <v>28273633.111400202</v>
      </c>
      <c r="D12" s="1976">
        <f>IF($F$7&lt;=4000,9875*$F$7^(1-0.4596),150*$F$7)</f>
        <v>59763157.89473685</v>
      </c>
      <c r="E12" s="1977">
        <f>IF($F$7&lt;=4000,9875*$F$7^(1-0.4596),200*$F$7)</f>
        <v>79684210.5263158</v>
      </c>
      <c r="I12" s="239"/>
      <c r="J12" s="511"/>
      <c r="K12" s="511"/>
      <c r="L12" s="511"/>
      <c r="M12" s="511"/>
      <c r="N12" s="511"/>
      <c r="O12" s="511"/>
      <c r="P12" s="333"/>
      <c r="Q12" s="333"/>
      <c r="R12" s="333"/>
      <c r="S12" s="333"/>
      <c r="T12" s="333"/>
      <c r="U12" s="333"/>
    </row>
    <row r="13" spans="1:21" ht="13.5" thickTop="1">
      <c r="A13" s="1154" t="s">
        <v>1088</v>
      </c>
      <c r="B13" s="1135">
        <v>0.69</v>
      </c>
      <c r="C13" s="1219">
        <f>C$12*$B13*'{d}Cost Index'!$D10</f>
        <v>54138502.76506393</v>
      </c>
      <c r="D13" s="1219">
        <f>D$12*$B13*'{d}Cost Index'!$D10</f>
        <v>114434811.97429073</v>
      </c>
      <c r="E13" s="1220">
        <f>E$12*$B13*'{d}Cost Index'!$D10</f>
        <v>152579749.29905432</v>
      </c>
      <c r="I13" s="239"/>
      <c r="J13" s="511"/>
      <c r="K13" s="511"/>
      <c r="L13" s="511"/>
      <c r="M13" s="511"/>
      <c r="N13" s="511"/>
      <c r="O13" s="511"/>
      <c r="P13" s="333"/>
      <c r="Q13" s="333"/>
      <c r="R13" s="333"/>
      <c r="S13" s="333"/>
      <c r="T13" s="333"/>
      <c r="U13" s="333"/>
    </row>
    <row r="14" spans="1:21" ht="12.75">
      <c r="A14" s="632" t="s">
        <v>1089</v>
      </c>
      <c r="B14" s="1136">
        <v>0.07</v>
      </c>
      <c r="C14" s="1221">
        <f>C$12*$B14*'{d}Cost Index'!$D14</f>
        <v>5981478.060778094</v>
      </c>
      <c r="D14" s="1221">
        <f>D$12*$B14*'{d}Cost Index'!$D14</f>
        <v>12643299.72670012</v>
      </c>
      <c r="E14" s="1222">
        <f>E$12*$B14*'{d}Cost Index'!$D14</f>
        <v>16857732.968933493</v>
      </c>
      <c r="I14" s="239"/>
      <c r="J14" s="511"/>
      <c r="K14" s="511"/>
      <c r="L14" s="511"/>
      <c r="M14" s="511"/>
      <c r="N14" s="511"/>
      <c r="O14" s="511"/>
      <c r="P14" s="333"/>
      <c r="Q14" s="333"/>
      <c r="R14" s="333"/>
      <c r="S14" s="333"/>
      <c r="T14" s="333"/>
      <c r="U14" s="333"/>
    </row>
    <row r="15" spans="1:21" ht="13.5" thickBot="1">
      <c r="A15" s="635" t="s">
        <v>1065</v>
      </c>
      <c r="B15" s="1139">
        <v>0.24</v>
      </c>
      <c r="C15" s="1223">
        <f>C$12*$B15*'{d}Cost Index'!$D16</f>
        <v>14123312.331282914</v>
      </c>
      <c r="D15" s="1223">
        <f>D$12*$B15*'{d}Cost Index'!$D16</f>
        <v>29853034.504816223</v>
      </c>
      <c r="E15" s="1224">
        <f>E$12*$B15*'{d}Cost Index'!$D16</f>
        <v>39804046.00642163</v>
      </c>
      <c r="I15" s="239"/>
      <c r="J15" s="511"/>
      <c r="K15" s="511"/>
      <c r="L15" s="511"/>
      <c r="M15" s="511"/>
      <c r="N15" s="511"/>
      <c r="O15" s="511"/>
      <c r="P15" s="333"/>
      <c r="Q15" s="333"/>
      <c r="R15" s="333"/>
      <c r="S15" s="333"/>
      <c r="T15" s="333"/>
      <c r="U15" s="333"/>
    </row>
    <row r="16" spans="1:15" ht="13.5" thickBot="1">
      <c r="A16" s="758" t="str">
        <f>TEXT(IndexDate,"mmmm, yyyy")&amp;" Capital Cost $:"</f>
        <v>November, 2006 Capital Cost $:</v>
      </c>
      <c r="B16" s="821">
        <f>SUM(B13:B15)</f>
        <v>1</v>
      </c>
      <c r="C16" s="1225">
        <f>SUM(C13:C15)</f>
        <v>74243293.15712494</v>
      </c>
      <c r="D16" s="1225">
        <f>SUM(D13:D15)</f>
        <v>156931146.2058071</v>
      </c>
      <c r="E16" s="1226">
        <f>SUM(E13:E15)</f>
        <v>209241528.27440944</v>
      </c>
      <c r="I16" s="239"/>
      <c r="J16" s="511"/>
      <c r="K16" s="511"/>
      <c r="L16" s="511"/>
      <c r="M16" s="511"/>
      <c r="N16" s="511"/>
      <c r="O16" s="511"/>
    </row>
    <row r="17" spans="9:15" ht="13.5" thickBot="1">
      <c r="I17" s="239"/>
      <c r="J17" s="511"/>
      <c r="K17" s="511"/>
      <c r="L17" s="511"/>
      <c r="M17" s="511"/>
      <c r="N17" s="511"/>
      <c r="O17" s="511"/>
    </row>
    <row r="18" spans="1:15" ht="13.5" thickBot="1">
      <c r="A18" s="777" t="s">
        <v>1778</v>
      </c>
      <c r="B18" s="822" t="s">
        <v>132</v>
      </c>
      <c r="C18" s="1216">
        <f>IF($F$7&lt;=4000,2631.1796*$F$7^(1-0.4706),225.4183*$F$7^(1-0.1692))</f>
        <v>10133361.480744505</v>
      </c>
      <c r="D18" s="1217">
        <f>IF($F$7&lt;=4000,2089.4593*$F$7^(1-0.4187),235.9146*$F$7^(1-0.15))</f>
        <v>13584565.607519064</v>
      </c>
      <c r="E18" s="1218">
        <f>IF($F$7&lt;=4000,1563.4468*$F$7^(1-0.3463),515.9114*$F$7^(1-0.203))</f>
        <v>14998503.21425392</v>
      </c>
      <c r="I18" s="239"/>
      <c r="J18" s="511"/>
      <c r="K18" s="511"/>
      <c r="L18" s="511"/>
      <c r="M18" s="511"/>
      <c r="N18" s="511"/>
      <c r="O18" s="511"/>
    </row>
    <row r="19" spans="1:15" ht="13.5" thickTop="1">
      <c r="A19" s="1151" t="s">
        <v>1118</v>
      </c>
      <c r="B19" s="1301">
        <v>0.36</v>
      </c>
      <c r="C19" s="1227">
        <f>$B19*C$18*'{d}Cost Index'!$D17</f>
        <v>7592761.174048065</v>
      </c>
      <c r="D19" s="1227">
        <f>$B19*D$18*'{d}Cost Index'!$D17</f>
        <v>10178691.691505838</v>
      </c>
      <c r="E19" s="1228">
        <f>$B19*E$18*'{d}Cost Index'!$D17</f>
        <v>11238131.896352267</v>
      </c>
      <c r="I19" s="239"/>
      <c r="J19" s="511"/>
      <c r="K19" s="511"/>
      <c r="L19" s="511"/>
      <c r="M19" s="511"/>
      <c r="N19" s="511"/>
      <c r="O19" s="511"/>
    </row>
    <row r="20" spans="1:15" ht="12.75">
      <c r="A20" s="1152" t="s">
        <v>1116</v>
      </c>
      <c r="B20" s="1302">
        <v>0.12</v>
      </c>
      <c r="C20" s="1229">
        <f>$B20*C$18*'{d}Cost Index'!$D21</f>
        <v>2837341.2146084616</v>
      </c>
      <c r="D20" s="1229">
        <f>$B20*D$18*'{d}Cost Index'!$D21</f>
        <v>3803678.3701053383</v>
      </c>
      <c r="E20" s="1230">
        <f>$B20*E$18*'{d}Cost Index'!$D21</f>
        <v>4199580.899991097</v>
      </c>
      <c r="I20" s="239"/>
      <c r="J20" s="511"/>
      <c r="K20" s="511"/>
      <c r="L20" s="511"/>
      <c r="M20" s="511"/>
      <c r="N20" s="511"/>
      <c r="O20" s="511"/>
    </row>
    <row r="21" spans="1:15" ht="13.5" thickBot="1">
      <c r="A21" s="1153" t="s">
        <v>1119</v>
      </c>
      <c r="B21" s="1303">
        <v>0.52</v>
      </c>
      <c r="C21" s="1231">
        <f>$B21*C$18*'{d}Cost Index'!$D11</f>
        <v>14818447.098560164</v>
      </c>
      <c r="D21" s="1231">
        <f>$B21*D$18*'{d}Cost Index'!$D11</f>
        <v>19865290.229156144</v>
      </c>
      <c r="E21" s="1232">
        <f>$B21*E$18*'{d}Cost Index'!$D11</f>
        <v>21932951.554164544</v>
      </c>
      <c r="I21" s="239"/>
      <c r="J21" s="511"/>
      <c r="K21" s="511"/>
      <c r="L21" s="511"/>
      <c r="M21" s="511"/>
      <c r="N21" s="511"/>
      <c r="O21" s="511"/>
    </row>
    <row r="22" spans="1:15" ht="13.5" thickBot="1">
      <c r="A22" s="127" t="str">
        <f>TEXT(IndexDate,"mmmm, yyyy")&amp;"  Operation &amp; Maintenance $:"</f>
        <v>November, 2006  Operation &amp; Maintenance $:</v>
      </c>
      <c r="B22" s="780">
        <f>SUM(B19:B21)</f>
        <v>1</v>
      </c>
      <c r="C22" s="1225">
        <f>SUM(C20:C21)</f>
        <v>17655788.313168626</v>
      </c>
      <c r="D22" s="1225">
        <f>SUM(D20:D21)</f>
        <v>23668968.59926148</v>
      </c>
      <c r="E22" s="1226">
        <f>SUM(E20:E21)</f>
        <v>26132532.45415564</v>
      </c>
      <c r="I22" s="239"/>
      <c r="J22" s="511"/>
      <c r="K22" s="511"/>
      <c r="L22" s="511"/>
      <c r="M22" s="511"/>
      <c r="N22" s="511"/>
      <c r="O22" s="511"/>
    </row>
    <row r="23" spans="9:15" ht="12.75">
      <c r="I23" s="239"/>
      <c r="J23" s="511"/>
      <c r="K23" s="511"/>
      <c r="L23" s="511"/>
      <c r="M23" s="511"/>
      <c r="N23" s="511"/>
      <c r="O23" s="511"/>
    </row>
    <row r="24" spans="3:15" ht="13.5" thickBot="1">
      <c r="C24" s="2474">
        <f>C20/0.07/1000000</f>
        <v>40.53344592297802</v>
      </c>
      <c r="D24" s="2474">
        <f>D20/0.07/1000000</f>
        <v>54.338262430076256</v>
      </c>
      <c r="E24" s="2474">
        <f>E20/0.07/1000000</f>
        <v>59.99401285701566</v>
      </c>
      <c r="J24" s="511"/>
      <c r="K24" s="511"/>
      <c r="L24" s="511"/>
      <c r="M24" s="511"/>
      <c r="N24" s="511"/>
      <c r="O24" s="511"/>
    </row>
    <row r="25" spans="10:15" ht="12.75">
      <c r="J25" s="511"/>
      <c r="K25" s="511"/>
      <c r="L25" s="511"/>
      <c r="M25" s="511"/>
      <c r="N25" s="511"/>
      <c r="O25" s="511"/>
    </row>
    <row r="33" ht="12" customHeight="1"/>
  </sheetData>
  <mergeCells count="2">
    <mergeCell ref="D6:E6"/>
    <mergeCell ref="F6:G6"/>
  </mergeCells>
  <printOptions gridLines="1"/>
  <pageMargins left="0.75" right="0.75" top="1" bottom="1" header="0.5" footer="0.5"/>
  <pageSetup horizontalDpi="300" verticalDpi="300" orientation="portrait" r:id="rId1"/>
  <headerFooter alignWithMargins="0">
    <oddHeader>&amp;C&amp;A</oddHeader>
    <oddFooter>&amp;CWater Treatment Cost Estimation Program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Treatment Cost Estimation Program</dc:title>
  <dc:subject/>
  <dc:creator>Michelle Chapman Wilbert</dc:creator>
  <cp:keywords/>
  <dc:description/>
  <cp:lastModifiedBy>kbenko</cp:lastModifiedBy>
  <cp:lastPrinted>2004-06-14T22:44:25Z</cp:lastPrinted>
  <dcterms:created xsi:type="dcterms:W3CDTF">1999-03-09T15:20:16Z</dcterms:created>
  <dcterms:modified xsi:type="dcterms:W3CDTF">2007-02-27T19:27:46Z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