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8595" tabRatio="845" activeTab="4"/>
  </bookViews>
  <sheets>
    <sheet name="Instructions" sheetId="1" r:id="rId1"/>
    <sheet name="Introduction" sheetId="2" r:id="rId2"/>
    <sheet name="Utility Rates" sheetId="3" r:id="rId3"/>
    <sheet name="Attachment A" sheetId="4" r:id="rId4"/>
    <sheet name="Inputs &amp; Assumptions" sheetId="5" r:id="rId5"/>
    <sheet name="Work Area 1" sheetId="6" state="hidden" r:id="rId6"/>
    <sheet name="Work Area 2 (graphs)" sheetId="7" state="hidden" r:id="rId7"/>
    <sheet name="Outputs" sheetId="8" r:id="rId8"/>
  </sheets>
  <definedNames>
    <definedName name="__123Graph_ACHART1" hidden="1">'Work Area 2 (graphs)'!$C$3:$E$3</definedName>
    <definedName name="__123Graph_ACHART2" hidden="1">'Work Area 2 (graphs)'!$C$16:$C$24</definedName>
    <definedName name="__123Graph_BCHART1" hidden="1">'Work Area 2 (graphs)'!$C$4:$E$4</definedName>
    <definedName name="__123Graph_BCHART2" hidden="1">'Work Area 2 (graphs)'!$D$16:$D$24</definedName>
    <definedName name="__123Graph_CCHART1" hidden="1">'Work Area 2 (graphs)'!$C$5:$E$5</definedName>
    <definedName name="__123Graph_CCHART2" hidden="1">'Work Area 2 (graphs)'!$E$16:$E$24</definedName>
    <definedName name="__123Graph_DCHART1" hidden="1">'Work Area 2 (graphs)'!$C$6:$E$6</definedName>
    <definedName name="__123Graph_DCHART2" hidden="1">'Work Area 2 (graphs)'!$F$16:$F$24</definedName>
    <definedName name="__123Graph_ECHART1" hidden="1">'Work Area 2 (graphs)'!$C$7:$E$7</definedName>
    <definedName name="__123Graph_ECHART2" hidden="1">'Work Area 2 (graphs)'!$G$16:$G$24</definedName>
    <definedName name="__123Graph_FCHART1" hidden="1">'Work Area 2 (graphs)'!$C$8:$E$8</definedName>
    <definedName name="__123Graph_FCHART2" hidden="1">'Work Area 2 (graphs)'!$H$16:$H$24</definedName>
    <definedName name="__123Graph_XCHART2" hidden="1">'Work Area 2 (graphs)'!$B$16:$B$24</definedName>
    <definedName name="_Order1" hidden="1">255</definedName>
    <definedName name="_Order2" hidden="1">255</definedName>
    <definedName name="_Sort" hidden="1">'Work Area 2 (graphs)'!$A$1:$B$20</definedName>
    <definedName name="AERATOR_COST">'Inputs &amp; Assumptions'!$F$54</definedName>
    <definedName name="AERATOR_TARGET">'Inputs &amp; Assumptions'!$C$21</definedName>
    <definedName name="BLOWDOWN_REDUCT">'Inputs &amp; Assumptions'!$C$45</definedName>
    <definedName name="BOILER_AGE">'Attachment A'!$E$149</definedName>
    <definedName name="BOILER_BLOWDOWN">'Attachment A'!$J$155</definedName>
    <definedName name="BOILER_COST">'Inputs &amp; Assumptions'!$F$60</definedName>
    <definedName name="BOILER_EFF">'Inputs &amp; Assumptions'!$C$41</definedName>
    <definedName name="BOILER_FUEL">'Attachment A'!$E$150</definedName>
    <definedName name="BOILER_HEAT">'Inputs &amp; Assumptions'!$C$38</definedName>
    <definedName name="BOILER_PRESSURE">'Attachment A'!$E$154</definedName>
    <definedName name="BUCKET_FILLING">'Inputs &amp; Assumptions'!$C$42</definedName>
    <definedName name="COOLING_COST">'Inputs &amp; Assumptions'!$F$59</definedName>
    <definedName name="DISHWASHER_COST">'Inputs &amp; Assumptions'!$F$63</definedName>
    <definedName name="DISHWASHER_HOT">'Inputs &amp; Assumptions'!$C$30</definedName>
    <definedName name="DISHWASHER_TARG">'Inputs &amp; Assumptions'!$C$19</definedName>
    <definedName name="ELECTRIC_HEAT">'Inputs &amp; Assumptions'!$C$26</definedName>
    <definedName name="ELECTRICITY_BTU">'Inputs &amp; Assumptions'!$C$46</definedName>
    <definedName name="ELECTRICITY_RAT">'Utility Rates'!$H$29</definedName>
    <definedName name="ENERGY_RATE_ARE">'Utility Rates'!$B$2:$I$70</definedName>
    <definedName name="FAUCET_COST">'Inputs &amp; Assumptions'!$F$55</definedName>
    <definedName name="FAUCET_HOT">'Inputs &amp; Assumptions'!$C$28</definedName>
    <definedName name="FAUCET_OR_AERAT">'Inputs &amp; Assumptions'!$F$9</definedName>
    <definedName name="FAUCET_TARGET">'Inputs &amp; Assumptions'!$C$17</definedName>
    <definedName name="FUEL_OIL_RATE">'Utility Rates'!$H$67</definedName>
    <definedName name="GAS_BTU">'Inputs &amp; Assumptions'!$C$39</definedName>
    <definedName name="GAS_HEAT">'Inputs &amp; Assumptions'!$C$27</definedName>
    <definedName name="HOT_WATER_FUEL">'Utility Rates'!$G$10</definedName>
    <definedName name="IR_USAGE">'Inputs &amp; Assumptions'!$C$37</definedName>
    <definedName name="LAND_SAVINGS">'Inputs &amp; Assumptions'!$C$44</definedName>
    <definedName name="LEAK_COST">'Inputs &amp; Assumptions'!$F$57</definedName>
    <definedName name="LEAK_HOT">'Inputs &amp; Assumptions'!$C$32</definedName>
    <definedName name="LINE_LOSS">'Inputs &amp; Assumptions'!$C$36</definedName>
    <definedName name="NATURAL_GAS_RAT">'Utility Rates'!$H$48</definedName>
    <definedName name="OIL_BTU">'Inputs &amp; Assumptions'!$C$40</definedName>
    <definedName name="ONCE_THRU_COST">'Inputs &amp; Assumptions'!$F$58</definedName>
    <definedName name="OUTDOOR_COST">'Inputs &amp; Assumptions'!$F$61</definedName>
    <definedName name="PAGE_1">'Introduction'!$B$2:$I$47</definedName>
    <definedName name="PAGE_2">'Introduction'!$B$48:$I$72</definedName>
    <definedName name="PAGE_3">'Attachment A'!$B$2:$K$42</definedName>
    <definedName name="PAGE_4">'Attachment A'!$B$43:$K$79</definedName>
    <definedName name="PAGE_5">'Attachment A'!$B$80:$K$122</definedName>
    <definedName name="PAGE_6">'Attachment A'!$B$123:$K$163</definedName>
    <definedName name="_xlnm.Print_Area" localSheetId="3">'Attachment A'!$B$2:$K$18,'Attachment A'!$B$20:$K$124,'Attachment A'!$B$126:$K$205</definedName>
    <definedName name="_xlnm.Print_Area" localSheetId="4">'Inputs &amp; Assumptions'!$B$2:$I$66</definedName>
    <definedName name="_xlnm.Print_Area" localSheetId="0">'Instructions'!$B$2:$J$36</definedName>
    <definedName name="_xlnm.Print_Area" localSheetId="1">'Introduction'!$B$2:$I$69</definedName>
    <definedName name="_xlnm.Print_Area" localSheetId="7">'Outputs'!$A$1:$H$63</definedName>
    <definedName name="_xlnm.Print_Area" localSheetId="2">'Utility Rates'!$B$2:$I$70,'Utility Rates'!$B$72:$I$119</definedName>
    <definedName name="_xlnm.Print_Area" localSheetId="5">'Work Area 1'!$A$1:$I$64,'Work Area 1'!$A$71:$S$111</definedName>
    <definedName name="PRINTOUT_AREA">'Outputs'!$A$1:$H$63</definedName>
    <definedName name="SEWER_RATE">'Utility Rates'!$H$116</definedName>
    <definedName name="SHOWER_COST">'Inputs &amp; Assumptions'!$F$56</definedName>
    <definedName name="SHOWER_HOT">'Inputs &amp; Assumptions'!$C$29</definedName>
    <definedName name="SHOWER_TARGET">'Inputs &amp; Assumptions'!$C$18</definedName>
    <definedName name="STATE">'Attachment A'!$H$11</definedName>
    <definedName name="STEAM_PER_HOUR">'Attachment A'!$E$153</definedName>
    <definedName name="TOILET_COST">'Inputs &amp; Assumptions'!$F$51</definedName>
    <definedName name="TOILET_TARGET">'Inputs &amp; Assumptions'!$C$14</definedName>
    <definedName name="UAF_GAS">'Inputs &amp; Assumptions'!$C$34</definedName>
    <definedName name="URINAL_COST">'Inputs &amp; Assumptions'!$F$52</definedName>
    <definedName name="URINAL_TARGET">'Inputs &amp; Assumptions'!$C$15</definedName>
    <definedName name="WASHING_COST">'Inputs &amp; Assumptions'!$F$62</definedName>
    <definedName name="WASHING_HOT">'Inputs &amp; Assumptions'!$C$31</definedName>
    <definedName name="WASHING_TARGET">'Inputs &amp; Assumptions'!$C$20</definedName>
    <definedName name="WATER_ELECTRIC">'Inputs &amp; Assumptions'!$C$33</definedName>
    <definedName name="WATER_RATE">'Utility Rates'!$H$97</definedName>
    <definedName name="WATER_RATE_AREA">'Utility Rates'!$B$72:$I$119</definedName>
    <definedName name="WATERLESS">'Inputs &amp; Assumptions'!$F$6</definedName>
    <definedName name="WATERLESS_COST">'Inputs &amp; Assumptions'!$F$53</definedName>
    <definedName name="WATERLESS_TARGET">'Inputs &amp; Assumptions'!$C$16</definedName>
    <definedName name="WH_PER_GALLON">'Work Area 1'!$A$3:$B$53</definedName>
    <definedName name="WW_ELECTRICITY">'Inputs &amp; Assumptions'!$C$35</definedName>
  </definedNames>
  <calcPr fullCalcOnLoad="1"/>
</workbook>
</file>

<file path=xl/comments3.xml><?xml version="1.0" encoding="utf-8"?>
<comments xmlns="http://schemas.openxmlformats.org/spreadsheetml/2006/main">
  <authors>
    <author>A satisfied Microsoft Office user</author>
  </authors>
  <commentList>
    <comment ref="C31" authorId="0">
      <text>
        <r>
          <rPr>
            <sz val="8"/>
            <rFont val="Tahoma"/>
            <family val="0"/>
          </rPr>
          <t>Formula failed to convert</t>
        </r>
      </text>
    </comment>
    <comment ref="F31" authorId="0">
      <text>
        <r>
          <rPr>
            <sz val="8"/>
            <rFont val="Tahoma"/>
            <family val="0"/>
          </rPr>
          <t>Formula failed to convert</t>
        </r>
      </text>
    </comment>
    <comment ref="C50" authorId="0">
      <text>
        <r>
          <rPr>
            <sz val="8"/>
            <rFont val="Tahoma"/>
            <family val="0"/>
          </rPr>
          <t>Formula failed to convert</t>
        </r>
      </text>
    </comment>
    <comment ref="F50" authorId="0">
      <text>
        <r>
          <rPr>
            <sz val="8"/>
            <rFont val="Tahoma"/>
            <family val="0"/>
          </rPr>
          <t>Formula failed to convert</t>
        </r>
      </text>
    </comment>
    <comment ref="C69" authorId="0">
      <text>
        <r>
          <rPr>
            <sz val="8"/>
            <rFont val="Tahoma"/>
            <family val="0"/>
          </rPr>
          <t>Formula failed to convert</t>
        </r>
      </text>
    </comment>
    <comment ref="F69" authorId="0">
      <text>
        <r>
          <rPr>
            <sz val="8"/>
            <rFont val="Tahoma"/>
            <family val="0"/>
          </rPr>
          <t>Formula failed to convert</t>
        </r>
      </text>
    </comment>
    <comment ref="C99" authorId="0">
      <text>
        <r>
          <rPr>
            <sz val="8"/>
            <rFont val="Tahoma"/>
            <family val="0"/>
          </rPr>
          <t>Formula failed to convert</t>
        </r>
      </text>
    </comment>
    <comment ref="F99" authorId="0">
      <text>
        <r>
          <rPr>
            <sz val="8"/>
            <rFont val="Tahoma"/>
            <family val="0"/>
          </rPr>
          <t>Formula failed to convert</t>
        </r>
      </text>
    </comment>
    <comment ref="C118" authorId="0">
      <text>
        <r>
          <rPr>
            <sz val="8"/>
            <rFont val="Tahoma"/>
            <family val="0"/>
          </rPr>
          <t>Formula failed to convert</t>
        </r>
      </text>
    </comment>
    <comment ref="F118" authorId="0">
      <text>
        <r>
          <rPr>
            <sz val="8"/>
            <rFont val="Tahoma"/>
            <family val="0"/>
          </rPr>
          <t>Formula failed to convert</t>
        </r>
      </text>
    </comment>
  </commentList>
</comments>
</file>

<file path=xl/sharedStrings.xml><?xml version="1.0" encoding="utf-8"?>
<sst xmlns="http://schemas.openxmlformats.org/spreadsheetml/2006/main" count="733" uniqueCount="528">
  <si>
    <t>WATERGY</t>
  </si>
  <si>
    <t>*</t>
  </si>
  <si>
    <t>Conservation from once through cooling, cooling towers, and leak detection are not</t>
  </si>
  <si>
    <t>F E M P</t>
  </si>
  <si>
    <t>FEDERAL ENERGY MANAGEMENT PROGRAM</t>
  </si>
  <si>
    <t>SAVEnergy Action Plans</t>
  </si>
  <si>
    <t>Water Conservation Screening</t>
  </si>
  <si>
    <t>Each FEMP SAVEnergy Action Plan will have a water screening component as a requirement.</t>
  </si>
  <si>
    <t xml:space="preserve">The SAVEnergy Action Plan Report should include, along with basic audit information, </t>
  </si>
  <si>
    <t>projects, but to screen for potential water conservation opportunities.</t>
  </si>
  <si>
    <t>Water Conservation Survey</t>
  </si>
  <si>
    <t>Definition</t>
  </si>
  <si>
    <t>A water conservation survey will identify quantities, characteristics and uses of water on a site.</t>
  </si>
  <si>
    <t>special chemical qualities.  To account for all water uses at the site, the attached checklist</t>
  </si>
  <si>
    <t>irrigation, and evaporation.</t>
  </si>
  <si>
    <t>Preparation</t>
  </si>
  <si>
    <t>operation.  Information gathered from site personnel prior to a site visit should include:</t>
  </si>
  <si>
    <t>* Plumbing drawings and riser diagrams</t>
  </si>
  <si>
    <t>* Names or energy, water and wastewater utilities with copies of the previous twelve months'</t>
  </si>
  <si>
    <t>* Lists of water-using equipment with manufacturers' recommended flow requirements.</t>
  </si>
  <si>
    <t>* Water delivery records from meters and tank trucks.  Locate all meters, wells, and other water</t>
  </si>
  <si>
    <t xml:space="preserve">   delivery sources.</t>
  </si>
  <si>
    <t>* Water meter readings for previous twelve months.</t>
  </si>
  <si>
    <t>* Projected energy, water, wastewater treatment and sewage charges from utilities.</t>
  </si>
  <si>
    <t>Survey of Facility</t>
  </si>
  <si>
    <t>Conduct a walk-through survey with the facility manager to understand how water is used within</t>
  </si>
  <si>
    <t>the facility.  Identify and list all pieces of equipment that use water and, using the following</t>
  </si>
  <si>
    <t>* Record hours of operation of each piece of equipment.</t>
  </si>
  <si>
    <t>* Calculate number of persons using facilities.</t>
  </si>
  <si>
    <t>* Identify special requirements for water use, such as temperature and chemistry, and identify the</t>
  </si>
  <si>
    <t xml:space="preserve">   purpose of these variables.</t>
  </si>
  <si>
    <t>* Measure amount of water use, using a bucket and stopwatch to measure flow rate.</t>
  </si>
  <si>
    <t>* Identify flow of wastewater resulting from each use.</t>
  </si>
  <si>
    <t>Determine Cost of Water Use</t>
  </si>
  <si>
    <t>The following costs are combined  to evaluate cost-effectiveness of potential water conservation</t>
  </si>
  <si>
    <t>* Energy cost of heating water at projected rates.</t>
  </si>
  <si>
    <t>* Cost of pumping (energy).</t>
  </si>
  <si>
    <t>* Chemical or other treatment costs.</t>
  </si>
  <si>
    <t>* Cost paid to wastewater treatment agency if discharge capacity exceeds contract level.</t>
  </si>
  <si>
    <t>* Sewer fees at projected rates.</t>
  </si>
  <si>
    <t>* Energy costs for pumping or repressurizing at projected rates.</t>
  </si>
  <si>
    <t>Water Conservation Recommendations</t>
  </si>
  <si>
    <t>Since the format is for a walk-through survey only, concrete recommendations are not expected</t>
  </si>
  <si>
    <t>as results.  What is expected is a gauge of a water savings potential which can then be referred to a</t>
  </si>
  <si>
    <t>more detailed water conservation audit.</t>
  </si>
  <si>
    <t>ENERGY UTILITY RATE WORKAREA</t>
  </si>
  <si>
    <t xml:space="preserve">Using the appropriate information collected in preparation of the water conservation survey </t>
  </si>
  <si>
    <t>utility rates.</t>
  </si>
  <si>
    <t>What type of energy do you use to heat your domestic hot water?</t>
  </si>
  <si>
    <t xml:space="preserve">     1=ELECTRICITY</t>
  </si>
  <si>
    <t xml:space="preserve">     2=NATURAL GAS</t>
  </si>
  <si>
    <t>Electricity</t>
  </si>
  <si>
    <t>Total</t>
  </si>
  <si>
    <t>Usage (kWh)</t>
  </si>
  <si>
    <t>Cost ($)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</si>
  <si>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</si>
  <si>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</si>
  <si>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</si>
  <si>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</si>
  <si>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</si>
  <si>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</si>
  <si>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</si>
  <si>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</si>
  <si>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</si>
  <si>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</si>
  <si>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</si>
  <si>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</si>
  <si>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per kWh</t>
  </si>
  <si>
    <t>Avg. Month</t>
  </si>
  <si>
    <t>Natural Gas</t>
  </si>
  <si>
    <t>Usage (cu.ft.)</t>
  </si>
  <si>
    <t>per cu.ft.</t>
  </si>
  <si>
    <t>Fuel Oil</t>
  </si>
  <si>
    <t>Usage (gal)</t>
  </si>
  <si>
    <t>per gallon</t>
  </si>
  <si>
    <t>WATER UTILITY RATE WORKAREA</t>
  </si>
  <si>
    <t>Enter 1 here if your water and wastewater/sewage bills are combined.</t>
  </si>
  <si>
    <t>Water</t>
  </si>
  <si>
    <t>Usage (gallons)</t>
  </si>
  <si>
    <t>Wastewater/Sewer</t>
  </si>
  <si>
    <t>Attachment A - Water</t>
  </si>
  <si>
    <t>Agency:</t>
  </si>
  <si>
    <t>Facility:</t>
  </si>
  <si>
    <t>Contact Name:</t>
  </si>
  <si>
    <t>Address:</t>
  </si>
  <si>
    <t>City</t>
  </si>
  <si>
    <t>FL</t>
  </si>
  <si>
    <t>Phone/Fax:</t>
  </si>
  <si>
    <t>Date of Audit:</t>
  </si>
  <si>
    <t>Buildings included in Survey:</t>
  </si>
  <si>
    <t>Water Provider(s):</t>
  </si>
  <si>
    <t>Number of Water Meters:</t>
  </si>
  <si>
    <t>Account/Meter Numbers:</t>
  </si>
  <si>
    <t>DOMESTIC WATER USE</t>
  </si>
  <si>
    <t>Toilets</t>
  </si>
  <si>
    <t>Fixture</t>
  </si>
  <si>
    <t>User Count</t>
  </si>
  <si>
    <t>Nameplate:</t>
  </si>
  <si>
    <t>Type</t>
  </si>
  <si>
    <t>GPF</t>
  </si>
  <si>
    <t>Count</t>
  </si>
  <si>
    <t>Female</t>
  </si>
  <si>
    <t>Male</t>
  </si>
  <si>
    <t>GPX</t>
  </si>
  <si>
    <t>GPD</t>
  </si>
  <si>
    <t>Sloan</t>
  </si>
  <si>
    <t>Total GPD=</t>
  </si>
  <si>
    <t>Calculations:</t>
  </si>
  <si>
    <t>GPF=Gallons per flush, estimated or measured</t>
  </si>
  <si>
    <t>GPD=GPF x (3 x Female Count + 1 x Male Count)</t>
  </si>
  <si>
    <t>= Average gallons per day for all toilets</t>
  </si>
  <si>
    <t>GPX=GPD/Fixture Count</t>
  </si>
  <si>
    <t>=Average gallons per day per fixture</t>
  </si>
  <si>
    <t>Urinals</t>
  </si>
  <si>
    <t>GPD=GPF x (2 x Male Count)</t>
  </si>
  <si>
    <t>=Average gallons per day urinals</t>
  </si>
  <si>
    <t>GPM</t>
  </si>
  <si>
    <t>GPM=Measured gallons per minute of faucet flow</t>
  </si>
  <si>
    <t>GPD= 0.17 GPM x (3 x Male Count + 4 x Female Count)</t>
  </si>
  <si>
    <t>=Average gallons per day for hand washing</t>
  </si>
  <si>
    <t>Other Sinks (janitor's closet, laundry, kitchen, etc.)</t>
  </si>
  <si>
    <t>Avg. time on Daily</t>
  </si>
  <si>
    <t>Service</t>
  </si>
  <si>
    <t>min.</t>
  </si>
  <si>
    <t>Kitchen</t>
  </si>
  <si>
    <t>GPD=Time On x GPM x Fixture Count</t>
  </si>
  <si>
    <t>=Average gallons per day for other sink use.</t>
  </si>
  <si>
    <t>Showers</t>
  </si>
  <si>
    <t>daily GPD</t>
  </si>
  <si>
    <t>Location:</t>
  </si>
  <si>
    <t>Known Leaks</t>
  </si>
  <si>
    <t>GPD= Time on x GPM x Fixture Count</t>
  </si>
  <si>
    <t>=Average gallons per day for leaks</t>
  </si>
  <si>
    <t>PLANT COOLING AND HEATING</t>
  </si>
  <si>
    <t>Number:</t>
  </si>
  <si>
    <t>Age:</t>
  </si>
  <si>
    <t>years</t>
  </si>
  <si>
    <t>Size:</t>
  </si>
  <si>
    <t>Boilers</t>
  </si>
  <si>
    <t>/</t>
  </si>
  <si>
    <t>Fuel Source:</t>
  </si>
  <si>
    <t>&lt;</t>
  </si>
  <si>
    <t xml:space="preserve">ENTER&lt; </t>
  </si>
  <si>
    <t>FOR</t>
  </si>
  <si>
    <t>Nat. Gas</t>
  </si>
  <si>
    <t>\</t>
  </si>
  <si>
    <t>Lbs. Steam/hr.</t>
  </si>
  <si>
    <t>Pressure:</t>
  </si>
  <si>
    <t>% Condensate return:</t>
  </si>
  <si>
    <t>% Boiler Blow-down:</t>
  </si>
  <si>
    <t>Quantity</t>
  </si>
  <si>
    <t>Uses/day</t>
  </si>
  <si>
    <t>Gallons/use</t>
  </si>
  <si>
    <t>Total Usage per day</t>
  </si>
  <si>
    <t>Dishwashers</t>
  </si>
  <si>
    <t>gal</t>
  </si>
  <si>
    <t>Washing Machines</t>
  </si>
  <si>
    <t>Acres</t>
  </si>
  <si>
    <t>Acre-ft/yr</t>
  </si>
  <si>
    <t>Turf Area (square feet)</t>
  </si>
  <si>
    <t>Landscaped Area (square feet)</t>
  </si>
  <si>
    <t>Implementation Questions</t>
  </si>
  <si>
    <t>Do you want to look at Waterless or Low-Flow urinals?</t>
  </si>
  <si>
    <t xml:space="preserve">     1=WATERLESS</t>
  </si>
  <si>
    <t xml:space="preserve">     2=LOW FLOW</t>
  </si>
  <si>
    <t xml:space="preserve">     1=AERATORS ONLY</t>
  </si>
  <si>
    <t xml:space="preserve">     2=FAUCET REPLACEMENT</t>
  </si>
  <si>
    <t>Target Usage for Conserving Plumbing Fixtures</t>
  </si>
  <si>
    <t>Gallons per flush</t>
  </si>
  <si>
    <t>Faucet</t>
  </si>
  <si>
    <t>Gallons per minute</t>
  </si>
  <si>
    <t>Showerhead</t>
  </si>
  <si>
    <t>Dishwasher</t>
  </si>
  <si>
    <t>Gallons per load</t>
  </si>
  <si>
    <t>Washing Machine</t>
  </si>
  <si>
    <t>Faucet Aerator</t>
  </si>
  <si>
    <t>Assumptions</t>
  </si>
  <si>
    <t>kWh/gallon for Electrical hot water heaters</t>
  </si>
  <si>
    <t>cf gas/gallon for natural gas hot water heaters</t>
  </si>
  <si>
    <t xml:space="preserve">Faucet </t>
  </si>
  <si>
    <t>of usage is hot water</t>
  </si>
  <si>
    <t xml:space="preserve">Shower </t>
  </si>
  <si>
    <t>Wash Machine</t>
  </si>
  <si>
    <t>Leaks</t>
  </si>
  <si>
    <t>Water Treatment</t>
  </si>
  <si>
    <t>kWh / 1,000 gallons treated - Indirect savings</t>
  </si>
  <si>
    <t>of natural gas unaccounted for - Indirect savings</t>
  </si>
  <si>
    <t>WW elec</t>
  </si>
  <si>
    <t>of Electricity lost in transmission - Indirect savings</t>
  </si>
  <si>
    <t>minutes per use</t>
  </si>
  <si>
    <t>Btu/lb - estimate</t>
  </si>
  <si>
    <t>Heat of Nat gas</t>
  </si>
  <si>
    <t>Btu/cf</t>
  </si>
  <si>
    <t>Heat of Fuel oil</t>
  </si>
  <si>
    <t>Btu/gal</t>
  </si>
  <si>
    <t>Default - 95% for electric, 80% for gas/oil 20 years or less, 70% for all others</t>
  </si>
  <si>
    <t>of non-restroom faucets' usage for cleaning (i.e. bucket filling) or other uses</t>
  </si>
  <si>
    <t>that will not be reduced by an aerator.</t>
  </si>
  <si>
    <t>of water reduced using ET watering techniques</t>
  </si>
  <si>
    <t>Blowdown Reduction</t>
  </si>
  <si>
    <t>of Boiler blowdown reduced through process optimization</t>
  </si>
  <si>
    <t>Heat of Electricity</t>
  </si>
  <si>
    <t>Btu=1 kWh</t>
  </si>
  <si>
    <t>Cost Information</t>
  </si>
  <si>
    <t>Equipment</t>
  </si>
  <si>
    <t>Labor</t>
  </si>
  <si>
    <t>Aerators</t>
  </si>
  <si>
    <t>Sensored Faucets</t>
  </si>
  <si>
    <t>Showerheads</t>
  </si>
  <si>
    <t>Leak Detection</t>
  </si>
  <si>
    <t>Once Thru Conversion</t>
  </si>
  <si>
    <t>Cooling Water Reduction</t>
  </si>
  <si>
    <t>Lawn Sprinkling reduction</t>
  </si>
  <si>
    <t>of water savings value</t>
  </si>
  <si>
    <t>CT</t>
  </si>
  <si>
    <t>Exhibit 7</t>
  </si>
  <si>
    <t>ME</t>
  </si>
  <si>
    <t>Regional Water Treatment and Pumping Energy Costs</t>
  </si>
  <si>
    <t>MA</t>
  </si>
  <si>
    <t>NH</t>
  </si>
  <si>
    <t>Wh saved</t>
  </si>
  <si>
    <t>Avg. Electric</t>
  </si>
  <si>
    <t>Unaccoun-</t>
  </si>
  <si>
    <t>RI</t>
  </si>
  <si>
    <t>Region</t>
  </si>
  <si>
    <t>States</t>
  </si>
  <si>
    <t>Cost/kgal</t>
  </si>
  <si>
    <t>Cost, 1992</t>
  </si>
  <si>
    <t>ted For</t>
  </si>
  <si>
    <t>VT</t>
  </si>
  <si>
    <t>saved *</t>
  </si>
  <si>
    <t>delivered</t>
  </si>
  <si>
    <t>$/kWh **</t>
  </si>
  <si>
    <t>Water (UAF)</t>
  </si>
  <si>
    <t>NJ</t>
  </si>
  <si>
    <t>Connecticut</t>
  </si>
  <si>
    <t>NY</t>
  </si>
  <si>
    <t>Maine</t>
  </si>
  <si>
    <t>DE</t>
  </si>
  <si>
    <t>Massachusetts</t>
  </si>
  <si>
    <t>DC</t>
  </si>
  <si>
    <t>New Hampshire</t>
  </si>
  <si>
    <t>MD</t>
  </si>
  <si>
    <t>Rhode Island</t>
  </si>
  <si>
    <t>PA</t>
  </si>
  <si>
    <t>Vermont</t>
  </si>
  <si>
    <t>VA</t>
  </si>
  <si>
    <t>New Jersey</t>
  </si>
  <si>
    <t>WV</t>
  </si>
  <si>
    <t>New York</t>
  </si>
  <si>
    <t>AL</t>
  </si>
  <si>
    <t>Delaware</t>
  </si>
  <si>
    <t>District of Columbia</t>
  </si>
  <si>
    <t>GA</t>
  </si>
  <si>
    <t>Maryland</t>
  </si>
  <si>
    <t>KY</t>
  </si>
  <si>
    <t>Pennsylvania</t>
  </si>
  <si>
    <t>MS</t>
  </si>
  <si>
    <t>Virginia</t>
  </si>
  <si>
    <t>NC</t>
  </si>
  <si>
    <t>West Virginia</t>
  </si>
  <si>
    <t>SC</t>
  </si>
  <si>
    <t>Alabama</t>
  </si>
  <si>
    <t>TN</t>
  </si>
  <si>
    <t>Florida</t>
  </si>
  <si>
    <t>IL</t>
  </si>
  <si>
    <t>Georgia</t>
  </si>
  <si>
    <t>IN</t>
  </si>
  <si>
    <t>Kentucky</t>
  </si>
  <si>
    <t>MI</t>
  </si>
  <si>
    <t>Mississippi</t>
  </si>
  <si>
    <t>MN</t>
  </si>
  <si>
    <t>North Carolina</t>
  </si>
  <si>
    <t>MT</t>
  </si>
  <si>
    <t>South Carolina</t>
  </si>
  <si>
    <t>OH</t>
  </si>
  <si>
    <t>Tennessee</t>
  </si>
  <si>
    <t>WI</t>
  </si>
  <si>
    <t>Illinois</t>
  </si>
  <si>
    <t>AR</t>
  </si>
  <si>
    <t>Indiana</t>
  </si>
  <si>
    <t>LA</t>
  </si>
  <si>
    <t>Michigan</t>
  </si>
  <si>
    <t>NM</t>
  </si>
  <si>
    <t>Minnesota</t>
  </si>
  <si>
    <t>OK</t>
  </si>
  <si>
    <t>Montana</t>
  </si>
  <si>
    <t>TX</t>
  </si>
  <si>
    <t>Ohio</t>
  </si>
  <si>
    <t>IA</t>
  </si>
  <si>
    <t>Wisconsin</t>
  </si>
  <si>
    <t>KS</t>
  </si>
  <si>
    <t>Arkansas</t>
  </si>
  <si>
    <t>MO</t>
  </si>
  <si>
    <t>Louisiana</t>
  </si>
  <si>
    <t>NE</t>
  </si>
  <si>
    <t>New Mexico</t>
  </si>
  <si>
    <t>CO</t>
  </si>
  <si>
    <t>Oklahoma</t>
  </si>
  <si>
    <t>ND</t>
  </si>
  <si>
    <t>Texas</t>
  </si>
  <si>
    <t>SD</t>
  </si>
  <si>
    <t>Iowa</t>
  </si>
  <si>
    <t>UT</t>
  </si>
  <si>
    <t>Kansas</t>
  </si>
  <si>
    <t>WY</t>
  </si>
  <si>
    <t>Missouri</t>
  </si>
  <si>
    <t>AZ</t>
  </si>
  <si>
    <t>Nebraska</t>
  </si>
  <si>
    <t>CA</t>
  </si>
  <si>
    <t>Colorado</t>
  </si>
  <si>
    <t>NV</t>
  </si>
  <si>
    <t>North Dakota</t>
  </si>
  <si>
    <t>HI</t>
  </si>
  <si>
    <t>South Dakota</t>
  </si>
  <si>
    <t>ID</t>
  </si>
  <si>
    <t>Utah</t>
  </si>
  <si>
    <t>OR</t>
  </si>
  <si>
    <t>Wyoming</t>
  </si>
  <si>
    <t>WA</t>
  </si>
  <si>
    <t>Arizona</t>
  </si>
  <si>
    <t>AK</t>
  </si>
  <si>
    <t>California</t>
  </si>
  <si>
    <t>Nevada</t>
  </si>
  <si>
    <t>Hawaii</t>
  </si>
  <si>
    <t>Idaho</t>
  </si>
  <si>
    <t>Oregon</t>
  </si>
  <si>
    <t>Washington</t>
  </si>
  <si>
    <t>Alaska</t>
  </si>
  <si>
    <t>* Wh saved per gallon of water saved equals EXPENSE/RATE/(1-UAF)</t>
  </si>
  <si>
    <t>** Commercial rates in 1992, the same year as the expenditure and UAF data</t>
  </si>
  <si>
    <t>Direct Energy</t>
  </si>
  <si>
    <t>Indirect</t>
  </si>
  <si>
    <t>Direct</t>
  </si>
  <si>
    <t>Item</t>
  </si>
  <si>
    <t>Current Usage</t>
  </si>
  <si>
    <t>New Usage</t>
  </si>
  <si>
    <t>Reduction</t>
  </si>
  <si>
    <t>Lavatory Sinks (IR faucets or aerators)</t>
  </si>
  <si>
    <t>Other Sinks (Aerators only)</t>
  </si>
  <si>
    <t>Landscape</t>
  </si>
  <si>
    <t>Acre feet/yr</t>
  </si>
  <si>
    <t>gpd</t>
  </si>
  <si>
    <t>Direct Water</t>
  </si>
  <si>
    <t>Indirect Energy</t>
  </si>
  <si>
    <t>Faucets</t>
  </si>
  <si>
    <t>Landscapes</t>
  </si>
  <si>
    <t>Potential Conservation Opportunities</t>
  </si>
  <si>
    <t xml:space="preserve"> </t>
  </si>
  <si>
    <t>Annual Savings ($)</t>
  </si>
  <si>
    <t>Payback</t>
  </si>
  <si>
    <t>Conservation</t>
  </si>
  <si>
    <t>Number of</t>
  </si>
  <si>
    <t xml:space="preserve">Total </t>
  </si>
  <si>
    <t>Method</t>
  </si>
  <si>
    <t>Installations</t>
  </si>
  <si>
    <t>Energy</t>
  </si>
  <si>
    <t>Installation of automatic faucets</t>
  </si>
  <si>
    <t>Installation of faucet aerators</t>
  </si>
  <si>
    <t>Low Flow showerhead</t>
  </si>
  <si>
    <t>Boiler blowdown optimization</t>
  </si>
  <si>
    <t>Efficient dishwashers</t>
  </si>
  <si>
    <t>Efficient washing machines</t>
  </si>
  <si>
    <t>Landscape irrigation optimization</t>
  </si>
  <si>
    <t>Annual</t>
  </si>
  <si>
    <t>Total (excluding Landscape)</t>
  </si>
  <si>
    <t>Kohler</t>
  </si>
  <si>
    <t>valve</t>
  </si>
  <si>
    <t>tank</t>
  </si>
  <si>
    <t>Unknown</t>
  </si>
  <si>
    <t>Moen Dtchble</t>
  </si>
  <si>
    <t>Older</t>
  </si>
  <si>
    <t>None</t>
  </si>
  <si>
    <t>N/A</t>
  </si>
  <si>
    <t>Prepared By:</t>
  </si>
  <si>
    <t>Total Hand Washing GPD=</t>
  </si>
  <si>
    <t>Avg. Use per Day</t>
  </si>
  <si>
    <t>Avg. Time On</t>
  </si>
  <si>
    <t>Square Ft</t>
  </si>
  <si>
    <t>gal/yr</t>
  </si>
  <si>
    <t>gal/day</t>
  </si>
  <si>
    <t>Total Non-Lavatory Washing GPD:</t>
  </si>
  <si>
    <t xml:space="preserve">Installation of ULF toilets and </t>
  </si>
  <si>
    <t xml:space="preserve">Assume 3 hand washings per 8 hour work day per male, 4 per female. </t>
  </si>
  <si>
    <t>Unless otherwise indicated, assume 10 sec. of flow per hand washing.</t>
  </si>
  <si>
    <t>PLEASE COMPLETE THE UTILITY RATE WORKAREA NEXT.</t>
  </si>
  <si>
    <r>
      <t xml:space="preserve">(highlighted in red in the infroduction section), </t>
    </r>
    <r>
      <rPr>
        <sz val="12"/>
        <rFont val="Arial MT"/>
        <family val="0"/>
      </rPr>
      <t>please complete the following questions regarding</t>
    </r>
  </si>
  <si>
    <t>New Consumption</t>
  </si>
  <si>
    <t>Wh used</t>
  </si>
  <si>
    <t>Old Consumption</t>
  </si>
  <si>
    <t>[gallons]</t>
  </si>
  <si>
    <t>[gallons/use]</t>
  </si>
  <si>
    <t>W+WW Cost Savings</t>
  </si>
  <si>
    <t>[$}</t>
  </si>
  <si>
    <t>Implementation</t>
  </si>
  <si>
    <t>Cost, [$]</t>
  </si>
  <si>
    <t>[kWh]</t>
  </si>
  <si>
    <t>Gas Savings</t>
  </si>
  <si>
    <t>[cubic feet]</t>
  </si>
  <si>
    <t>Electricity Savings</t>
  </si>
  <si>
    <t>Electricity Cost</t>
  </si>
  <si>
    <t>Savings, [$]</t>
  </si>
  <si>
    <t>Gas Cost</t>
  </si>
  <si>
    <t>Water Electricity Cost</t>
  </si>
  <si>
    <t>Wastewater Electricity</t>
  </si>
  <si>
    <t>Cost Savings, [$]</t>
  </si>
  <si>
    <t>Line Losses Cost</t>
  </si>
  <si>
    <t>UAF Gas Cost</t>
  </si>
  <si>
    <r>
      <t xml:space="preserve">Then enter combined data in the </t>
    </r>
    <r>
      <rPr>
        <b/>
        <i/>
        <sz val="12"/>
        <rFont val="Arial MT"/>
        <family val="0"/>
      </rPr>
      <t>Water</t>
    </r>
    <r>
      <rPr>
        <sz val="12"/>
        <rFont val="Arial MT"/>
        <family val="0"/>
      </rPr>
      <t xml:space="preserve"> work area.</t>
    </r>
  </si>
  <si>
    <t>Important characteristics include flow rate (gallons per minute), flow direction, temperature and</t>
  </si>
  <si>
    <r>
      <t xml:space="preserve">(Attachment A) </t>
    </r>
    <r>
      <rPr>
        <sz val="12"/>
        <rFont val="Arial MT"/>
        <family val="0"/>
      </rPr>
      <t>should be used.  Total inflow should equal total outflow plus consumption,</t>
    </r>
  </si>
  <si>
    <t>Collect all information regarding water use in the facility and identify those familiar with the</t>
  </si>
  <si>
    <t xml:space="preserve">   bills.  (These and other items highlighted in red will be needed to complete the Utility Rate</t>
  </si>
  <si>
    <t xml:space="preserve">   worksheet that follows.)</t>
  </si>
  <si>
    <t>* Inventory of sanitary fixtures.</t>
  </si>
  <si>
    <t>* Prior water and energy related surveys.</t>
  </si>
  <si>
    <t>measures:</t>
  </si>
  <si>
    <r>
      <t xml:space="preserve">Attachment A - Water.  </t>
    </r>
    <r>
      <rPr>
        <sz val="12"/>
        <rFont val="Arial MT"/>
        <family val="0"/>
      </rPr>
      <t>This</t>
    </r>
    <r>
      <rPr>
        <b/>
        <sz val="12"/>
        <rFont val="Arial MT"/>
        <family val="0"/>
      </rPr>
      <t xml:space="preserve"> water conservation survey </t>
    </r>
    <r>
      <rPr>
        <sz val="12"/>
        <rFont val="Arial MT"/>
        <family val="0"/>
      </rPr>
      <t>will be used not to recommend</t>
    </r>
  </si>
  <si>
    <t>Average Electricity Cost</t>
  </si>
  <si>
    <t>Average Natural Gas Cost</t>
  </si>
  <si>
    <t>Average Fuel Oil Cost</t>
  </si>
  <si>
    <t>Average Water Cost</t>
  </si>
  <si>
    <t>Average Wastewater/Sewer Cost</t>
  </si>
  <si>
    <t>Ft water/acre/yr</t>
  </si>
  <si>
    <t>Lavatory Sinks</t>
  </si>
  <si>
    <t>Oil Savings,</t>
  </si>
  <si>
    <t xml:space="preserve">Oil Cost </t>
  </si>
  <si>
    <t>Waterless Urinals</t>
  </si>
  <si>
    <t>ULF Urinal Replacement</t>
  </si>
  <si>
    <t>ULF Toilet Replacement</t>
  </si>
  <si>
    <t>ULF Toilet</t>
  </si>
  <si>
    <t>ULF Urinal</t>
  </si>
  <si>
    <t>Waterless Urinal</t>
  </si>
  <si>
    <t>Hot Water Heating</t>
  </si>
  <si>
    <t>Faucet Cleaning Use</t>
  </si>
  <si>
    <t>Landscape Savings</t>
  </si>
  <si>
    <t>Boiler Efficiency</t>
  </si>
  <si>
    <r>
      <t xml:space="preserve">Gallons per use </t>
    </r>
    <r>
      <rPr>
        <i/>
        <sz val="11"/>
        <rFont val="Arial MT"/>
        <family val="0"/>
      </rPr>
      <t>(uses just 2-3 gallons HOT water for cleaning, every 8500 uses)</t>
    </r>
  </si>
  <si>
    <t>Heat in Boiler</t>
  </si>
  <si>
    <t>Line Losses</t>
  </si>
  <si>
    <t>UAF Gas</t>
  </si>
  <si>
    <t>IR Sensored Faucet</t>
  </si>
  <si>
    <t>Please note the following:</t>
  </si>
  <si>
    <t>OTHER</t>
  </si>
  <si>
    <t>LANDSCAPE AND DECORATIVE USES</t>
  </si>
  <si>
    <t>SUMMARY</t>
  </si>
  <si>
    <t>TOTAL DAILY DOMESTIC WATER USAGE:</t>
  </si>
  <si>
    <t>TOTAL ANNUAL DOMESTIC WATER USAGE:</t>
  </si>
  <si>
    <t>*assumes 260 operational</t>
  </si>
  <si>
    <t>landscape use.</t>
  </si>
  <si>
    <t>*does not include boiler use or</t>
  </si>
  <si>
    <t>Your Name</t>
  </si>
  <si>
    <t>Sample Building 2</t>
  </si>
  <si>
    <t>John Doe</t>
  </si>
  <si>
    <t>124 Somewhere Blvd.</t>
  </si>
  <si>
    <t>Anywhere</t>
  </si>
  <si>
    <t>303-123-4567</t>
  </si>
  <si>
    <t>ACME Water</t>
  </si>
  <si>
    <t>duration (min.)</t>
  </si>
  <si>
    <t>Wash</t>
  </si>
  <si>
    <r>
      <t xml:space="preserve">guidelines, fill in the light blue shaded areas of </t>
    </r>
    <r>
      <rPr>
        <b/>
        <sz val="12"/>
        <rFont val="Arial MT"/>
        <family val="0"/>
      </rPr>
      <t xml:space="preserve">Attachment A </t>
    </r>
    <r>
      <rPr>
        <sz val="12"/>
        <rFont val="Arial MT"/>
        <family val="0"/>
      </rPr>
      <t>.</t>
    </r>
  </si>
  <si>
    <r>
      <t xml:space="preserve">(highlighted in red in the introduction section), </t>
    </r>
    <r>
      <rPr>
        <sz val="12"/>
        <rFont val="Arial MT"/>
        <family val="0"/>
      </rPr>
      <t>please complete the following questions</t>
    </r>
  </si>
  <si>
    <t xml:space="preserve"> regarding utility rates.  All required information is indicated by the light blue shaded cells. </t>
  </si>
  <si>
    <t>Do you want to look at faucet replacement (with IR sensored faucets) or aerators only for restroom faucets?</t>
  </si>
  <si>
    <t>Cooling Towers</t>
  </si>
  <si>
    <t>% Blow down:</t>
  </si>
  <si>
    <t>% Make-up</t>
  </si>
  <si>
    <t>Water Treatment Method:</t>
  </si>
  <si>
    <t>Evaporative Coolers</t>
  </si>
  <si>
    <t>Air Washers</t>
  </si>
  <si>
    <t>Description:</t>
  </si>
  <si>
    <t>Humidifiers</t>
  </si>
  <si>
    <t>Pumps</t>
  </si>
  <si>
    <t>hp</t>
  </si>
  <si>
    <t>ONCE-THROUGH COOLING</t>
  </si>
  <si>
    <t>Air Conditioners</t>
  </si>
  <si>
    <t>Number of Units:</t>
  </si>
  <si>
    <t>tons</t>
  </si>
  <si>
    <t>gallons</t>
  </si>
  <si>
    <t>Other Once Through</t>
  </si>
  <si>
    <t>NA</t>
  </si>
  <si>
    <t>How to Use This Program</t>
  </si>
  <si>
    <t>1)</t>
  </si>
  <si>
    <t>2)</t>
  </si>
  <si>
    <r>
      <t xml:space="preserve">cells that request information </t>
    </r>
    <r>
      <rPr>
        <u val="single"/>
        <sz val="12"/>
        <rFont val="Arial MT"/>
        <family val="0"/>
      </rPr>
      <t>NOT</t>
    </r>
    <r>
      <rPr>
        <sz val="12"/>
        <rFont val="Arial MT"/>
        <family val="0"/>
      </rPr>
      <t xml:space="preserve"> used in the calculations are patterned, like</t>
    </r>
  </si>
  <si>
    <t>).</t>
  </si>
  <si>
    <t>3)</t>
  </si>
  <si>
    <t xml:space="preserve">Continue by entering the required data on the UTILITY RATES worksheet, and then move </t>
  </si>
  <si>
    <t>on to ATTACHMENT A. (All required information is indicated by the light blue shaded cells;</t>
  </si>
  <si>
    <t>Begin by reading this page and the INTRODUCTION worksheet to better understand the</t>
  </si>
  <si>
    <t>4)</t>
  </si>
  <si>
    <t>View your results on the OUTPUTS page.</t>
  </si>
  <si>
    <t>UTILITY RATES and ATTACHMENT A are designed to look as similar to the paper copies</t>
  </si>
  <si>
    <r>
      <t xml:space="preserve">(FEMP forms) as possible.  The end of ATTACHMENT A is not fully included in </t>
    </r>
    <r>
      <rPr>
        <i/>
        <sz val="12"/>
        <rFont val="Arial MT"/>
        <family val="0"/>
      </rPr>
      <t>WATERGY</t>
    </r>
  </si>
  <si>
    <t>because many of the questions are qualitative or too diverse to form a meaningful general</t>
  </si>
  <si>
    <t>conservation relationship.</t>
  </si>
  <si>
    <r>
      <t xml:space="preserve">The conservation relationships and default values are discussed in the paper </t>
    </r>
    <r>
      <rPr>
        <i/>
        <sz val="12"/>
        <rFont val="Arial MT"/>
        <family val="0"/>
      </rPr>
      <t>WATERGY:</t>
    </r>
  </si>
  <si>
    <r>
      <t xml:space="preserve">A Water and Energy Conservation Model for Federal Facilities </t>
    </r>
    <r>
      <rPr>
        <sz val="12"/>
        <rFont val="Arial MT"/>
        <family val="0"/>
      </rPr>
      <t>presented at CONSERV'96.</t>
    </r>
  </si>
  <si>
    <t>quantified in this model because of the wide variation in cost, effectiveness, and site-specific</t>
  </si>
  <si>
    <t>information needed to estimate such conservation opportunities.</t>
  </si>
  <si>
    <t>this</t>
  </si>
  <si>
    <t>Underlined cells indicate values that have been calculated by the spreadsheet equations.</t>
  </si>
  <si>
    <t xml:space="preserve">Answer the Implementation Questions and review the assumptions on the INPUTS &amp; </t>
  </si>
  <si>
    <t xml:space="preserve">ASSUMPTIONS worksheet to ensure that they are applicable to your situation. Light green </t>
  </si>
  <si>
    <t>shaded cells are required and can be changed by the user.</t>
  </si>
  <si>
    <t>Max PB divided into 8 subsections</t>
  </si>
  <si>
    <t>Toilets/Urinals</t>
  </si>
  <si>
    <t xml:space="preserve">Payback, PB </t>
  </si>
  <si>
    <t>psi</t>
  </si>
  <si>
    <t>Initial</t>
  </si>
  <si>
    <t>Period* (yrs)</t>
  </si>
  <si>
    <r>
      <t>*</t>
    </r>
    <r>
      <rPr>
        <i/>
        <sz val="10"/>
        <rFont val="Arial MT"/>
        <family val="0"/>
      </rPr>
      <t>Includes Direct Energy Only</t>
    </r>
  </si>
  <si>
    <t>Annual Cost Savings, $</t>
  </si>
  <si>
    <t>One Year</t>
  </si>
  <si>
    <t>days (total work days assumed, not total calendar days)</t>
  </si>
  <si>
    <t>Cost, $</t>
  </si>
  <si>
    <t>(each year; not just once)</t>
  </si>
  <si>
    <t>Direct water use/day</t>
  </si>
  <si>
    <t>Direct Energy Savings/day</t>
  </si>
  <si>
    <t>Indirect Energy Savings/day</t>
  </si>
  <si>
    <t xml:space="preserve">days per year (see Inputs &amp; </t>
  </si>
  <si>
    <t>Assumptions sheet to change).</t>
  </si>
  <si>
    <t>State:</t>
  </si>
  <si>
    <t>Zip:</t>
  </si>
  <si>
    <r>
      <t xml:space="preserve">required inputs and how the </t>
    </r>
    <r>
      <rPr>
        <i/>
        <sz val="12"/>
        <rFont val="Arial MT"/>
        <family val="0"/>
      </rPr>
      <t>WATERGY</t>
    </r>
    <r>
      <rPr>
        <sz val="12"/>
        <rFont val="Arial MT"/>
        <family val="0"/>
      </rPr>
      <t xml:space="preserve"> program works. To better understand the  </t>
    </r>
  </si>
  <si>
    <r>
      <t xml:space="preserve">CONSERV'96, titled </t>
    </r>
    <r>
      <rPr>
        <i/>
        <sz val="12"/>
        <rFont val="Arial MT"/>
        <family val="0"/>
      </rPr>
      <t>WATERGY: A Water and Energy Conservation Model for Federal</t>
    </r>
    <r>
      <rPr>
        <sz val="12"/>
        <rFont val="Arial MT"/>
        <family val="0"/>
      </rPr>
      <t xml:space="preserve"> </t>
    </r>
  </si>
  <si>
    <r>
      <t>Facilities</t>
    </r>
    <r>
      <rPr>
        <sz val="12"/>
        <rFont val="Arial MT"/>
        <family val="0"/>
      </rPr>
      <t xml:space="preserve"> by Dr. Sharon deMonsabert and Barry L. Liner.</t>
    </r>
  </si>
  <si>
    <r>
      <t xml:space="preserve">assumptions made in </t>
    </r>
    <r>
      <rPr>
        <i/>
        <sz val="12"/>
        <rFont val="Arial MT"/>
        <family val="0"/>
      </rPr>
      <t>WATERGY</t>
    </r>
    <r>
      <rPr>
        <sz val="12"/>
        <rFont val="Arial MT"/>
        <family val="0"/>
      </rPr>
      <t xml:space="preserve">, be sure to read the original paper, presented at  </t>
    </r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</si>
</sst>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_);\(&quot;$&quot;#,##0.0000\)"/>
    <numFmt numFmtId="165" formatCode="General_)"/>
    <numFmt numFmtId="166" formatCode="#,##0.0_);\(#,##0.0\)"/>
    <numFmt numFmtId="167" formatCode="0.0%"/>
    <numFmt numFmtId="168" formatCode="0.00_)"/>
    <numFmt numFmtId="169" formatCode="&quot;$&quot;#,##0.000_);\(&quot;$&quot;#,##0.000\)"/>
    <numFmt numFmtId="170" formatCode=";;;"/>
    <numFmt numFmtId="171" formatCode="0.0"/>
    <numFmt numFmtId="172" formatCode="#,##0.000_);\(#,##0.000\)"/>
    <numFmt numFmtId="173" formatCode="0.0000"/>
    <numFmt numFmtId="174" formatCode="0.00000"/>
    <numFmt numFmtId="175" formatCode="0.000"/>
    <numFmt numFmtId="176" formatCode="0.000000000"/>
    <numFmt numFmtId="177" formatCode="0.0000000000"/>
    <numFmt numFmtId="178" formatCode="0.00000000"/>
    <numFmt numFmtId="179" formatCode="0.0000000"/>
    <numFmt numFmtId="180" formatCode="0.000000"/>
    <numFmt numFmtId="181" formatCode="&quot;$&quot;#,##0.00"/>
    <numFmt numFmtId="182" formatCode="&quot;$&quot;#,##0.0_);\(&quot;$&quot;#,##0.0\)"/>
    <numFmt numFmtId="183" formatCode="&quot;$&quot;#,##0.00000_);\(&quot;$&quot;#,##0.00000\)"/>
    <numFmt numFmtId="184" formatCode="&quot;$&quot;#,##0.000000_);\(&quot;$&quot;#,##0.000000\)"/>
    <numFmt numFmtId="185" formatCode="#,##0.0000_);\(#,##0.0000\)"/>
    <numFmt numFmtId="186" formatCode="#,##0.00000_);\(#,##0.00000\)"/>
    <numFmt numFmtId="187" formatCode="&quot;$&quot;#,##0.000"/>
    <numFmt numFmtId="188" formatCode="&quot;$&quot;#,##0.0000"/>
    <numFmt numFmtId="189" formatCode="&quot;$&quot;#,##0.0"/>
    <numFmt numFmtId="190" formatCode="&quot;$&quot;#,##0"/>
  </numFmts>
  <fonts count="40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8"/>
      <name val="Arial MT"/>
      <family val="0"/>
    </font>
    <font>
      <b/>
      <u val="single"/>
      <sz val="12"/>
      <name val="Arial MT"/>
      <family val="0"/>
    </font>
    <font>
      <i/>
      <sz val="12"/>
      <name val="Arial MT"/>
      <family val="0"/>
    </font>
    <font>
      <b/>
      <sz val="24"/>
      <name val="Bodoni Black"/>
      <family val="0"/>
    </font>
    <font>
      <sz val="6"/>
      <color indexed="9"/>
      <name val="Arial MT"/>
      <family val="0"/>
    </font>
    <font>
      <b/>
      <sz val="12"/>
      <name val="Arial MT"/>
      <family val="0"/>
    </font>
    <font>
      <u val="single"/>
      <sz val="12"/>
      <name val="Arial MT"/>
      <family val="0"/>
    </font>
    <font>
      <sz val="12"/>
      <color indexed="10"/>
      <name val="Arial MT"/>
      <family val="0"/>
    </font>
    <font>
      <b/>
      <u val="double"/>
      <sz val="12"/>
      <color indexed="10"/>
      <name val="Arial MT"/>
      <family val="0"/>
    </font>
    <font>
      <b/>
      <i/>
      <sz val="12"/>
      <name val="Arial MT"/>
      <family val="0"/>
    </font>
    <font>
      <b/>
      <u val="double"/>
      <sz val="12"/>
      <name val="Arial MT"/>
      <family val="0"/>
    </font>
    <font>
      <sz val="8"/>
      <name val="Arial"/>
      <family val="0"/>
    </font>
    <font>
      <sz val="8"/>
      <name val="Tahoma"/>
      <family val="0"/>
    </font>
    <font>
      <sz val="9"/>
      <name val="Arial MT"/>
      <family val="0"/>
    </font>
    <font>
      <i/>
      <sz val="9"/>
      <name val="Arial MT"/>
      <family val="0"/>
    </font>
    <font>
      <b/>
      <i/>
      <sz val="9"/>
      <name val="Arial MT"/>
      <family val="0"/>
    </font>
    <font>
      <sz val="9"/>
      <name val="TimesNewRomanPS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TimesNewRomanPS"/>
      <family val="0"/>
    </font>
    <font>
      <b/>
      <u val="single"/>
      <sz val="11"/>
      <name val="Arial MT"/>
      <family val="0"/>
    </font>
    <font>
      <sz val="11"/>
      <name val="Arial MT"/>
      <family val="0"/>
    </font>
    <font>
      <b/>
      <sz val="11"/>
      <name val="Arial MT"/>
      <family val="0"/>
    </font>
    <font>
      <i/>
      <sz val="11"/>
      <name val="Arial MT"/>
      <family val="0"/>
    </font>
    <font>
      <b/>
      <sz val="12"/>
      <color indexed="9"/>
      <name val="Arial MT"/>
      <family val="0"/>
    </font>
    <font>
      <sz val="12"/>
      <color indexed="9"/>
      <name val="Arial MT"/>
      <family val="0"/>
    </font>
    <font>
      <b/>
      <i/>
      <sz val="12"/>
      <color indexed="9"/>
      <name val="Arial MT"/>
      <family val="0"/>
    </font>
    <font>
      <sz val="12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sz val="9.75"/>
      <name val="Arial"/>
      <family val="2"/>
    </font>
    <font>
      <b/>
      <sz val="11.5"/>
      <name val="Arial"/>
      <family val="2"/>
    </font>
    <font>
      <b/>
      <sz val="9.75"/>
      <name val="Arial"/>
      <family val="2"/>
    </font>
    <font>
      <i/>
      <sz val="10"/>
      <name val="Arial MT"/>
      <family val="0"/>
    </font>
    <font>
      <b/>
      <sz val="8"/>
      <name val="Arial MT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darkTrellis">
        <bgColor indexed="44"/>
      </patternFill>
    </fill>
    <fill>
      <patternFill patternType="solid">
        <fgColor indexed="62"/>
        <bgColor indexed="64"/>
      </patternFill>
    </fill>
    <fill>
      <patternFill patternType="darkTrellis"/>
    </fill>
    <fill>
      <patternFill patternType="darkTrellis">
        <bgColor indexed="9"/>
      </patternFill>
    </fill>
  </fills>
  <borders count="5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double"/>
    </border>
    <border>
      <left>
        <color indexed="63"/>
      </left>
      <right style="thin">
        <color indexed="8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20">
    <xf numFmtId="0" fontId="0" fillId="0" borderId="0" xfId="0" applyAlignment="1">
      <alignment/>
    </xf>
    <xf numFmtId="5" fontId="0" fillId="0" borderId="0" xfId="0" applyNumberFormat="1" applyAlignment="1" applyProtection="1">
      <alignment/>
      <protection/>
    </xf>
    <xf numFmtId="7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centerContinuous"/>
    </xf>
    <xf numFmtId="0" fontId="10" fillId="0" borderId="2" xfId="0" applyFont="1" applyBorder="1" applyAlignment="1">
      <alignment horizontal="centerContinuous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6" xfId="0" applyBorder="1" applyAlignment="1">
      <alignment/>
    </xf>
    <xf numFmtId="5" fontId="0" fillId="0" borderId="6" xfId="0" applyNumberFormat="1" applyBorder="1" applyAlignment="1" applyProtection="1">
      <alignment/>
      <protection/>
    </xf>
    <xf numFmtId="39" fontId="0" fillId="0" borderId="8" xfId="0" applyNumberFormat="1" applyBorder="1" applyAlignment="1" applyProtection="1">
      <alignment horizontal="center"/>
      <protection/>
    </xf>
    <xf numFmtId="0" fontId="10" fillId="0" borderId="10" xfId="0" applyFont="1" applyBorder="1" applyAlignment="1">
      <alignment/>
    </xf>
    <xf numFmtId="5" fontId="10" fillId="0" borderId="10" xfId="0" applyNumberFormat="1" applyFont="1" applyBorder="1" applyAlignment="1" applyProtection="1">
      <alignment/>
      <protection/>
    </xf>
    <xf numFmtId="0" fontId="0" fillId="2" borderId="3" xfId="0" applyFill="1" applyBorder="1" applyAlignment="1">
      <alignment/>
    </xf>
    <xf numFmtId="0" fontId="0" fillId="2" borderId="0" xfId="0" applyFill="1" applyAlignment="1">
      <alignment/>
    </xf>
    <xf numFmtId="0" fontId="0" fillId="2" borderId="12" xfId="0" applyFill="1" applyBorder="1" applyAlignment="1">
      <alignment/>
    </xf>
    <xf numFmtId="0" fontId="0" fillId="3" borderId="0" xfId="0" applyFill="1" applyAlignment="1">
      <alignment/>
    </xf>
    <xf numFmtId="0" fontId="10" fillId="2" borderId="13" xfId="0" applyFont="1" applyFill="1" applyBorder="1" applyAlignment="1">
      <alignment/>
    </xf>
    <xf numFmtId="0" fontId="10" fillId="2" borderId="14" xfId="0" applyFont="1" applyFill="1" applyBorder="1" applyAlignment="1">
      <alignment/>
    </xf>
    <xf numFmtId="0" fontId="10" fillId="2" borderId="7" xfId="0" applyFont="1" applyFill="1" applyBorder="1" applyAlignment="1">
      <alignment horizontal="left"/>
    </xf>
    <xf numFmtId="0" fontId="10" fillId="2" borderId="15" xfId="0" applyFont="1" applyFill="1" applyBorder="1" applyAlignment="1">
      <alignment/>
    </xf>
    <xf numFmtId="0" fontId="10" fillId="2" borderId="6" xfId="0" applyFont="1" applyFill="1" applyBorder="1" applyAlignment="1">
      <alignment horizontal="left"/>
    </xf>
    <xf numFmtId="0" fontId="10" fillId="2" borderId="16" xfId="0" applyFont="1" applyFill="1" applyBorder="1" applyAlignment="1">
      <alignment/>
    </xf>
    <xf numFmtId="0" fontId="10" fillId="2" borderId="17" xfId="0" applyFont="1" applyFill="1" applyBorder="1" applyAlignment="1">
      <alignment/>
    </xf>
    <xf numFmtId="0" fontId="10" fillId="2" borderId="18" xfId="0" applyFont="1" applyFill="1" applyBorder="1" applyAlignment="1">
      <alignment horizontal="left"/>
    </xf>
    <xf numFmtId="0" fontId="0" fillId="4" borderId="0" xfId="0" applyFill="1" applyAlignment="1">
      <alignment/>
    </xf>
    <xf numFmtId="0" fontId="0" fillId="2" borderId="19" xfId="0" applyFill="1" applyBorder="1" applyAlignment="1">
      <alignment horizontal="center"/>
    </xf>
    <xf numFmtId="0" fontId="0" fillId="2" borderId="19" xfId="0" applyFill="1" applyBorder="1" applyAlignment="1">
      <alignment horizontal="left"/>
    </xf>
    <xf numFmtId="0" fontId="10" fillId="2" borderId="19" xfId="0" applyFont="1" applyFill="1" applyBorder="1" applyAlignment="1">
      <alignment horizontal="center"/>
    </xf>
    <xf numFmtId="0" fontId="0" fillId="2" borderId="19" xfId="0" applyFill="1" applyBorder="1" applyAlignment="1">
      <alignment/>
    </xf>
    <xf numFmtId="0" fontId="6" fillId="2" borderId="19" xfId="0" applyFont="1" applyFill="1" applyBorder="1" applyAlignment="1">
      <alignment horizontal="center"/>
    </xf>
    <xf numFmtId="0" fontId="6" fillId="2" borderId="19" xfId="0" applyFont="1" applyFill="1" applyBorder="1" applyAlignment="1">
      <alignment/>
    </xf>
    <xf numFmtId="0" fontId="10" fillId="5" borderId="19" xfId="0" applyFont="1" applyFill="1" applyBorder="1" applyAlignment="1">
      <alignment horizontal="center"/>
    </xf>
    <xf numFmtId="0" fontId="10" fillId="5" borderId="20" xfId="0" applyFont="1" applyFill="1" applyBorder="1" applyAlignment="1">
      <alignment/>
    </xf>
    <xf numFmtId="0" fontId="10" fillId="5" borderId="0" xfId="0" applyFont="1" applyFill="1" applyBorder="1" applyAlignment="1">
      <alignment/>
    </xf>
    <xf numFmtId="0" fontId="10" fillId="5" borderId="19" xfId="0" applyFont="1" applyFill="1" applyBorder="1" applyAlignment="1">
      <alignment/>
    </xf>
    <xf numFmtId="0" fontId="0" fillId="2" borderId="21" xfId="0" applyFill="1" applyBorder="1" applyAlignment="1">
      <alignment/>
    </xf>
    <xf numFmtId="0" fontId="10" fillId="5" borderId="19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/>
    </xf>
    <xf numFmtId="0" fontId="10" fillId="6" borderId="19" xfId="0" applyFont="1" applyFill="1" applyBorder="1" applyAlignment="1">
      <alignment/>
    </xf>
    <xf numFmtId="0" fontId="10" fillId="2" borderId="19" xfId="0" applyFont="1" applyFill="1" applyBorder="1" applyAlignment="1">
      <alignment horizontal="left"/>
    </xf>
    <xf numFmtId="0" fontId="10" fillId="2" borderId="22" xfId="0" applyFont="1" applyFill="1" applyBorder="1" applyAlignment="1">
      <alignment horizontal="left"/>
    </xf>
    <xf numFmtId="0" fontId="0" fillId="2" borderId="22" xfId="0" applyFill="1" applyBorder="1" applyAlignment="1">
      <alignment/>
    </xf>
    <xf numFmtId="0" fontId="6" fillId="2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0" fillId="2" borderId="23" xfId="0" applyFill="1" applyBorder="1" applyAlignment="1">
      <alignment/>
    </xf>
    <xf numFmtId="39" fontId="10" fillId="0" borderId="11" xfId="0" applyNumberFormat="1" applyFont="1" applyBorder="1" applyAlignment="1" applyProtection="1">
      <alignment horizontal="center"/>
      <protection/>
    </xf>
    <xf numFmtId="0" fontId="0" fillId="0" borderId="5" xfId="0" applyBorder="1" applyAlignment="1">
      <alignment horizontal="center"/>
    </xf>
    <xf numFmtId="39" fontId="0" fillId="0" borderId="1" xfId="0" applyNumberFormat="1" applyBorder="1" applyAlignment="1" applyProtection="1">
      <alignment horizontal="center"/>
      <protection/>
    </xf>
    <xf numFmtId="0" fontId="0" fillId="0" borderId="2" xfId="0" applyBorder="1" applyAlignment="1">
      <alignment/>
    </xf>
    <xf numFmtId="5" fontId="0" fillId="0" borderId="2" xfId="0" applyNumberFormat="1" applyBorder="1" applyAlignment="1" applyProtection="1">
      <alignment/>
      <protection/>
    </xf>
    <xf numFmtId="39" fontId="0" fillId="0" borderId="4" xfId="0" applyNumberFormat="1" applyBorder="1" applyAlignment="1" applyProtection="1">
      <alignment horizontal="center"/>
      <protection/>
    </xf>
    <xf numFmtId="39" fontId="0" fillId="0" borderId="24" xfId="0" applyNumberFormat="1" applyBorder="1" applyAlignment="1" applyProtection="1">
      <alignment horizontal="center"/>
      <protection/>
    </xf>
    <xf numFmtId="0" fontId="0" fillId="0" borderId="25" xfId="0" applyBorder="1" applyAlignment="1">
      <alignment/>
    </xf>
    <xf numFmtId="5" fontId="0" fillId="0" borderId="25" xfId="0" applyNumberFormat="1" applyBorder="1" applyAlignment="1" applyProtection="1">
      <alignment/>
      <protection/>
    </xf>
    <xf numFmtId="39" fontId="0" fillId="0" borderId="26" xfId="0" applyNumberFormat="1" applyBorder="1" applyAlignment="1" applyProtection="1">
      <alignment horizontal="center"/>
      <protection/>
    </xf>
    <xf numFmtId="39" fontId="0" fillId="0" borderId="27" xfId="0" applyNumberFormat="1" applyBorder="1" applyAlignment="1" applyProtection="1">
      <alignment horizontal="center"/>
      <protection/>
    </xf>
    <xf numFmtId="0" fontId="0" fillId="0" borderId="28" xfId="0" applyBorder="1" applyAlignment="1">
      <alignment/>
    </xf>
    <xf numFmtId="5" fontId="0" fillId="0" borderId="28" xfId="0" applyNumberFormat="1" applyBorder="1" applyAlignment="1" applyProtection="1">
      <alignment/>
      <protection/>
    </xf>
    <xf numFmtId="39" fontId="0" fillId="0" borderId="29" xfId="0" applyNumberFormat="1" applyBorder="1" applyAlignment="1" applyProtection="1">
      <alignment horizontal="center"/>
      <protection/>
    </xf>
    <xf numFmtId="39" fontId="0" fillId="0" borderId="30" xfId="0" applyNumberFormat="1" applyBorder="1" applyAlignment="1" applyProtection="1">
      <alignment horizontal="center"/>
      <protection/>
    </xf>
    <xf numFmtId="0" fontId="0" fillId="0" borderId="31" xfId="0" applyBorder="1" applyAlignment="1">
      <alignment/>
    </xf>
    <xf numFmtId="5" fontId="0" fillId="0" borderId="31" xfId="0" applyNumberFormat="1" applyBorder="1" applyAlignment="1" applyProtection="1">
      <alignment/>
      <protection/>
    </xf>
    <xf numFmtId="39" fontId="0" fillId="0" borderId="32" xfId="0" applyNumberFormat="1" applyBorder="1" applyAlignment="1" applyProtection="1">
      <alignment horizontal="center"/>
      <protection/>
    </xf>
    <xf numFmtId="0" fontId="10" fillId="7" borderId="19" xfId="0" applyFont="1" applyFill="1" applyBorder="1" applyAlignment="1">
      <alignment/>
    </xf>
    <xf numFmtId="0" fontId="0" fillId="7" borderId="19" xfId="0" applyFill="1" applyBorder="1" applyAlignment="1">
      <alignment/>
    </xf>
    <xf numFmtId="0" fontId="14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right"/>
    </xf>
    <xf numFmtId="1" fontId="6" fillId="2" borderId="0" xfId="0" applyNumberFormat="1" applyFont="1" applyFill="1" applyBorder="1" applyAlignment="1">
      <alignment/>
    </xf>
    <xf numFmtId="3" fontId="6" fillId="2" borderId="0" xfId="0" applyNumberFormat="1" applyFont="1" applyFill="1" applyBorder="1" applyAlignment="1">
      <alignment/>
    </xf>
    <xf numFmtId="0" fontId="14" fillId="2" borderId="19" xfId="0" applyFont="1" applyFill="1" applyBorder="1" applyAlignment="1">
      <alignment/>
    </xf>
    <xf numFmtId="0" fontId="0" fillId="0" borderId="0" xfId="0" applyBorder="1" applyAlignment="1">
      <alignment/>
    </xf>
    <xf numFmtId="0" fontId="0" fillId="2" borderId="0" xfId="0" applyFont="1" applyFill="1" applyBorder="1" applyAlignment="1">
      <alignment/>
    </xf>
    <xf numFmtId="10" fontId="14" fillId="2" borderId="0" xfId="0" applyNumberFormat="1" applyFont="1" applyFill="1" applyBorder="1" applyAlignment="1" applyProtection="1">
      <alignment/>
      <protection/>
    </xf>
    <xf numFmtId="39" fontId="18" fillId="0" borderId="0" xfId="0" applyNumberFormat="1" applyFont="1" applyAlignment="1" applyProtection="1">
      <alignment/>
      <protection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39" fontId="18" fillId="0" borderId="33" xfId="0" applyNumberFormat="1" applyFont="1" applyBorder="1" applyAlignment="1" applyProtection="1">
      <alignment/>
      <protection/>
    </xf>
    <xf numFmtId="39" fontId="18" fillId="0" borderId="22" xfId="0" applyNumberFormat="1" applyFont="1" applyBorder="1" applyAlignment="1" applyProtection="1">
      <alignment horizontal="center"/>
      <protection/>
    </xf>
    <xf numFmtId="39" fontId="18" fillId="0" borderId="34" xfId="0" applyNumberFormat="1" applyFont="1" applyBorder="1" applyAlignment="1" applyProtection="1">
      <alignment horizontal="center"/>
      <protection/>
    </xf>
    <xf numFmtId="0" fontId="19" fillId="0" borderId="35" xfId="0" applyFont="1" applyBorder="1" applyAlignment="1">
      <alignment horizontal="center"/>
    </xf>
    <xf numFmtId="39" fontId="18" fillId="8" borderId="36" xfId="0" applyNumberFormat="1" applyFont="1" applyFill="1" applyBorder="1" applyAlignment="1" applyProtection="1">
      <alignment/>
      <protection/>
    </xf>
    <xf numFmtId="39" fontId="18" fillId="8" borderId="33" xfId="0" applyNumberFormat="1" applyFont="1" applyFill="1" applyBorder="1" applyAlignment="1" applyProtection="1">
      <alignment/>
      <protection/>
    </xf>
    <xf numFmtId="39" fontId="18" fillId="8" borderId="37" xfId="0" applyNumberFormat="1" applyFont="1" applyFill="1" applyBorder="1" applyAlignment="1">
      <alignment/>
    </xf>
    <xf numFmtId="2" fontId="18" fillId="8" borderId="0" xfId="0" applyNumberFormat="1" applyFont="1" applyFill="1" applyBorder="1" applyAlignment="1">
      <alignment/>
    </xf>
    <xf numFmtId="2" fontId="18" fillId="0" borderId="0" xfId="0" applyNumberFormat="1" applyFont="1" applyBorder="1" applyAlignment="1">
      <alignment/>
    </xf>
    <xf numFmtId="2" fontId="18" fillId="8" borderId="19" xfId="0" applyNumberFormat="1" applyFont="1" applyFill="1" applyBorder="1" applyAlignment="1">
      <alignment/>
    </xf>
    <xf numFmtId="2" fontId="18" fillId="8" borderId="33" xfId="0" applyNumberFormat="1" applyFont="1" applyFill="1" applyBorder="1" applyAlignment="1">
      <alignment/>
    </xf>
    <xf numFmtId="2" fontId="18" fillId="0" borderId="33" xfId="0" applyNumberFormat="1" applyFont="1" applyBorder="1" applyAlignment="1">
      <alignment/>
    </xf>
    <xf numFmtId="2" fontId="18" fillId="8" borderId="37" xfId="0" applyNumberFormat="1" applyFont="1" applyFill="1" applyBorder="1" applyAlignment="1">
      <alignment/>
    </xf>
    <xf numFmtId="2" fontId="18" fillId="8" borderId="38" xfId="0" applyNumberFormat="1" applyFont="1" applyFill="1" applyBorder="1" applyAlignment="1">
      <alignment/>
    </xf>
    <xf numFmtId="2" fontId="18" fillId="0" borderId="38" xfId="0" applyNumberFormat="1" applyFont="1" applyBorder="1" applyAlignment="1">
      <alignment/>
    </xf>
    <xf numFmtId="2" fontId="18" fillId="8" borderId="39" xfId="0" applyNumberFormat="1" applyFont="1" applyFill="1" applyBorder="1" applyAlignment="1">
      <alignment/>
    </xf>
    <xf numFmtId="2" fontId="18" fillId="8" borderId="40" xfId="0" applyNumberFormat="1" applyFont="1" applyFill="1" applyBorder="1" applyAlignment="1">
      <alignment/>
    </xf>
    <xf numFmtId="2" fontId="18" fillId="0" borderId="40" xfId="0" applyNumberFormat="1" applyFont="1" applyBorder="1" applyAlignment="1">
      <alignment/>
    </xf>
    <xf numFmtId="2" fontId="18" fillId="8" borderId="41" xfId="0" applyNumberFormat="1" applyFont="1" applyFill="1" applyBorder="1" applyAlignment="1">
      <alignment/>
    </xf>
    <xf numFmtId="0" fontId="19" fillId="0" borderId="36" xfId="0" applyFont="1" applyBorder="1" applyAlignment="1">
      <alignment horizontal="center"/>
    </xf>
    <xf numFmtId="39" fontId="18" fillId="0" borderId="38" xfId="0" applyNumberFormat="1" applyFont="1" applyBorder="1" applyAlignment="1" applyProtection="1">
      <alignment horizontal="left"/>
      <protection/>
    </xf>
    <xf numFmtId="2" fontId="18" fillId="8" borderId="20" xfId="0" applyNumberFormat="1" applyFont="1" applyFill="1" applyBorder="1" applyAlignment="1">
      <alignment/>
    </xf>
    <xf numFmtId="0" fontId="19" fillId="0" borderId="20" xfId="0" applyFont="1" applyBorder="1" applyAlignment="1">
      <alignment horizontal="center"/>
    </xf>
    <xf numFmtId="2" fontId="18" fillId="0" borderId="33" xfId="0" applyNumberFormat="1" applyFont="1" applyFill="1" applyBorder="1" applyAlignment="1">
      <alignment/>
    </xf>
    <xf numFmtId="39" fontId="18" fillId="8" borderId="42" xfId="0" applyNumberFormat="1" applyFont="1" applyFill="1" applyBorder="1" applyAlignment="1" applyProtection="1">
      <alignment horizontal="left"/>
      <protection/>
    </xf>
    <xf numFmtId="2" fontId="18" fillId="8" borderId="36" xfId="0" applyNumberFormat="1" applyFont="1" applyFill="1" applyBorder="1" applyAlignment="1">
      <alignment/>
    </xf>
    <xf numFmtId="39" fontId="18" fillId="8" borderId="38" xfId="0" applyNumberFormat="1" applyFont="1" applyFill="1" applyBorder="1" applyAlignment="1" applyProtection="1">
      <alignment horizontal="left"/>
      <protection/>
    </xf>
    <xf numFmtId="39" fontId="18" fillId="8" borderId="39" xfId="0" applyNumberFormat="1" applyFont="1" applyFill="1" applyBorder="1" applyAlignment="1" applyProtection="1">
      <alignment horizontal="left"/>
      <protection/>
    </xf>
    <xf numFmtId="0" fontId="18" fillId="8" borderId="22" xfId="0" applyFont="1" applyFill="1" applyBorder="1" applyAlignment="1">
      <alignment horizontal="left"/>
    </xf>
    <xf numFmtId="0" fontId="0" fillId="8" borderId="35" xfId="0" applyFill="1" applyBorder="1" applyAlignment="1">
      <alignment/>
    </xf>
    <xf numFmtId="7" fontId="18" fillId="0" borderId="0" xfId="0" applyNumberFormat="1" applyFont="1" applyAlignment="1" applyProtection="1">
      <alignment/>
      <protection/>
    </xf>
    <xf numFmtId="0" fontId="18" fillId="0" borderId="22" xfId="0" applyFont="1" applyBorder="1" applyAlignment="1">
      <alignment/>
    </xf>
    <xf numFmtId="0" fontId="18" fillId="0" borderId="0" xfId="0" applyFont="1" applyAlignment="1">
      <alignment horizontal="center"/>
    </xf>
    <xf numFmtId="0" fontId="18" fillId="0" borderId="33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0" borderId="37" xfId="0" applyFont="1" applyBorder="1" applyAlignment="1">
      <alignment/>
    </xf>
    <xf numFmtId="0" fontId="0" fillId="0" borderId="33" xfId="0" applyBorder="1" applyAlignment="1">
      <alignment/>
    </xf>
    <xf numFmtId="0" fontId="18" fillId="0" borderId="33" xfId="0" applyFont="1" applyBorder="1" applyAlignment="1">
      <alignment horizontal="left"/>
    </xf>
    <xf numFmtId="0" fontId="18" fillId="0" borderId="43" xfId="0" applyFont="1" applyBorder="1" applyAlignment="1">
      <alignment/>
    </xf>
    <xf numFmtId="181" fontId="18" fillId="0" borderId="33" xfId="0" applyNumberFormat="1" applyFont="1" applyBorder="1" applyAlignment="1">
      <alignment horizontal="center"/>
    </xf>
    <xf numFmtId="181" fontId="18" fillId="0" borderId="37" xfId="0" applyNumberFormat="1" applyFont="1" applyBorder="1" applyAlignment="1">
      <alignment horizontal="center"/>
    </xf>
    <xf numFmtId="7" fontId="18" fillId="0" borderId="33" xfId="0" applyNumberFormat="1" applyFont="1" applyBorder="1" applyAlignment="1" applyProtection="1">
      <alignment horizontal="center"/>
      <protection/>
    </xf>
    <xf numFmtId="7" fontId="18" fillId="0" borderId="37" xfId="0" applyNumberFormat="1" applyFont="1" applyBorder="1" applyAlignment="1" applyProtection="1">
      <alignment horizontal="center"/>
      <protection/>
    </xf>
    <xf numFmtId="0" fontId="18" fillId="8" borderId="0" xfId="0" applyFont="1" applyFill="1" applyBorder="1" applyAlignment="1">
      <alignment horizontal="center"/>
    </xf>
    <xf numFmtId="181" fontId="18" fillId="8" borderId="0" xfId="0" applyNumberFormat="1" applyFont="1" applyFill="1" applyBorder="1" applyAlignment="1">
      <alignment horizontal="center"/>
    </xf>
    <xf numFmtId="7" fontId="18" fillId="8" borderId="0" xfId="0" applyNumberFormat="1" applyFont="1" applyFill="1" applyBorder="1" applyAlignment="1" applyProtection="1">
      <alignment horizontal="center"/>
      <protection/>
    </xf>
    <xf numFmtId="0" fontId="18" fillId="8" borderId="0" xfId="0" applyFont="1" applyFill="1" applyBorder="1" applyAlignment="1">
      <alignment/>
    </xf>
    <xf numFmtId="0" fontId="0" fillId="8" borderId="0" xfId="0" applyFill="1" applyBorder="1" applyAlignment="1">
      <alignment/>
    </xf>
    <xf numFmtId="0" fontId="20" fillId="8" borderId="0" xfId="0" applyFont="1" applyFill="1" applyBorder="1" applyAlignment="1">
      <alignment horizontal="center"/>
    </xf>
    <xf numFmtId="181" fontId="20" fillId="8" borderId="0" xfId="0" applyNumberFormat="1" applyFont="1" applyFill="1" applyBorder="1" applyAlignment="1">
      <alignment horizontal="center"/>
    </xf>
    <xf numFmtId="7" fontId="20" fillId="8" borderId="0" xfId="0" applyNumberFormat="1" applyFont="1" applyFill="1" applyBorder="1" applyAlignment="1" applyProtection="1">
      <alignment horizontal="center"/>
      <protection/>
    </xf>
    <xf numFmtId="0" fontId="14" fillId="8" borderId="0" xfId="0" applyFont="1" applyFill="1" applyBorder="1" applyAlignment="1">
      <alignment horizontal="center"/>
    </xf>
    <xf numFmtId="181" fontId="14" fillId="8" borderId="0" xfId="0" applyNumberFormat="1" applyFont="1" applyFill="1" applyBorder="1" applyAlignment="1">
      <alignment horizontal="center"/>
    </xf>
    <xf numFmtId="0" fontId="20" fillId="8" borderId="38" xfId="0" applyFont="1" applyFill="1" applyBorder="1" applyAlignment="1">
      <alignment horizontal="left"/>
    </xf>
    <xf numFmtId="0" fontId="18" fillId="0" borderId="38" xfId="0" applyFont="1" applyFill="1" applyBorder="1" applyAlignment="1">
      <alignment horizontal="center"/>
    </xf>
    <xf numFmtId="181" fontId="18" fillId="0" borderId="38" xfId="0" applyNumberFormat="1" applyFont="1" applyFill="1" applyBorder="1" applyAlignment="1">
      <alignment horizontal="center"/>
    </xf>
    <xf numFmtId="7" fontId="18" fillId="0" borderId="38" xfId="0" applyNumberFormat="1" applyFont="1" applyFill="1" applyBorder="1" applyAlignment="1" applyProtection="1">
      <alignment horizontal="center"/>
      <protection/>
    </xf>
    <xf numFmtId="0" fontId="20" fillId="8" borderId="40" xfId="0" applyFont="1" applyFill="1" applyBorder="1" applyAlignment="1">
      <alignment horizontal="center"/>
    </xf>
    <xf numFmtId="0" fontId="14" fillId="8" borderId="40" xfId="0" applyFont="1" applyFill="1" applyBorder="1" applyAlignment="1">
      <alignment horizontal="center"/>
    </xf>
    <xf numFmtId="0" fontId="18" fillId="8" borderId="40" xfId="0" applyFont="1" applyFill="1" applyBorder="1" applyAlignment="1">
      <alignment horizontal="center"/>
    </xf>
    <xf numFmtId="0" fontId="0" fillId="8" borderId="40" xfId="0" applyFill="1" applyBorder="1" applyAlignment="1">
      <alignment/>
    </xf>
    <xf numFmtId="0" fontId="18" fillId="0" borderId="44" xfId="0" applyFont="1" applyBorder="1" applyAlignment="1">
      <alignment horizontal="center"/>
    </xf>
    <xf numFmtId="0" fontId="21" fillId="0" borderId="42" xfId="0" applyFont="1" applyBorder="1" applyAlignment="1">
      <alignment horizontal="left"/>
    </xf>
    <xf numFmtId="39" fontId="21" fillId="0" borderId="36" xfId="0" applyNumberFormat="1" applyFont="1" applyBorder="1" applyAlignment="1" applyProtection="1">
      <alignment/>
      <protection/>
    </xf>
    <xf numFmtId="0" fontId="22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1" fillId="0" borderId="38" xfId="0" applyFont="1" applyBorder="1" applyAlignment="1">
      <alignment horizontal="left"/>
    </xf>
    <xf numFmtId="168" fontId="21" fillId="0" borderId="33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0" fontId="24" fillId="0" borderId="1" xfId="0" applyFont="1" applyBorder="1" applyAlignment="1">
      <alignment/>
    </xf>
    <xf numFmtId="0" fontId="24" fillId="0" borderId="2" xfId="0" applyFont="1" applyBorder="1" applyAlignment="1">
      <alignment/>
    </xf>
    <xf numFmtId="0" fontId="24" fillId="0" borderId="2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5" xfId="0" applyFont="1" applyBorder="1" applyAlignment="1">
      <alignment/>
    </xf>
    <xf numFmtId="0" fontId="24" fillId="0" borderId="6" xfId="0" applyFont="1" applyBorder="1" applyAlignment="1">
      <alignment/>
    </xf>
    <xf numFmtId="0" fontId="21" fillId="0" borderId="1" xfId="0" applyFont="1" applyBorder="1" applyAlignment="1">
      <alignment/>
    </xf>
    <xf numFmtId="0" fontId="21" fillId="0" borderId="2" xfId="0" applyFont="1" applyBorder="1" applyAlignment="1">
      <alignment horizontal="left"/>
    </xf>
    <xf numFmtId="39" fontId="21" fillId="0" borderId="2" xfId="0" applyNumberFormat="1" applyFont="1" applyBorder="1" applyAlignment="1" applyProtection="1">
      <alignment/>
      <protection/>
    </xf>
    <xf numFmtId="7" fontId="21" fillId="0" borderId="2" xfId="0" applyNumberFormat="1" applyFont="1" applyBorder="1" applyAlignment="1" applyProtection="1">
      <alignment/>
      <protection/>
    </xf>
    <xf numFmtId="169" fontId="21" fillId="0" borderId="2" xfId="0" applyNumberFormat="1" applyFont="1" applyBorder="1" applyAlignment="1" applyProtection="1">
      <alignment/>
      <protection/>
    </xf>
    <xf numFmtId="167" fontId="21" fillId="0" borderId="4" xfId="0" applyNumberFormat="1" applyFont="1" applyBorder="1" applyAlignment="1" applyProtection="1">
      <alignment/>
      <protection/>
    </xf>
    <xf numFmtId="0" fontId="21" fillId="0" borderId="5" xfId="0" applyFont="1" applyBorder="1" applyAlignment="1">
      <alignment/>
    </xf>
    <xf numFmtId="0" fontId="21" fillId="0" borderId="6" xfId="0" applyFont="1" applyBorder="1" applyAlignment="1">
      <alignment horizontal="left"/>
    </xf>
    <xf numFmtId="170" fontId="21" fillId="0" borderId="6" xfId="0" applyNumberFormat="1" applyFont="1" applyBorder="1" applyAlignment="1" applyProtection="1">
      <alignment/>
      <protection/>
    </xf>
    <xf numFmtId="170" fontId="21" fillId="0" borderId="8" xfId="0" applyNumberFormat="1" applyFont="1" applyBorder="1" applyAlignment="1" applyProtection="1">
      <alignment/>
      <protection/>
    </xf>
    <xf numFmtId="0" fontId="21" fillId="0" borderId="45" xfId="0" applyFont="1" applyBorder="1" applyAlignment="1">
      <alignment/>
    </xf>
    <xf numFmtId="0" fontId="21" fillId="0" borderId="7" xfId="0" applyFont="1" applyBorder="1" applyAlignment="1">
      <alignment horizontal="left"/>
    </xf>
    <xf numFmtId="39" fontId="21" fillId="0" borderId="7" xfId="0" applyNumberFormat="1" applyFont="1" applyBorder="1" applyAlignment="1" applyProtection="1">
      <alignment/>
      <protection/>
    </xf>
    <xf numFmtId="7" fontId="21" fillId="0" borderId="7" xfId="0" applyNumberFormat="1" applyFont="1" applyBorder="1" applyAlignment="1" applyProtection="1">
      <alignment/>
      <protection/>
    </xf>
    <xf numFmtId="169" fontId="21" fillId="0" borderId="7" xfId="0" applyNumberFormat="1" applyFont="1" applyBorder="1" applyAlignment="1" applyProtection="1">
      <alignment/>
      <protection/>
    </xf>
    <xf numFmtId="167" fontId="21" fillId="0" borderId="46" xfId="0" applyNumberFormat="1" applyFont="1" applyBorder="1" applyAlignment="1" applyProtection="1">
      <alignment/>
      <protection/>
    </xf>
    <xf numFmtId="0" fontId="21" fillId="0" borderId="39" xfId="0" applyFont="1" applyBorder="1" applyAlignment="1">
      <alignment horizontal="left"/>
    </xf>
    <xf numFmtId="168" fontId="21" fillId="0" borderId="37" xfId="0" applyNumberFormat="1" applyFont="1" applyBorder="1" applyAlignment="1" applyProtection="1">
      <alignment/>
      <protection/>
    </xf>
    <xf numFmtId="0" fontId="21" fillId="0" borderId="9" xfId="0" applyFont="1" applyBorder="1" applyAlignment="1">
      <alignment/>
    </xf>
    <xf numFmtId="0" fontId="21" fillId="0" borderId="10" xfId="0" applyFont="1" applyBorder="1" applyAlignment="1">
      <alignment horizontal="left"/>
    </xf>
    <xf numFmtId="170" fontId="21" fillId="0" borderId="10" xfId="0" applyNumberFormat="1" applyFont="1" applyBorder="1" applyAlignment="1" applyProtection="1">
      <alignment/>
      <protection/>
    </xf>
    <xf numFmtId="170" fontId="21" fillId="0" borderId="11" xfId="0" applyNumberFormat="1" applyFont="1" applyBorder="1" applyAlignment="1" applyProtection="1">
      <alignment/>
      <protection/>
    </xf>
    <xf numFmtId="0" fontId="23" fillId="0" borderId="0" xfId="0" applyFont="1" applyAlignment="1">
      <alignment horizontal="left"/>
    </xf>
    <xf numFmtId="0" fontId="8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0" fillId="3" borderId="0" xfId="0" applyFill="1" applyBorder="1" applyAlignment="1">
      <alignment/>
    </xf>
    <xf numFmtId="0" fontId="10" fillId="5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14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37" fontId="10" fillId="5" borderId="0" xfId="0" applyNumberFormat="1" applyFont="1" applyFill="1" applyBorder="1" applyAlignment="1" applyProtection="1">
      <alignment/>
      <protection/>
    </xf>
    <xf numFmtId="5" fontId="10" fillId="5" borderId="0" xfId="0" applyNumberFormat="1" applyFont="1" applyFill="1" applyBorder="1" applyAlignment="1" applyProtection="1">
      <alignment/>
      <protection/>
    </xf>
    <xf numFmtId="0" fontId="10" fillId="2" borderId="0" xfId="0" applyFont="1" applyFill="1" applyBorder="1" applyAlignment="1">
      <alignment/>
    </xf>
    <xf numFmtId="0" fontId="14" fillId="2" borderId="0" xfId="0" applyFont="1" applyFill="1" applyBorder="1" applyAlignment="1">
      <alignment horizontal="center"/>
    </xf>
    <xf numFmtId="5" fontId="6" fillId="2" borderId="0" xfId="0" applyNumberFormat="1" applyFont="1" applyFill="1" applyBorder="1" applyAlignment="1" applyProtection="1">
      <alignment/>
      <protection/>
    </xf>
    <xf numFmtId="5" fontId="0" fillId="2" borderId="0" xfId="0" applyNumberFormat="1" applyFill="1" applyBorder="1" applyAlignment="1" applyProtection="1">
      <alignment/>
      <protection/>
    </xf>
    <xf numFmtId="7" fontId="10" fillId="2" borderId="34" xfId="0" applyNumberFormat="1" applyFont="1" applyFill="1" applyBorder="1" applyAlignment="1" applyProtection="1">
      <alignment/>
      <protection/>
    </xf>
    <xf numFmtId="164" fontId="10" fillId="2" borderId="34" xfId="0" applyNumberFormat="1" applyFont="1" applyFill="1" applyBorder="1" applyAlignment="1" applyProtection="1">
      <alignment/>
      <protection/>
    </xf>
    <xf numFmtId="37" fontId="10" fillId="5" borderId="19" xfId="0" applyNumberFormat="1" applyFont="1" applyFill="1" applyBorder="1" applyAlignment="1" applyProtection="1">
      <alignment/>
      <protection/>
    </xf>
    <xf numFmtId="0" fontId="14" fillId="2" borderId="22" xfId="0" applyFont="1" applyFill="1" applyBorder="1" applyAlignment="1">
      <alignment horizontal="left"/>
    </xf>
    <xf numFmtId="5" fontId="10" fillId="5" borderId="19" xfId="0" applyNumberFormat="1" applyFont="1" applyFill="1" applyBorder="1" applyAlignment="1" applyProtection="1">
      <alignment/>
      <protection/>
    </xf>
    <xf numFmtId="7" fontId="10" fillId="5" borderId="0" xfId="0" applyNumberFormat="1" applyFont="1" applyFill="1" applyBorder="1" applyAlignment="1" applyProtection="1">
      <alignment/>
      <protection/>
    </xf>
    <xf numFmtId="0" fontId="10" fillId="5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39" fontId="10" fillId="5" borderId="0" xfId="0" applyNumberFormat="1" applyFont="1" applyFill="1" applyBorder="1" applyAlignment="1" applyProtection="1">
      <alignment horizontal="center"/>
      <protection/>
    </xf>
    <xf numFmtId="0" fontId="0" fillId="2" borderId="14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39" fontId="14" fillId="5" borderId="0" xfId="0" applyNumberFormat="1" applyFont="1" applyFill="1" applyBorder="1" applyAlignment="1" applyProtection="1">
      <alignment horizontal="center"/>
      <protection/>
    </xf>
    <xf numFmtId="39" fontId="14" fillId="5" borderId="19" xfId="0" applyNumberFormat="1" applyFont="1" applyFill="1" applyBorder="1" applyAlignment="1" applyProtection="1">
      <alignment horizontal="center"/>
      <protection/>
    </xf>
    <xf numFmtId="0" fontId="10" fillId="7" borderId="20" xfId="0" applyFont="1" applyFill="1" applyBorder="1" applyAlignment="1">
      <alignment/>
    </xf>
    <xf numFmtId="0" fontId="0" fillId="7" borderId="0" xfId="0" applyFill="1" applyBorder="1" applyAlignment="1">
      <alignment/>
    </xf>
    <xf numFmtId="0" fontId="10" fillId="7" borderId="0" xfId="0" applyFont="1" applyFill="1" applyBorder="1" applyAlignment="1">
      <alignment/>
    </xf>
    <xf numFmtId="0" fontId="0" fillId="2" borderId="0" xfId="0" applyFont="1" applyFill="1" applyBorder="1" applyAlignment="1">
      <alignment horizontal="right"/>
    </xf>
    <xf numFmtId="165" fontId="10" fillId="5" borderId="0" xfId="0" applyNumberFormat="1" applyFont="1" applyFill="1" applyBorder="1" applyAlignment="1" applyProtection="1">
      <alignment/>
      <protection/>
    </xf>
    <xf numFmtId="14" fontId="10" fillId="7" borderId="19" xfId="0" applyNumberFormat="1" applyFont="1" applyFill="1" applyBorder="1" applyAlignment="1">
      <alignment horizontal="left"/>
    </xf>
    <xf numFmtId="0" fontId="10" fillId="2" borderId="20" xfId="0" applyFont="1" applyFill="1" applyBorder="1" applyAlignment="1">
      <alignment/>
    </xf>
    <xf numFmtId="0" fontId="10" fillId="6" borderId="0" xfId="0" applyFont="1" applyFill="1" applyBorder="1" applyAlignment="1">
      <alignment/>
    </xf>
    <xf numFmtId="0" fontId="10" fillId="2" borderId="19" xfId="0" applyFont="1" applyFill="1" applyBorder="1" applyAlignment="1">
      <alignment/>
    </xf>
    <xf numFmtId="0" fontId="10" fillId="2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fill"/>
    </xf>
    <xf numFmtId="0" fontId="10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0" fontId="0" fillId="2" borderId="0" xfId="0" applyNumberFormat="1" applyFill="1" applyBorder="1" applyAlignment="1" applyProtection="1">
      <alignment/>
      <protection/>
    </xf>
    <xf numFmtId="0" fontId="0" fillId="3" borderId="0" xfId="0" applyFill="1" applyBorder="1" applyAlignment="1">
      <alignment horizontal="left"/>
    </xf>
    <xf numFmtId="0" fontId="10" fillId="3" borderId="0" xfId="0" applyFont="1" applyFill="1" applyBorder="1" applyAlignment="1">
      <alignment/>
    </xf>
    <xf numFmtId="0" fontId="10" fillId="9" borderId="0" xfId="0" applyFont="1" applyFill="1" applyBorder="1" applyAlignment="1">
      <alignment/>
    </xf>
    <xf numFmtId="0" fontId="14" fillId="8" borderId="0" xfId="0" applyFont="1" applyFill="1" applyBorder="1" applyAlignment="1">
      <alignment horizontal="left"/>
    </xf>
    <xf numFmtId="2" fontId="18" fillId="0" borderId="33" xfId="0" applyNumberFormat="1" applyFont="1" applyBorder="1" applyAlignment="1">
      <alignment horizontal="center"/>
    </xf>
    <xf numFmtId="7" fontId="20" fillId="8" borderId="40" xfId="0" applyNumberFormat="1" applyFont="1" applyFill="1" applyBorder="1" applyAlignment="1" applyProtection="1">
      <alignment horizontal="center"/>
      <protection/>
    </xf>
    <xf numFmtId="0" fontId="18" fillId="8" borderId="47" xfId="0" applyFont="1" applyFill="1" applyBorder="1" applyAlignment="1">
      <alignment horizontal="center"/>
    </xf>
    <xf numFmtId="7" fontId="18" fillId="8" borderId="40" xfId="0" applyNumberFormat="1" applyFont="1" applyFill="1" applyBorder="1" applyAlignment="1" applyProtection="1">
      <alignment horizontal="center"/>
      <protection/>
    </xf>
    <xf numFmtId="0" fontId="25" fillId="0" borderId="0" xfId="0" applyFont="1" applyBorder="1" applyAlignment="1">
      <alignment horizontal="left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27" fillId="10" borderId="0" xfId="0" applyFont="1" applyFill="1" applyBorder="1" applyAlignment="1">
      <alignment horizontal="center"/>
    </xf>
    <xf numFmtId="0" fontId="27" fillId="11" borderId="0" xfId="0" applyFont="1" applyFill="1" applyBorder="1" applyAlignment="1">
      <alignment horizontal="left"/>
    </xf>
    <xf numFmtId="0" fontId="26" fillId="11" borderId="0" xfId="0" applyFont="1" applyFill="1" applyBorder="1" applyAlignment="1">
      <alignment/>
    </xf>
    <xf numFmtId="0" fontId="27" fillId="11" borderId="0" xfId="0" applyFont="1" applyFill="1" applyBorder="1" applyAlignment="1">
      <alignment/>
    </xf>
    <xf numFmtId="166" fontId="27" fillId="10" borderId="0" xfId="0" applyNumberFormat="1" applyFont="1" applyFill="1" applyBorder="1" applyAlignment="1" applyProtection="1">
      <alignment/>
      <protection/>
    </xf>
    <xf numFmtId="172" fontId="27" fillId="10" borderId="0" xfId="0" applyNumberFormat="1" applyFont="1" applyFill="1" applyBorder="1" applyAlignment="1" applyProtection="1">
      <alignment/>
      <protection/>
    </xf>
    <xf numFmtId="9" fontId="27" fillId="10" borderId="0" xfId="0" applyNumberFormat="1" applyFont="1" applyFill="1" applyBorder="1" applyAlignment="1" applyProtection="1">
      <alignment/>
      <protection/>
    </xf>
    <xf numFmtId="39" fontId="27" fillId="10" borderId="0" xfId="0" applyNumberFormat="1" applyFont="1" applyFill="1" applyBorder="1" applyAlignment="1" applyProtection="1">
      <alignment/>
      <protection/>
    </xf>
    <xf numFmtId="167" fontId="27" fillId="10" borderId="0" xfId="0" applyNumberFormat="1" applyFont="1" applyFill="1" applyBorder="1" applyAlignment="1" applyProtection="1">
      <alignment/>
      <protection/>
    </xf>
    <xf numFmtId="0" fontId="27" fillId="10" borderId="0" xfId="0" applyFont="1" applyFill="1" applyBorder="1" applyAlignment="1">
      <alignment/>
    </xf>
    <xf numFmtId="37" fontId="27" fillId="10" borderId="0" xfId="0" applyNumberFormat="1" applyFont="1" applyFill="1" applyBorder="1" applyAlignment="1" applyProtection="1">
      <alignment/>
      <protection/>
    </xf>
    <xf numFmtId="0" fontId="25" fillId="0" borderId="0" xfId="0" applyFont="1" applyBorder="1" applyAlignment="1">
      <alignment horizontal="center"/>
    </xf>
    <xf numFmtId="5" fontId="27" fillId="10" borderId="0" xfId="0" applyNumberFormat="1" applyFont="1" applyFill="1" applyBorder="1" applyAlignment="1" applyProtection="1">
      <alignment horizontal="center"/>
      <protection/>
    </xf>
    <xf numFmtId="5" fontId="25" fillId="0" borderId="0" xfId="0" applyNumberFormat="1" applyFont="1" applyBorder="1" applyAlignment="1" applyProtection="1">
      <alignment/>
      <protection/>
    </xf>
    <xf numFmtId="0" fontId="26" fillId="0" borderId="0" xfId="0" applyFont="1" applyBorder="1" applyAlignment="1">
      <alignment horizontal="center"/>
    </xf>
    <xf numFmtId="9" fontId="25" fillId="10" borderId="0" xfId="0" applyNumberFormat="1" applyFont="1" applyFill="1" applyBorder="1" applyAlignment="1" applyProtection="1">
      <alignment/>
      <protection/>
    </xf>
    <xf numFmtId="188" fontId="18" fillId="0" borderId="33" xfId="0" applyNumberFormat="1" applyFont="1" applyBorder="1" applyAlignment="1" applyProtection="1">
      <alignment horizontal="center"/>
      <protection/>
    </xf>
    <xf numFmtId="190" fontId="0" fillId="0" borderId="2" xfId="0" applyNumberFormat="1" applyBorder="1" applyAlignment="1" applyProtection="1">
      <alignment/>
      <protection/>
    </xf>
    <xf numFmtId="190" fontId="0" fillId="0" borderId="25" xfId="0" applyNumberFormat="1" applyBorder="1" applyAlignment="1" applyProtection="1">
      <alignment/>
      <protection/>
    </xf>
    <xf numFmtId="190" fontId="0" fillId="0" borderId="28" xfId="0" applyNumberFormat="1" applyBorder="1" applyAlignment="1" applyProtection="1">
      <alignment/>
      <protection/>
    </xf>
    <xf numFmtId="190" fontId="0" fillId="0" borderId="31" xfId="0" applyNumberFormat="1" applyBorder="1" applyAlignment="1" applyProtection="1">
      <alignment/>
      <protection/>
    </xf>
    <xf numFmtId="9" fontId="10" fillId="5" borderId="19" xfId="0" applyNumberFormat="1" applyFont="1" applyFill="1" applyBorder="1" applyAlignment="1" applyProtection="1">
      <alignment/>
      <protection/>
    </xf>
    <xf numFmtId="9" fontId="10" fillId="5" borderId="22" xfId="0" applyNumberFormat="1" applyFont="1" applyFill="1" applyBorder="1" applyAlignment="1" applyProtection="1">
      <alignment/>
      <protection/>
    </xf>
    <xf numFmtId="0" fontId="0" fillId="12" borderId="0" xfId="0" applyFill="1" applyAlignment="1">
      <alignment/>
    </xf>
    <xf numFmtId="0" fontId="0" fillId="2" borderId="0" xfId="0" applyFill="1" applyBorder="1" applyAlignment="1">
      <alignment horizontal="centerContinuous"/>
    </xf>
    <xf numFmtId="0" fontId="10" fillId="6" borderId="0" xfId="0" applyFont="1" applyFill="1" applyBorder="1" applyAlignment="1">
      <alignment horizontal="center"/>
    </xf>
    <xf numFmtId="0" fontId="28" fillId="2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29" fillId="13" borderId="48" xfId="0" applyFont="1" applyFill="1" applyBorder="1" applyAlignment="1">
      <alignment horizontal="left"/>
    </xf>
    <xf numFmtId="0" fontId="30" fillId="13" borderId="48" xfId="0" applyFont="1" applyFill="1" applyBorder="1" applyAlignment="1">
      <alignment/>
    </xf>
    <xf numFmtId="0" fontId="29" fillId="13" borderId="22" xfId="0" applyFont="1" applyFill="1" applyBorder="1" applyAlignment="1">
      <alignment horizontal="left"/>
    </xf>
    <xf numFmtId="0" fontId="30" fillId="13" borderId="22" xfId="0" applyFont="1" applyFill="1" applyBorder="1" applyAlignment="1">
      <alignment/>
    </xf>
    <xf numFmtId="0" fontId="29" fillId="13" borderId="22" xfId="0" applyFont="1" applyFill="1" applyBorder="1" applyAlignment="1">
      <alignment/>
    </xf>
    <xf numFmtId="0" fontId="31" fillId="13" borderId="22" xfId="0" applyFont="1" applyFill="1" applyBorder="1" applyAlignment="1">
      <alignment/>
    </xf>
    <xf numFmtId="0" fontId="10" fillId="14" borderId="20" xfId="0" applyFont="1" applyFill="1" applyBorder="1" applyAlignment="1">
      <alignment/>
    </xf>
    <xf numFmtId="0" fontId="10" fillId="14" borderId="0" xfId="0" applyFont="1" applyFill="1" applyBorder="1" applyAlignment="1">
      <alignment/>
    </xf>
    <xf numFmtId="0" fontId="10" fillId="14" borderId="19" xfId="0" applyFont="1" applyFill="1" applyBorder="1" applyAlignment="1">
      <alignment/>
    </xf>
    <xf numFmtId="0" fontId="10" fillId="14" borderId="22" xfId="0" applyFont="1" applyFill="1" applyBorder="1" applyAlignment="1">
      <alignment/>
    </xf>
    <xf numFmtId="9" fontId="10" fillId="14" borderId="22" xfId="19" applyFont="1" applyFill="1" applyBorder="1" applyAlignment="1">
      <alignment/>
    </xf>
    <xf numFmtId="0" fontId="5" fillId="2" borderId="49" xfId="0" applyFont="1" applyFill="1" applyBorder="1" applyAlignment="1">
      <alignment horizontal="centerContinuous"/>
    </xf>
    <xf numFmtId="0" fontId="0" fillId="2" borderId="50" xfId="0" applyFill="1" applyBorder="1" applyAlignment="1">
      <alignment horizontal="centerContinuous"/>
    </xf>
    <xf numFmtId="0" fontId="0" fillId="2" borderId="51" xfId="0" applyFill="1" applyBorder="1" applyAlignment="1">
      <alignment/>
    </xf>
    <xf numFmtId="0" fontId="5" fillId="2" borderId="52" xfId="0" applyFont="1" applyFill="1" applyBorder="1" applyAlignment="1">
      <alignment horizontal="centerContinuous"/>
    </xf>
    <xf numFmtId="0" fontId="0" fillId="2" borderId="53" xfId="0" applyFill="1" applyBorder="1" applyAlignment="1">
      <alignment/>
    </xf>
    <xf numFmtId="0" fontId="0" fillId="2" borderId="52" xfId="0" applyFill="1" applyBorder="1" applyAlignment="1">
      <alignment/>
    </xf>
    <xf numFmtId="0" fontId="6" fillId="2" borderId="52" xfId="0" applyFont="1" applyFill="1" applyBorder="1" applyAlignment="1">
      <alignment horizontal="left"/>
    </xf>
    <xf numFmtId="0" fontId="0" fillId="0" borderId="52" xfId="0" applyBorder="1" applyAlignment="1">
      <alignment horizontal="right"/>
    </xf>
    <xf numFmtId="0" fontId="0" fillId="0" borderId="52" xfId="0" applyBorder="1" applyAlignment="1">
      <alignment/>
    </xf>
    <xf numFmtId="0" fontId="0" fillId="2" borderId="52" xfId="0" applyFill="1" applyBorder="1" applyAlignment="1">
      <alignment horizontal="center"/>
    </xf>
    <xf numFmtId="0" fontId="0" fillId="2" borderId="54" xfId="0" applyFill="1" applyBorder="1" applyAlignment="1">
      <alignment/>
    </xf>
    <xf numFmtId="0" fontId="0" fillId="2" borderId="55" xfId="0" applyFill="1" applyBorder="1" applyAlignment="1">
      <alignment/>
    </xf>
    <xf numFmtId="0" fontId="0" fillId="15" borderId="0" xfId="0" applyFill="1" applyBorder="1" applyAlignment="1">
      <alignment horizontal="center"/>
    </xf>
    <xf numFmtId="0" fontId="0" fillId="2" borderId="53" xfId="0" applyFill="1" applyBorder="1" applyAlignment="1">
      <alignment horizontal="left"/>
    </xf>
    <xf numFmtId="9" fontId="10" fillId="14" borderId="19" xfId="0" applyNumberFormat="1" applyFont="1" applyFill="1" applyBorder="1" applyAlignment="1">
      <alignment/>
    </xf>
    <xf numFmtId="39" fontId="18" fillId="0" borderId="35" xfId="0" applyNumberFormat="1" applyFont="1" applyBorder="1" applyAlignment="1" applyProtection="1">
      <alignment horizontal="center"/>
      <protection/>
    </xf>
    <xf numFmtId="0" fontId="19" fillId="0" borderId="34" xfId="0" applyFont="1" applyBorder="1" applyAlignment="1">
      <alignment horizontal="center" wrapText="1"/>
    </xf>
    <xf numFmtId="39" fontId="19" fillId="0" borderId="43" xfId="0" applyNumberFormat="1" applyFont="1" applyBorder="1" applyAlignment="1" applyProtection="1">
      <alignment horizontal="center" wrapText="1"/>
      <protection/>
    </xf>
    <xf numFmtId="0" fontId="10" fillId="0" borderId="2" xfId="0" applyFont="1" applyBorder="1" applyAlignment="1">
      <alignment horizontal="center"/>
    </xf>
    <xf numFmtId="0" fontId="19" fillId="0" borderId="42" xfId="0" applyFont="1" applyFill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28" fillId="0" borderId="19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2" borderId="19" xfId="0" applyFill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3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Annual Savings Estimate
Water and Energy Conservation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.012"/>
          <c:y val="0.12075"/>
          <c:w val="0.8235"/>
          <c:h val="0.85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'Work Area 2 (graphs)'!$B$3</c:f>
              <c:strCache>
                <c:ptCount val="1"/>
                <c:pt idx="0">
                  <c:v>Toilets/Urinals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'Work Area 2 (graphs)'!$C$2:$E$2</c:f>
              <c:strCache>
                <c:ptCount val="3"/>
                <c:pt idx="0">
                  <c:v>Direct Water</c:v>
                </c:pt>
                <c:pt idx="1">
                  <c:v>Direct Energy</c:v>
                </c:pt>
                <c:pt idx="2">
                  <c:v>Indirect Energy</c:v>
                </c:pt>
              </c:strCache>
            </c:strRef>
          </c:cat>
          <c:val>
            <c:numRef>
              <c:f>'Work Area 2 (graphs)'!$C$3:$E$3</c:f>
              <c:numCache>
                <c:ptCount val="3"/>
                <c:pt idx="0">
                  <c:v>1396.0128</c:v>
                </c:pt>
                <c:pt idx="1">
                  <c:v>-1.76904</c:v>
                </c:pt>
                <c:pt idx="2">
                  <c:v>18.39612163140117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'Work Area 2 (graphs)'!$B$4</c:f>
              <c:strCache>
                <c:ptCount val="1"/>
                <c:pt idx="0">
                  <c:v>Faucets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'Work Area 2 (graphs)'!$C$2:$E$2</c:f>
              <c:strCache>
                <c:ptCount val="3"/>
                <c:pt idx="0">
                  <c:v>Direct Water</c:v>
                </c:pt>
                <c:pt idx="1">
                  <c:v>Direct Energy</c:v>
                </c:pt>
                <c:pt idx="2">
                  <c:v>Indirect Energy</c:v>
                </c:pt>
              </c:strCache>
            </c:strRef>
          </c:cat>
          <c:val>
            <c:numRef>
              <c:f>'Work Area 2 (graphs)'!$C$4:$E$4</c:f>
              <c:numCache>
                <c:ptCount val="3"/>
                <c:pt idx="0">
                  <c:v>305.71450000000004</c:v>
                </c:pt>
                <c:pt idx="1">
                  <c:v>707.5106999999999</c:v>
                </c:pt>
                <c:pt idx="2">
                  <c:v>19.2133282321333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'Work Area 2 (graphs)'!$B$5</c:f>
              <c:strCache>
                <c:ptCount val="1"/>
                <c:pt idx="0">
                  <c:v>Showers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'Work Area 2 (graphs)'!$C$2:$E$2</c:f>
              <c:strCache>
                <c:ptCount val="3"/>
                <c:pt idx="0">
                  <c:v>Direct Water</c:v>
                </c:pt>
                <c:pt idx="1">
                  <c:v>Direct Energy</c:v>
                </c:pt>
                <c:pt idx="2">
                  <c:v>Indirect Energy</c:v>
                </c:pt>
              </c:strCache>
            </c:strRef>
          </c:cat>
          <c:val>
            <c:numRef>
              <c:f>'Work Area 2 (graphs)'!$C$5:$E$5</c:f>
              <c:numCache>
                <c:ptCount val="3"/>
                <c:pt idx="0">
                  <c:v>36.400000000000006</c:v>
                </c:pt>
                <c:pt idx="1">
                  <c:v>101.088</c:v>
                </c:pt>
                <c:pt idx="2">
                  <c:v>2.6490387470724763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'Work Area 2 (graphs)'!$B$6</c:f>
              <c:strCache>
                <c:ptCount val="1"/>
                <c:pt idx="0">
                  <c:v>Boilers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'Work Area 2 (graphs)'!$C$2:$E$2</c:f>
              <c:strCache>
                <c:ptCount val="3"/>
                <c:pt idx="0">
                  <c:v>Direct Water</c:v>
                </c:pt>
                <c:pt idx="1">
                  <c:v>Direct Energy</c:v>
                </c:pt>
                <c:pt idx="2">
                  <c:v>Indirect Energy</c:v>
                </c:pt>
              </c:strCache>
            </c:strRef>
          </c:cat>
          <c:val>
            <c:numRef>
              <c:f>'Work Area 2 (graphs)'!$C$6:$E$6</c:f>
              <c:numCache>
                <c:ptCount val="3"/>
                <c:pt idx="0">
                  <c:v>26.18705035971225</c:v>
                </c:pt>
                <c:pt idx="1">
                  <c:v>7211.040000000004</c:v>
                </c:pt>
                <c:pt idx="2">
                  <c:v>21.91049340715005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'Work Area 2 (graphs)'!$B$7</c:f>
              <c:strCache>
                <c:ptCount val="1"/>
                <c:pt idx="0">
                  <c:v>Dishwashers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'Work Area 2 (graphs)'!$C$2:$E$2</c:f>
              <c:strCache>
                <c:ptCount val="3"/>
                <c:pt idx="0">
                  <c:v>Direct Water</c:v>
                </c:pt>
                <c:pt idx="1">
                  <c:v>Direct Energy</c:v>
                </c:pt>
                <c:pt idx="2">
                  <c:v>Indirect Energy</c:v>
                </c:pt>
              </c:strCache>
            </c:strRef>
          </c:cat>
          <c:val>
            <c:numRef>
              <c:f>'Work Area 2 (graphs)'!$C$7:$E$7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'Work Area 2 (graphs)'!$B$8</c:f>
              <c:strCache>
                <c:ptCount val="1"/>
                <c:pt idx="0">
                  <c:v>Washing Machines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'Work Area 2 (graphs)'!$C$2:$E$2</c:f>
              <c:strCache>
                <c:ptCount val="3"/>
                <c:pt idx="0">
                  <c:v>Direct Water</c:v>
                </c:pt>
                <c:pt idx="1">
                  <c:v>Direct Energy</c:v>
                </c:pt>
                <c:pt idx="2">
                  <c:v>Indirect Energy</c:v>
                </c:pt>
              </c:strCache>
            </c:strRef>
          </c:cat>
          <c:val>
            <c:numRef>
              <c:f>'Work Area 2 (graphs)'!$C$8:$E$8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'Work Area 2 (graphs)'!$B$9</c:f>
              <c:strCache>
                <c:ptCount val="1"/>
                <c:pt idx="0">
                  <c:v>Landscapes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'Work Area 2 (graphs)'!$C$2:$E$2</c:f>
              <c:strCache>
                <c:ptCount val="3"/>
                <c:pt idx="0">
                  <c:v>Direct Water</c:v>
                </c:pt>
                <c:pt idx="1">
                  <c:v>Direct Energy</c:v>
                </c:pt>
                <c:pt idx="2">
                  <c:v>Indirect Energy</c:v>
                </c:pt>
              </c:strCache>
            </c:strRef>
          </c:cat>
          <c:val>
            <c:numRef>
              <c:f>'Work Area 2 (graphs)'!$C$9:$E$9</c:f>
              <c:numCache>
                <c:ptCount val="3"/>
                <c:pt idx="0">
                  <c:v>23.089975093399755</c:v>
                </c:pt>
                <c:pt idx="1">
                  <c:v>0</c:v>
                </c:pt>
                <c:pt idx="2">
                  <c:v>0.3048984788178857</c:v>
                </c:pt>
              </c:numCache>
            </c:numRef>
          </c:val>
          <c:shape val="box"/>
        </c:ser>
        <c:overlap val="100"/>
        <c:gapDepth val="0"/>
        <c:shape val="box"/>
        <c:axId val="55321981"/>
        <c:axId val="28135782"/>
      </c:bar3DChart>
      <c:catAx>
        <c:axId val="553219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Conservation Opportunity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/>
            </a:pPr>
          </a:p>
        </c:txPr>
        <c:crossAx val="28135782"/>
        <c:crosses val="autoZero"/>
        <c:auto val="0"/>
        <c:lblOffset val="100"/>
        <c:noMultiLvlLbl val="0"/>
      </c:catAx>
      <c:valAx>
        <c:axId val="281357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Value ($)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53219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3"/>
          <c:y val="0.21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Payback Periods and Net Worth of Each WCM
Including only Direct Energy and Water Savings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'Work Area 2 (graphs)'!$C$15</c:f>
              <c:strCache>
                <c:ptCount val="1"/>
                <c:pt idx="0">
                  <c:v>Toilets/Urinals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'Work Area 2 (graphs)'!$B$16:$B$24</c:f>
              <c:numCache>
                <c:ptCount val="9"/>
                <c:pt idx="0">
                  <c:v>0</c:v>
                </c:pt>
                <c:pt idx="1">
                  <c:v>0.48665494834274886</c:v>
                </c:pt>
                <c:pt idx="2">
                  <c:v>0.9733098966854977</c:v>
                </c:pt>
                <c:pt idx="3">
                  <c:v>1.4599648450282465</c:v>
                </c:pt>
                <c:pt idx="4">
                  <c:v>1.9466197933709954</c:v>
                </c:pt>
                <c:pt idx="5">
                  <c:v>2.433274741713744</c:v>
                </c:pt>
                <c:pt idx="6">
                  <c:v>2.919929690056493</c:v>
                </c:pt>
                <c:pt idx="7">
                  <c:v>3.406584638399242</c:v>
                </c:pt>
                <c:pt idx="8">
                  <c:v>3.893239586741991</c:v>
                </c:pt>
              </c:numCache>
            </c:numRef>
          </c:xVal>
          <c:yVal>
            <c:numRef>
              <c:f>'Work Area 2 (graphs)'!$C$16:$C$24</c:f>
              <c:numCache>
                <c:ptCount val="9"/>
                <c:pt idx="0">
                  <c:v>-4825</c:v>
                </c:pt>
                <c:pt idx="1">
                  <c:v>-4146.484375</c:v>
                </c:pt>
                <c:pt idx="2">
                  <c:v>-3467.96875</c:v>
                </c:pt>
                <c:pt idx="3">
                  <c:v>-2789.453125</c:v>
                </c:pt>
                <c:pt idx="4">
                  <c:v>-2110.9375</c:v>
                </c:pt>
                <c:pt idx="5">
                  <c:v>-1432.4218750000005</c:v>
                </c:pt>
                <c:pt idx="6">
                  <c:v>-753.9062500000005</c:v>
                </c:pt>
                <c:pt idx="7">
                  <c:v>-75.390625</c:v>
                </c:pt>
                <c:pt idx="8">
                  <c:v>603.125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'Work Area 2 (graphs)'!$D$15</c:f>
              <c:strCache>
                <c:ptCount val="1"/>
                <c:pt idx="0">
                  <c:v>Faucets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'Work Area 2 (graphs)'!$B$16:$B$24</c:f>
              <c:numCache>
                <c:ptCount val="9"/>
                <c:pt idx="0">
                  <c:v>0</c:v>
                </c:pt>
                <c:pt idx="1">
                  <c:v>0.48665494834274886</c:v>
                </c:pt>
                <c:pt idx="2">
                  <c:v>0.9733098966854977</c:v>
                </c:pt>
                <c:pt idx="3">
                  <c:v>1.4599648450282465</c:v>
                </c:pt>
                <c:pt idx="4">
                  <c:v>1.9466197933709954</c:v>
                </c:pt>
                <c:pt idx="5">
                  <c:v>2.433274741713744</c:v>
                </c:pt>
                <c:pt idx="6">
                  <c:v>2.919929690056493</c:v>
                </c:pt>
                <c:pt idx="7">
                  <c:v>3.406584638399242</c:v>
                </c:pt>
                <c:pt idx="8">
                  <c:v>3.893239586741991</c:v>
                </c:pt>
              </c:numCache>
            </c:numRef>
          </c:xVal>
          <c:yVal>
            <c:numRef>
              <c:f>'Work Area 2 (graphs)'!$D$16:$D$24</c:f>
              <c:numCache>
                <c:ptCount val="9"/>
                <c:pt idx="0">
                  <c:v>-3339</c:v>
                </c:pt>
                <c:pt idx="1">
                  <c:v>-2845.9089426344285</c:v>
                </c:pt>
                <c:pt idx="2">
                  <c:v>-2352.817885268857</c:v>
                </c:pt>
                <c:pt idx="3">
                  <c:v>-1859.726827903286</c:v>
                </c:pt>
                <c:pt idx="4">
                  <c:v>-1366.6357705377145</c:v>
                </c:pt>
                <c:pt idx="5">
                  <c:v>-873.5447131721435</c:v>
                </c:pt>
                <c:pt idx="6">
                  <c:v>-380.453655806572</c:v>
                </c:pt>
                <c:pt idx="7">
                  <c:v>112.6374015589995</c:v>
                </c:pt>
                <c:pt idx="8">
                  <c:v>605.728458924571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'Work Area 2 (graphs)'!$E$15</c:f>
              <c:strCache>
                <c:ptCount val="1"/>
                <c:pt idx="0">
                  <c:v>Showers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'Work Area 2 (graphs)'!$B$16:$B$24</c:f>
              <c:numCache>
                <c:ptCount val="9"/>
                <c:pt idx="0">
                  <c:v>0</c:v>
                </c:pt>
                <c:pt idx="1">
                  <c:v>0.48665494834274886</c:v>
                </c:pt>
                <c:pt idx="2">
                  <c:v>0.9733098966854977</c:v>
                </c:pt>
                <c:pt idx="3">
                  <c:v>1.4599648450282465</c:v>
                </c:pt>
                <c:pt idx="4">
                  <c:v>1.9466197933709954</c:v>
                </c:pt>
                <c:pt idx="5">
                  <c:v>2.433274741713744</c:v>
                </c:pt>
                <c:pt idx="6">
                  <c:v>2.919929690056493</c:v>
                </c:pt>
                <c:pt idx="7">
                  <c:v>3.406584638399242</c:v>
                </c:pt>
                <c:pt idx="8">
                  <c:v>3.893239586741991</c:v>
                </c:pt>
              </c:numCache>
            </c:numRef>
          </c:xVal>
          <c:yVal>
            <c:numRef>
              <c:f>'Work Area 2 (graphs)'!$E$16:$E$24</c:f>
              <c:numCache>
                <c:ptCount val="9"/>
                <c:pt idx="0">
                  <c:v>-31</c:v>
                </c:pt>
                <c:pt idx="1">
                  <c:v>35.909215537747855</c:v>
                </c:pt>
                <c:pt idx="2">
                  <c:v>102.81843107549571</c:v>
                </c:pt>
                <c:pt idx="3">
                  <c:v>169.72764661324356</c:v>
                </c:pt>
                <c:pt idx="4">
                  <c:v>236.63686215099142</c:v>
                </c:pt>
                <c:pt idx="5">
                  <c:v>303.5460776887393</c:v>
                </c:pt>
                <c:pt idx="6">
                  <c:v>370.45529322648713</c:v>
                </c:pt>
                <c:pt idx="7">
                  <c:v>437.364508764235</c:v>
                </c:pt>
                <c:pt idx="8">
                  <c:v>504.27372430198284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'Work Area 2 (graphs)'!$F$15</c:f>
              <c:strCache>
                <c:ptCount val="1"/>
                <c:pt idx="0">
                  <c:v>Boilers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'Work Area 2 (graphs)'!$B$16:$B$24</c:f>
              <c:numCache>
                <c:ptCount val="9"/>
                <c:pt idx="0">
                  <c:v>0</c:v>
                </c:pt>
                <c:pt idx="1">
                  <c:v>0.48665494834274886</c:v>
                </c:pt>
                <c:pt idx="2">
                  <c:v>0.9733098966854977</c:v>
                </c:pt>
                <c:pt idx="3">
                  <c:v>1.4599648450282465</c:v>
                </c:pt>
                <c:pt idx="4">
                  <c:v>1.9466197933709954</c:v>
                </c:pt>
                <c:pt idx="5">
                  <c:v>2.433274741713744</c:v>
                </c:pt>
                <c:pt idx="6">
                  <c:v>2.919929690056493</c:v>
                </c:pt>
                <c:pt idx="7">
                  <c:v>3.406584638399242</c:v>
                </c:pt>
                <c:pt idx="8">
                  <c:v>3.893239586741991</c:v>
                </c:pt>
              </c:numCache>
            </c:numRef>
          </c:xVal>
          <c:yVal>
            <c:numRef>
              <c:f>'Work Area 2 (graphs)'!$F$16:$F$24</c:f>
              <c:numCache>
                <c:ptCount val="9"/>
                <c:pt idx="0">
                  <c:v>0</c:v>
                </c:pt>
                <c:pt idx="1">
                  <c:v>3522.0323563375523</c:v>
                </c:pt>
                <c:pt idx="2">
                  <c:v>7044.064712675105</c:v>
                </c:pt>
                <c:pt idx="3">
                  <c:v>10566.097069012656</c:v>
                </c:pt>
                <c:pt idx="4">
                  <c:v>14088.12942535021</c:v>
                </c:pt>
                <c:pt idx="5">
                  <c:v>17610.16178168776</c:v>
                </c:pt>
                <c:pt idx="6">
                  <c:v>21132.194138025312</c:v>
                </c:pt>
                <c:pt idx="7">
                  <c:v>24654.226494362865</c:v>
                </c:pt>
                <c:pt idx="8">
                  <c:v>28176.25885070042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'Work Area 2 (graphs)'!$G$15</c:f>
              <c:strCache>
                <c:ptCount val="1"/>
                <c:pt idx="0">
                  <c:v>Dishwashers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'Work Area 2 (graphs)'!$B$16:$B$24</c:f>
              <c:numCache>
                <c:ptCount val="9"/>
                <c:pt idx="0">
                  <c:v>0</c:v>
                </c:pt>
                <c:pt idx="1">
                  <c:v>0.48665494834274886</c:v>
                </c:pt>
                <c:pt idx="2">
                  <c:v>0.9733098966854977</c:v>
                </c:pt>
                <c:pt idx="3">
                  <c:v>1.4599648450282465</c:v>
                </c:pt>
                <c:pt idx="4">
                  <c:v>1.9466197933709954</c:v>
                </c:pt>
                <c:pt idx="5">
                  <c:v>2.433274741713744</c:v>
                </c:pt>
                <c:pt idx="6">
                  <c:v>2.919929690056493</c:v>
                </c:pt>
                <c:pt idx="7">
                  <c:v>3.406584638399242</c:v>
                </c:pt>
                <c:pt idx="8">
                  <c:v>3.893239586741991</c:v>
                </c:pt>
              </c:numCache>
            </c:numRef>
          </c:xVal>
          <c:yVal>
            <c:numRef>
              <c:f>'Work Area 2 (graphs)'!$G$16:$G$24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'Work Area 2 (graphs)'!$H$15</c:f>
              <c:strCache>
                <c:ptCount val="1"/>
                <c:pt idx="0">
                  <c:v>Washing Machines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'Work Area 2 (graphs)'!$B$16:$B$24</c:f>
              <c:numCache>
                <c:ptCount val="9"/>
                <c:pt idx="0">
                  <c:v>0</c:v>
                </c:pt>
                <c:pt idx="1">
                  <c:v>0.48665494834274886</c:v>
                </c:pt>
                <c:pt idx="2">
                  <c:v>0.9733098966854977</c:v>
                </c:pt>
                <c:pt idx="3">
                  <c:v>1.4599648450282465</c:v>
                </c:pt>
                <c:pt idx="4">
                  <c:v>1.9466197933709954</c:v>
                </c:pt>
                <c:pt idx="5">
                  <c:v>2.433274741713744</c:v>
                </c:pt>
                <c:pt idx="6">
                  <c:v>2.919929690056493</c:v>
                </c:pt>
                <c:pt idx="7">
                  <c:v>3.406584638399242</c:v>
                </c:pt>
                <c:pt idx="8">
                  <c:v>3.893239586741991</c:v>
                </c:pt>
              </c:numCache>
            </c:numRef>
          </c:xVal>
          <c:yVal>
            <c:numRef>
              <c:f>'Work Area 2 (graphs)'!$H$16:$H$24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'Work Area 2 (graphs)'!$I$15</c:f>
              <c:strCache>
                <c:ptCount val="1"/>
                <c:pt idx="0">
                  <c:v>Landscapes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'Work Area 2 (graphs)'!$B$16:$B$24</c:f>
              <c:numCache>
                <c:ptCount val="9"/>
                <c:pt idx="0">
                  <c:v>0</c:v>
                </c:pt>
                <c:pt idx="1">
                  <c:v>0.48665494834274886</c:v>
                </c:pt>
                <c:pt idx="2">
                  <c:v>0.9733098966854977</c:v>
                </c:pt>
                <c:pt idx="3">
                  <c:v>1.4599648450282465</c:v>
                </c:pt>
                <c:pt idx="4">
                  <c:v>1.9466197933709954</c:v>
                </c:pt>
                <c:pt idx="5">
                  <c:v>2.433274741713744</c:v>
                </c:pt>
                <c:pt idx="6">
                  <c:v>2.919929690056493</c:v>
                </c:pt>
                <c:pt idx="7">
                  <c:v>3.406584638399242</c:v>
                </c:pt>
                <c:pt idx="8">
                  <c:v>3.893239586741991</c:v>
                </c:pt>
              </c:numCache>
            </c:numRef>
          </c:xVal>
          <c:yVal>
            <c:numRef>
              <c:f>'Work Area 2 (graphs)'!$I$16:$I$24</c:f>
              <c:numCache>
                <c:ptCount val="9"/>
                <c:pt idx="0">
                  <c:v>11.544987546699877</c:v>
                </c:pt>
                <c:pt idx="1">
                  <c:v>11.544987546699877</c:v>
                </c:pt>
                <c:pt idx="2">
                  <c:v>11.544987546699877</c:v>
                </c:pt>
                <c:pt idx="3">
                  <c:v>11.544987546699877</c:v>
                </c:pt>
                <c:pt idx="4">
                  <c:v>11.544987546699877</c:v>
                </c:pt>
                <c:pt idx="5">
                  <c:v>11.544987546699877</c:v>
                </c:pt>
                <c:pt idx="6">
                  <c:v>11.544987546699877</c:v>
                </c:pt>
                <c:pt idx="7">
                  <c:v>11.544987546699877</c:v>
                </c:pt>
                <c:pt idx="8">
                  <c:v>11.544987546699877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'Work Area 2 (graphs)'!$J$15</c:f>
              <c:strCache>
                <c:ptCount val="1"/>
                <c:pt idx="0">
                  <c:v>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'Work Area 2 (graphs)'!$B$16:$B$24</c:f>
              <c:numCache>
                <c:ptCount val="9"/>
                <c:pt idx="0">
                  <c:v>0</c:v>
                </c:pt>
                <c:pt idx="1">
                  <c:v>0.48665494834274886</c:v>
                </c:pt>
                <c:pt idx="2">
                  <c:v>0.9733098966854977</c:v>
                </c:pt>
                <c:pt idx="3">
                  <c:v>1.4599648450282465</c:v>
                </c:pt>
                <c:pt idx="4">
                  <c:v>1.9466197933709954</c:v>
                </c:pt>
                <c:pt idx="5">
                  <c:v>2.433274741713744</c:v>
                </c:pt>
                <c:pt idx="6">
                  <c:v>2.919929690056493</c:v>
                </c:pt>
                <c:pt idx="7">
                  <c:v>3.406584638399242</c:v>
                </c:pt>
                <c:pt idx="8">
                  <c:v>3.893239586741991</c:v>
                </c:pt>
              </c:numCache>
            </c:numRef>
          </c:xVal>
          <c:yVal>
            <c:numRef>
              <c:f>'Work Area 2 (graphs)'!$J$16:$J$24</c:f>
              <c:numCache>
                <c:ptCount val="9"/>
                <c:pt idx="0">
                  <c:v>-8183.4550124533</c:v>
                </c:pt>
                <c:pt idx="1">
                  <c:v>-3422.9067582124294</c:v>
                </c:pt>
                <c:pt idx="2">
                  <c:v>1337.6414960284435</c:v>
                </c:pt>
                <c:pt idx="3">
                  <c:v>6098.189750269314</c:v>
                </c:pt>
                <c:pt idx="4">
                  <c:v>10858.738004510187</c:v>
                </c:pt>
                <c:pt idx="5">
                  <c:v>15619.286258751055</c:v>
                </c:pt>
                <c:pt idx="6">
                  <c:v>20379.834512991925</c:v>
                </c:pt>
                <c:pt idx="7">
                  <c:v>25140.382767232797</c:v>
                </c:pt>
                <c:pt idx="8">
                  <c:v>29900.931021473672</c:v>
                </c:pt>
              </c:numCache>
            </c:numRef>
          </c:yVal>
          <c:smooth val="0"/>
        </c:ser>
        <c:axId val="51895447"/>
        <c:axId val="64405840"/>
      </c:scatterChart>
      <c:valAx>
        <c:axId val="518954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405840"/>
        <c:crosses val="autoZero"/>
        <c:crossBetween val="midCat"/>
        <c:dispUnits/>
      </c:valAx>
      <c:valAx>
        <c:axId val="64405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WCM Net Worth ($)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518954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9525</xdr:rowOff>
    </xdr:from>
    <xdr:to>
      <xdr:col>7</xdr:col>
      <xdr:colOff>28575</xdr:colOff>
      <xdr:row>61</xdr:row>
      <xdr:rowOff>152400</xdr:rowOff>
    </xdr:to>
    <xdr:graphicFrame>
      <xdr:nvGraphicFramePr>
        <xdr:cNvPr id="1" name="Chart 4"/>
        <xdr:cNvGraphicFramePr/>
      </xdr:nvGraphicFramePr>
      <xdr:xfrm>
        <a:off x="0" y="8267700"/>
        <a:ext cx="84772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16</xdr:row>
      <xdr:rowOff>66675</xdr:rowOff>
    </xdr:from>
    <xdr:to>
      <xdr:col>7</xdr:col>
      <xdr:colOff>9525</xdr:colOff>
      <xdr:row>39</xdr:row>
      <xdr:rowOff>142875</xdr:rowOff>
    </xdr:to>
    <xdr:graphicFrame>
      <xdr:nvGraphicFramePr>
        <xdr:cNvPr id="2" name="Chart 5"/>
        <xdr:cNvGraphicFramePr/>
      </xdr:nvGraphicFramePr>
      <xdr:xfrm>
        <a:off x="9525" y="3752850"/>
        <a:ext cx="844867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53"/>
  <sheetViews>
    <sheetView showGridLines="0" workbookViewId="0" topLeftCell="A1">
      <selection activeCell="L39" sqref="L39"/>
    </sheetView>
  </sheetViews>
  <sheetFormatPr defaultColWidth="9.77734375" defaultRowHeight="15"/>
  <cols>
    <col min="1" max="1" width="1.77734375" style="0" customWidth="1"/>
    <col min="2" max="2" width="5.6640625" style="0" customWidth="1"/>
    <col min="8" max="8" width="10.3359375" style="0" customWidth="1"/>
    <col min="9" max="9" width="3.4453125" style="0" customWidth="1"/>
    <col min="10" max="10" width="13.3359375" style="0" customWidth="1"/>
  </cols>
  <sheetData>
    <row r="1" spans="1:14" ht="15.75" thickBot="1">
      <c r="A1" s="275"/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</row>
    <row r="2" spans="1:14" ht="24" thickBot="1">
      <c r="A2" s="275"/>
      <c r="B2" s="292" t="s">
        <v>0</v>
      </c>
      <c r="C2" s="293"/>
      <c r="D2" s="293"/>
      <c r="E2" s="293"/>
      <c r="F2" s="293"/>
      <c r="G2" s="293"/>
      <c r="H2" s="293"/>
      <c r="I2" s="293"/>
      <c r="J2" s="294"/>
      <c r="K2" s="275"/>
      <c r="L2" s="275"/>
      <c r="M2" s="275"/>
      <c r="N2" s="275"/>
    </row>
    <row r="3" spans="1:14" ht="24" thickTop="1">
      <c r="A3" s="275"/>
      <c r="B3" s="295"/>
      <c r="C3" s="276"/>
      <c r="D3" s="276"/>
      <c r="E3" s="276"/>
      <c r="F3" s="276"/>
      <c r="G3" s="276"/>
      <c r="H3" s="276"/>
      <c r="I3" s="276"/>
      <c r="J3" s="296"/>
      <c r="K3" s="275"/>
      <c r="L3" s="275"/>
      <c r="M3" s="275"/>
      <c r="N3" s="275"/>
    </row>
    <row r="4" spans="1:14" ht="15">
      <c r="A4" s="275"/>
      <c r="B4" s="297"/>
      <c r="C4" s="49"/>
      <c r="D4" s="49"/>
      <c r="E4" s="49"/>
      <c r="F4" s="49"/>
      <c r="G4" s="49"/>
      <c r="H4" s="49"/>
      <c r="I4" s="49"/>
      <c r="J4" s="296"/>
      <c r="K4" s="275"/>
      <c r="L4" s="275"/>
      <c r="M4" s="275"/>
      <c r="N4" s="275"/>
    </row>
    <row r="5" spans="1:14" ht="15.75">
      <c r="A5" s="275"/>
      <c r="B5" s="298"/>
      <c r="C5" s="54" t="s">
        <v>481</v>
      </c>
      <c r="D5" s="49"/>
      <c r="E5" s="49"/>
      <c r="F5" s="49"/>
      <c r="G5" s="49"/>
      <c r="H5" s="49"/>
      <c r="I5" s="49"/>
      <c r="J5" s="296"/>
      <c r="K5" s="275"/>
      <c r="L5" s="275"/>
      <c r="M5" s="275"/>
      <c r="N5" s="275"/>
    </row>
    <row r="6" spans="1:14" ht="15">
      <c r="A6" s="275"/>
      <c r="B6" s="297"/>
      <c r="C6" s="49"/>
      <c r="D6" s="49"/>
      <c r="E6" s="49"/>
      <c r="F6" s="49"/>
      <c r="G6" s="49"/>
      <c r="H6" s="49"/>
      <c r="I6" s="49"/>
      <c r="J6" s="296"/>
      <c r="K6" s="275"/>
      <c r="L6" s="275"/>
      <c r="M6" s="275"/>
      <c r="N6" s="275"/>
    </row>
    <row r="7" spans="1:14" ht="15">
      <c r="A7" s="275"/>
      <c r="B7" s="299" t="s">
        <v>482</v>
      </c>
      <c r="C7" s="82" t="s">
        <v>489</v>
      </c>
      <c r="D7" s="49"/>
      <c r="E7" s="49"/>
      <c r="F7" s="49"/>
      <c r="G7" s="49"/>
      <c r="H7" s="49"/>
      <c r="I7" s="49"/>
      <c r="J7" s="296"/>
      <c r="K7" s="275"/>
      <c r="L7" s="275"/>
      <c r="M7" s="275"/>
      <c r="N7" s="275"/>
    </row>
    <row r="8" spans="1:14" ht="15">
      <c r="A8" s="275"/>
      <c r="B8" s="300"/>
      <c r="C8" s="82" t="s">
        <v>524</v>
      </c>
      <c r="D8" s="82"/>
      <c r="E8" s="82"/>
      <c r="F8" s="82"/>
      <c r="G8" s="82"/>
      <c r="H8" s="82"/>
      <c r="I8" s="82"/>
      <c r="J8" s="296"/>
      <c r="K8" s="275"/>
      <c r="L8" s="275"/>
      <c r="M8" s="275"/>
      <c r="N8" s="275"/>
    </row>
    <row r="9" spans="1:14" ht="15">
      <c r="A9" s="275"/>
      <c r="B9" s="300"/>
      <c r="C9" s="82" t="s">
        <v>527</v>
      </c>
      <c r="D9" s="82"/>
      <c r="E9" s="82"/>
      <c r="F9" s="82"/>
      <c r="G9" s="82"/>
      <c r="H9" s="82"/>
      <c r="I9" s="82"/>
      <c r="J9" s="296"/>
      <c r="K9" s="275"/>
      <c r="L9" s="275"/>
      <c r="M9" s="275"/>
      <c r="N9" s="275"/>
    </row>
    <row r="10" spans="1:14" ht="15">
      <c r="A10" s="275"/>
      <c r="B10" s="300"/>
      <c r="C10" s="82" t="s">
        <v>525</v>
      </c>
      <c r="D10" s="82"/>
      <c r="E10" s="82"/>
      <c r="F10" s="82"/>
      <c r="G10" s="82"/>
      <c r="H10" s="82"/>
      <c r="I10" s="82"/>
      <c r="J10" s="296"/>
      <c r="K10" s="275"/>
      <c r="L10" s="275"/>
      <c r="M10" s="275"/>
      <c r="N10" s="275"/>
    </row>
    <row r="11" spans="1:14" ht="15">
      <c r="A11" s="275"/>
      <c r="B11" s="300"/>
      <c r="C11" s="314" t="s">
        <v>526</v>
      </c>
      <c r="D11" s="82"/>
      <c r="E11" s="82"/>
      <c r="F11" s="82"/>
      <c r="G11" s="82"/>
      <c r="H11" s="82"/>
      <c r="I11" s="82"/>
      <c r="J11" s="296"/>
      <c r="K11" s="275"/>
      <c r="L11" s="275"/>
      <c r="M11" s="275"/>
      <c r="N11" s="275"/>
    </row>
    <row r="12" spans="1:14" ht="15">
      <c r="A12" s="275"/>
      <c r="B12" s="300"/>
      <c r="C12" s="82"/>
      <c r="D12" s="82"/>
      <c r="E12" s="82"/>
      <c r="F12" s="82"/>
      <c r="G12" s="82"/>
      <c r="H12" s="82"/>
      <c r="I12" s="82"/>
      <c r="J12" s="296"/>
      <c r="K12" s="275"/>
      <c r="L12" s="275"/>
      <c r="M12" s="275"/>
      <c r="N12" s="275"/>
    </row>
    <row r="13" spans="1:14" ht="15">
      <c r="A13" s="275"/>
      <c r="B13" s="299" t="s">
        <v>483</v>
      </c>
      <c r="C13" s="48" t="s">
        <v>487</v>
      </c>
      <c r="D13" s="82"/>
      <c r="E13" s="82"/>
      <c r="F13" s="82"/>
      <c r="G13" s="82"/>
      <c r="H13" s="82"/>
      <c r="I13" s="82"/>
      <c r="J13" s="296"/>
      <c r="K13" s="275"/>
      <c r="L13" s="275"/>
      <c r="M13" s="275"/>
      <c r="N13" s="275"/>
    </row>
    <row r="14" spans="1:14" ht="15">
      <c r="A14" s="275"/>
      <c r="B14" s="300"/>
      <c r="C14" s="82" t="s">
        <v>488</v>
      </c>
      <c r="D14" s="82"/>
      <c r="E14" s="82"/>
      <c r="F14" s="82"/>
      <c r="G14" s="82"/>
      <c r="H14" s="82"/>
      <c r="I14" s="82"/>
      <c r="J14" s="296"/>
      <c r="K14" s="275"/>
      <c r="L14" s="275"/>
      <c r="M14" s="275"/>
      <c r="N14" s="275"/>
    </row>
    <row r="15" spans="1:14" ht="15">
      <c r="A15" s="275"/>
      <c r="B15" s="300"/>
      <c r="C15" s="82" t="s">
        <v>484</v>
      </c>
      <c r="D15" s="82"/>
      <c r="E15" s="82"/>
      <c r="F15" s="82"/>
      <c r="G15" s="82"/>
      <c r="H15" s="82"/>
      <c r="I15" s="304" t="s">
        <v>500</v>
      </c>
      <c r="J15" s="305" t="s">
        <v>485</v>
      </c>
      <c r="K15" s="275"/>
      <c r="L15" s="275"/>
      <c r="M15" s="275"/>
      <c r="N15" s="275"/>
    </row>
    <row r="16" spans="1:14" ht="15">
      <c r="A16" s="275"/>
      <c r="B16" s="300"/>
      <c r="C16" s="82" t="s">
        <v>501</v>
      </c>
      <c r="D16" s="82"/>
      <c r="E16" s="82"/>
      <c r="F16" s="82"/>
      <c r="G16" s="82"/>
      <c r="H16" s="82"/>
      <c r="I16" s="82"/>
      <c r="J16" s="296"/>
      <c r="K16" s="275"/>
      <c r="L16" s="275"/>
      <c r="M16" s="275"/>
      <c r="N16" s="275"/>
    </row>
    <row r="17" spans="1:14" ht="15">
      <c r="A17" s="275"/>
      <c r="B17" s="300"/>
      <c r="C17" s="82"/>
      <c r="D17" s="49"/>
      <c r="E17" s="49"/>
      <c r="F17" s="49"/>
      <c r="G17" s="49"/>
      <c r="H17" s="49"/>
      <c r="I17" s="49"/>
      <c r="J17" s="296"/>
      <c r="K17" s="275"/>
      <c r="L17" s="275"/>
      <c r="M17" s="275"/>
      <c r="N17" s="275"/>
    </row>
    <row r="18" spans="1:14" ht="15">
      <c r="A18" s="275"/>
      <c r="B18" s="299" t="s">
        <v>486</v>
      </c>
      <c r="C18" s="48" t="s">
        <v>502</v>
      </c>
      <c r="D18" s="49"/>
      <c r="E18" s="49"/>
      <c r="F18" s="49"/>
      <c r="G18" s="49"/>
      <c r="H18" s="49"/>
      <c r="I18" s="49"/>
      <c r="J18" s="296"/>
      <c r="K18" s="275"/>
      <c r="L18" s="275"/>
      <c r="M18" s="275"/>
      <c r="N18" s="275"/>
    </row>
    <row r="19" spans="1:14" ht="15">
      <c r="A19" s="275"/>
      <c r="B19" s="300"/>
      <c r="C19" s="48" t="s">
        <v>503</v>
      </c>
      <c r="D19" s="49"/>
      <c r="E19" s="49"/>
      <c r="F19" s="49"/>
      <c r="G19" s="49"/>
      <c r="H19" s="49"/>
      <c r="I19" s="49"/>
      <c r="J19" s="296"/>
      <c r="K19" s="275"/>
      <c r="L19" s="275"/>
      <c r="M19" s="275"/>
      <c r="N19" s="275"/>
    </row>
    <row r="20" spans="1:14" ht="15">
      <c r="A20" s="275"/>
      <c r="B20" s="300"/>
      <c r="C20" s="48" t="s">
        <v>504</v>
      </c>
      <c r="D20" s="49"/>
      <c r="E20" s="49"/>
      <c r="F20" s="49"/>
      <c r="G20" s="49"/>
      <c r="H20" s="49"/>
      <c r="I20" s="49"/>
      <c r="J20" s="296"/>
      <c r="K20" s="275"/>
      <c r="L20" s="275"/>
      <c r="M20" s="275"/>
      <c r="N20" s="275"/>
    </row>
    <row r="21" spans="1:14" ht="15">
      <c r="A21" s="275"/>
      <c r="B21" s="300"/>
      <c r="C21" s="48"/>
      <c r="D21" s="49"/>
      <c r="E21" s="49"/>
      <c r="F21" s="49"/>
      <c r="G21" s="49"/>
      <c r="H21" s="49"/>
      <c r="I21" s="49"/>
      <c r="J21" s="296"/>
      <c r="K21" s="275"/>
      <c r="L21" s="275"/>
      <c r="M21" s="275"/>
      <c r="N21" s="275"/>
    </row>
    <row r="22" spans="1:14" ht="15">
      <c r="A22" s="275"/>
      <c r="B22" s="299" t="s">
        <v>490</v>
      </c>
      <c r="C22" s="48" t="s">
        <v>491</v>
      </c>
      <c r="D22" s="49"/>
      <c r="E22" s="49"/>
      <c r="F22" s="49"/>
      <c r="G22" s="49"/>
      <c r="H22" s="49"/>
      <c r="I22" s="49"/>
      <c r="J22" s="296"/>
      <c r="K22" s="275"/>
      <c r="L22" s="275"/>
      <c r="M22" s="275"/>
      <c r="N22" s="275"/>
    </row>
    <row r="23" spans="1:14" ht="15">
      <c r="A23" s="275"/>
      <c r="B23" s="300"/>
      <c r="C23" s="82"/>
      <c r="D23" s="49"/>
      <c r="E23" s="49"/>
      <c r="F23" s="49"/>
      <c r="G23" s="49"/>
      <c r="H23" s="49"/>
      <c r="I23" s="49"/>
      <c r="J23" s="296"/>
      <c r="K23" s="275"/>
      <c r="L23" s="275"/>
      <c r="M23" s="275"/>
      <c r="N23" s="275"/>
    </row>
    <row r="24" spans="1:14" ht="15.75">
      <c r="A24" s="275"/>
      <c r="B24" s="297"/>
      <c r="C24" s="196" t="s">
        <v>442</v>
      </c>
      <c r="D24" s="49"/>
      <c r="E24" s="49"/>
      <c r="F24" s="49"/>
      <c r="G24" s="49"/>
      <c r="H24" s="49"/>
      <c r="I24" s="49"/>
      <c r="J24" s="296"/>
      <c r="K24" s="275"/>
      <c r="L24" s="275"/>
      <c r="M24" s="275"/>
      <c r="N24" s="275"/>
    </row>
    <row r="25" spans="1:14" ht="15">
      <c r="A25" s="275"/>
      <c r="B25" s="301" t="s">
        <v>1</v>
      </c>
      <c r="C25" s="48" t="s">
        <v>492</v>
      </c>
      <c r="D25" s="49"/>
      <c r="E25" s="49"/>
      <c r="F25" s="49"/>
      <c r="G25" s="49"/>
      <c r="H25" s="49"/>
      <c r="I25" s="49"/>
      <c r="J25" s="296"/>
      <c r="K25" s="275"/>
      <c r="L25" s="275"/>
      <c r="M25" s="275"/>
      <c r="N25" s="275"/>
    </row>
    <row r="26" spans="1:14" ht="15">
      <c r="A26" s="275"/>
      <c r="B26" s="297"/>
      <c r="C26" s="48" t="s">
        <v>493</v>
      </c>
      <c r="D26" s="49"/>
      <c r="E26" s="49"/>
      <c r="F26" s="49"/>
      <c r="G26" s="49"/>
      <c r="H26" s="49"/>
      <c r="I26" s="49"/>
      <c r="J26" s="296"/>
      <c r="K26" s="275"/>
      <c r="L26" s="275"/>
      <c r="M26" s="275"/>
      <c r="N26" s="275"/>
    </row>
    <row r="27" spans="1:14" ht="15">
      <c r="A27" s="275"/>
      <c r="B27" s="297"/>
      <c r="C27" s="48" t="s">
        <v>494</v>
      </c>
      <c r="D27" s="82"/>
      <c r="E27" s="49"/>
      <c r="F27" s="49"/>
      <c r="G27" s="49"/>
      <c r="H27" s="49"/>
      <c r="I27" s="49"/>
      <c r="J27" s="296"/>
      <c r="K27" s="275"/>
      <c r="L27" s="275"/>
      <c r="M27" s="275"/>
      <c r="N27" s="275"/>
    </row>
    <row r="28" spans="1:14" ht="15">
      <c r="A28" s="275"/>
      <c r="B28" s="297"/>
      <c r="C28" s="48" t="s">
        <v>495</v>
      </c>
      <c r="D28" s="49"/>
      <c r="E28" s="49"/>
      <c r="F28" s="49"/>
      <c r="G28" s="49"/>
      <c r="H28" s="49"/>
      <c r="I28" s="49"/>
      <c r="J28" s="296"/>
      <c r="K28" s="275"/>
      <c r="L28" s="275"/>
      <c r="M28" s="275"/>
      <c r="N28" s="275"/>
    </row>
    <row r="29" spans="1:14" ht="15">
      <c r="A29" s="275"/>
      <c r="B29" s="301"/>
      <c r="C29" s="82"/>
      <c r="D29" s="49"/>
      <c r="E29" s="49"/>
      <c r="F29" s="49"/>
      <c r="G29" s="49"/>
      <c r="H29" s="49"/>
      <c r="I29" s="49"/>
      <c r="J29" s="296"/>
      <c r="K29" s="275"/>
      <c r="L29" s="275"/>
      <c r="M29" s="275"/>
      <c r="N29" s="275"/>
    </row>
    <row r="30" spans="1:14" ht="15">
      <c r="A30" s="275"/>
      <c r="B30" s="301" t="s">
        <v>1</v>
      </c>
      <c r="C30" s="48" t="s">
        <v>496</v>
      </c>
      <c r="D30" s="49"/>
      <c r="E30" s="49"/>
      <c r="F30" s="49"/>
      <c r="G30" s="49"/>
      <c r="H30" s="49"/>
      <c r="I30" s="49"/>
      <c r="J30" s="296"/>
      <c r="K30" s="275"/>
      <c r="L30" s="275"/>
      <c r="M30" s="275"/>
      <c r="N30" s="275"/>
    </row>
    <row r="31" spans="1:14" ht="15">
      <c r="A31" s="275"/>
      <c r="B31" s="297"/>
      <c r="C31" s="195" t="s">
        <v>497</v>
      </c>
      <c r="D31" s="49"/>
      <c r="E31" s="49"/>
      <c r="F31" s="49"/>
      <c r="G31" s="49"/>
      <c r="H31" s="49"/>
      <c r="I31" s="49"/>
      <c r="J31" s="296"/>
      <c r="K31" s="275"/>
      <c r="L31" s="275"/>
      <c r="M31" s="275"/>
      <c r="N31" s="275"/>
    </row>
    <row r="32" spans="1:14" ht="15">
      <c r="A32" s="275"/>
      <c r="B32" s="301"/>
      <c r="C32" s="82"/>
      <c r="D32" s="49"/>
      <c r="E32" s="49"/>
      <c r="F32" s="49"/>
      <c r="G32" s="49"/>
      <c r="H32" s="49"/>
      <c r="I32" s="49"/>
      <c r="J32" s="296"/>
      <c r="K32" s="275"/>
      <c r="L32" s="275"/>
      <c r="M32" s="275"/>
      <c r="N32" s="275"/>
    </row>
    <row r="33" spans="1:14" ht="15">
      <c r="A33" s="275"/>
      <c r="B33" s="301" t="s">
        <v>1</v>
      </c>
      <c r="C33" s="48" t="s">
        <v>2</v>
      </c>
      <c r="D33" s="49"/>
      <c r="E33" s="49"/>
      <c r="F33" s="49"/>
      <c r="G33" s="49"/>
      <c r="H33" s="49"/>
      <c r="I33" s="49"/>
      <c r="J33" s="296"/>
      <c r="K33" s="275"/>
      <c r="L33" s="275"/>
      <c r="M33" s="275"/>
      <c r="N33" s="275"/>
    </row>
    <row r="34" spans="1:14" ht="15">
      <c r="A34" s="275"/>
      <c r="B34" s="297"/>
      <c r="C34" s="48" t="s">
        <v>498</v>
      </c>
      <c r="D34" s="49"/>
      <c r="E34" s="49"/>
      <c r="F34" s="49"/>
      <c r="G34" s="49"/>
      <c r="H34" s="49"/>
      <c r="I34" s="49"/>
      <c r="J34" s="296"/>
      <c r="K34" s="275"/>
      <c r="L34" s="275"/>
      <c r="M34" s="275"/>
      <c r="N34" s="275"/>
    </row>
    <row r="35" spans="1:14" ht="15">
      <c r="A35" s="275"/>
      <c r="B35" s="297"/>
      <c r="C35" s="48" t="s">
        <v>499</v>
      </c>
      <c r="D35" s="49"/>
      <c r="E35" s="49"/>
      <c r="F35" s="49"/>
      <c r="G35" s="49"/>
      <c r="H35" s="49"/>
      <c r="I35" s="49"/>
      <c r="J35" s="296"/>
      <c r="K35" s="275"/>
      <c r="L35" s="275"/>
      <c r="M35" s="275"/>
      <c r="N35" s="275"/>
    </row>
    <row r="36" spans="1:14" ht="15.75" thickBot="1">
      <c r="A36" s="275"/>
      <c r="B36" s="302"/>
      <c r="C36" s="46"/>
      <c r="D36" s="46"/>
      <c r="E36" s="46"/>
      <c r="F36" s="46"/>
      <c r="G36" s="46"/>
      <c r="H36" s="46"/>
      <c r="I36" s="46"/>
      <c r="J36" s="303"/>
      <c r="K36" s="275"/>
      <c r="L36" s="275"/>
      <c r="M36" s="275"/>
      <c r="N36" s="275"/>
    </row>
    <row r="37" spans="1:14" ht="15">
      <c r="A37" s="275"/>
      <c r="B37" s="275"/>
      <c r="C37" s="275"/>
      <c r="D37" s="275"/>
      <c r="E37" s="275"/>
      <c r="F37" s="275"/>
      <c r="G37" s="275"/>
      <c r="H37" s="275"/>
      <c r="I37" s="275"/>
      <c r="J37" s="275"/>
      <c r="K37" s="275"/>
      <c r="L37" s="275"/>
      <c r="M37" s="275"/>
      <c r="N37" s="275"/>
    </row>
    <row r="38" spans="1:14" ht="15">
      <c r="A38" s="275"/>
      <c r="B38" s="275"/>
      <c r="C38" s="275"/>
      <c r="D38" s="275"/>
      <c r="E38" s="275"/>
      <c r="F38" s="275"/>
      <c r="G38" s="275"/>
      <c r="H38" s="275"/>
      <c r="I38" s="275"/>
      <c r="J38" s="275"/>
      <c r="K38" s="275"/>
      <c r="L38" s="275"/>
      <c r="M38" s="275"/>
      <c r="N38" s="275"/>
    </row>
    <row r="39" spans="1:14" ht="15">
      <c r="A39" s="275"/>
      <c r="B39" s="275"/>
      <c r="C39" s="275"/>
      <c r="D39" s="275"/>
      <c r="E39" s="275"/>
      <c r="F39" s="275"/>
      <c r="G39" s="275"/>
      <c r="H39" s="275"/>
      <c r="I39" s="275"/>
      <c r="J39" s="275"/>
      <c r="K39" s="275"/>
      <c r="L39" s="275"/>
      <c r="M39" s="275"/>
      <c r="N39" s="275"/>
    </row>
    <row r="40" spans="1:14" ht="15">
      <c r="A40" s="275"/>
      <c r="B40" s="275"/>
      <c r="C40" s="275"/>
      <c r="D40" s="275"/>
      <c r="E40" s="275"/>
      <c r="F40" s="275"/>
      <c r="G40" s="275"/>
      <c r="H40" s="275"/>
      <c r="I40" s="275"/>
      <c r="J40" s="275"/>
      <c r="K40" s="275"/>
      <c r="L40" s="275"/>
      <c r="M40" s="275"/>
      <c r="N40" s="275"/>
    </row>
    <row r="41" spans="1:14" ht="15">
      <c r="A41" s="275"/>
      <c r="B41" s="275"/>
      <c r="C41" s="275"/>
      <c r="D41" s="275"/>
      <c r="E41" s="275"/>
      <c r="F41" s="275"/>
      <c r="G41" s="275"/>
      <c r="H41" s="275"/>
      <c r="I41" s="275"/>
      <c r="J41" s="275"/>
      <c r="K41" s="275"/>
      <c r="L41" s="275"/>
      <c r="M41" s="275"/>
      <c r="N41" s="275"/>
    </row>
    <row r="42" spans="1:14" ht="15">
      <c r="A42" s="275"/>
      <c r="B42" s="275"/>
      <c r="C42" s="275"/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275"/>
    </row>
    <row r="43" spans="1:14" ht="15">
      <c r="A43" s="275"/>
      <c r="B43" s="275"/>
      <c r="C43" s="275"/>
      <c r="D43" s="275"/>
      <c r="E43" s="275"/>
      <c r="F43" s="275"/>
      <c r="G43" s="275"/>
      <c r="H43" s="275"/>
      <c r="I43" s="275"/>
      <c r="J43" s="275"/>
      <c r="K43" s="275"/>
      <c r="L43" s="275"/>
      <c r="M43" s="275"/>
      <c r="N43" s="275"/>
    </row>
    <row r="44" spans="1:14" ht="15">
      <c r="A44" s="275"/>
      <c r="B44" s="275"/>
      <c r="C44" s="275"/>
      <c r="D44" s="275"/>
      <c r="E44" s="275"/>
      <c r="F44" s="275"/>
      <c r="G44" s="275"/>
      <c r="H44" s="275"/>
      <c r="I44" s="275"/>
      <c r="J44" s="275"/>
      <c r="K44" s="275"/>
      <c r="L44" s="275"/>
      <c r="M44" s="275"/>
      <c r="N44" s="275"/>
    </row>
    <row r="45" spans="1:14" ht="15">
      <c r="A45" s="275"/>
      <c r="B45" s="275"/>
      <c r="C45" s="275"/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5"/>
    </row>
    <row r="46" spans="2:10" ht="15">
      <c r="B46" s="315"/>
      <c r="C46" s="315"/>
      <c r="D46" s="315"/>
      <c r="E46" s="315"/>
      <c r="F46" s="315"/>
      <c r="G46" s="315"/>
      <c r="H46" s="315"/>
      <c r="I46" s="315"/>
      <c r="J46" s="315"/>
    </row>
    <row r="47" spans="2:10" ht="15">
      <c r="B47" s="315"/>
      <c r="C47" s="315"/>
      <c r="D47" s="315"/>
      <c r="E47" s="315"/>
      <c r="F47" s="315"/>
      <c r="G47" s="315"/>
      <c r="H47" s="315"/>
      <c r="I47" s="315"/>
      <c r="J47" s="315"/>
    </row>
    <row r="48" spans="2:10" ht="15">
      <c r="B48" s="315"/>
      <c r="C48" s="315"/>
      <c r="D48" s="315"/>
      <c r="E48" s="315"/>
      <c r="F48" s="315"/>
      <c r="G48" s="315"/>
      <c r="H48" s="315"/>
      <c r="I48" s="315"/>
      <c r="J48" s="315"/>
    </row>
    <row r="49" spans="2:10" ht="15">
      <c r="B49" s="24"/>
      <c r="C49" s="24"/>
      <c r="D49" s="24"/>
      <c r="E49" s="24"/>
      <c r="F49" s="24"/>
      <c r="G49" s="24"/>
      <c r="H49" s="24"/>
      <c r="I49" s="24"/>
      <c r="J49" s="24"/>
    </row>
    <row r="50" spans="2:10" ht="15">
      <c r="B50" s="24"/>
      <c r="C50" s="24"/>
      <c r="D50" s="24"/>
      <c r="E50" s="24"/>
      <c r="F50" s="24"/>
      <c r="G50" s="24"/>
      <c r="H50" s="24"/>
      <c r="I50" s="24"/>
      <c r="J50" s="24"/>
    </row>
    <row r="51" spans="2:10" ht="15">
      <c r="B51" s="24"/>
      <c r="C51" s="24"/>
      <c r="D51" s="24"/>
      <c r="E51" s="24"/>
      <c r="F51" s="24"/>
      <c r="G51" s="24"/>
      <c r="H51" s="24"/>
      <c r="I51" s="24"/>
      <c r="J51" s="24"/>
    </row>
    <row r="52" spans="2:10" ht="15">
      <c r="B52" s="24"/>
      <c r="C52" s="24"/>
      <c r="D52" s="24"/>
      <c r="E52" s="24"/>
      <c r="F52" s="24"/>
      <c r="G52" s="24"/>
      <c r="H52" s="24"/>
      <c r="I52" s="24"/>
      <c r="J52" s="24"/>
    </row>
    <row r="53" spans="2:10" ht="15">
      <c r="B53" s="24"/>
      <c r="C53" s="24"/>
      <c r="D53" s="24"/>
      <c r="E53" s="24"/>
      <c r="F53" s="24"/>
      <c r="G53" s="24"/>
      <c r="H53" s="24"/>
      <c r="I53" s="24"/>
      <c r="J53" s="24"/>
    </row>
  </sheetData>
  <printOptions/>
  <pageMargins left="1" right="1" top="2" bottom="0.84" header="0.5" footer="0.5"/>
  <pageSetup fitToHeight="1" fitToWidth="1" horizontalDpi="300" verticalDpi="3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1"/>
  <sheetViews>
    <sheetView workbookViewId="0" topLeftCell="A1">
      <selection activeCell="H56" sqref="H56"/>
    </sheetView>
  </sheetViews>
  <sheetFormatPr defaultColWidth="8.88671875" defaultRowHeight="15"/>
  <cols>
    <col min="1" max="1" width="3.77734375" style="0" customWidth="1"/>
    <col min="2" max="2" width="5.10546875" style="0" customWidth="1"/>
    <col min="3" max="5" width="14.77734375" style="0" customWidth="1"/>
  </cols>
  <sheetData>
    <row r="1" spans="1:14" ht="1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5">
      <c r="A2" s="26"/>
      <c r="B2" s="49"/>
      <c r="C2" s="49"/>
      <c r="D2" s="49"/>
      <c r="E2" s="49"/>
      <c r="F2" s="49"/>
      <c r="G2" s="49"/>
      <c r="H2" s="49"/>
      <c r="I2" s="49"/>
      <c r="J2" s="26"/>
      <c r="K2" s="26"/>
      <c r="L2" s="26"/>
      <c r="M2" s="26"/>
      <c r="N2" s="26"/>
    </row>
    <row r="3" spans="1:14" ht="30">
      <c r="A3" s="26"/>
      <c r="B3" s="49"/>
      <c r="C3" s="192" t="s">
        <v>3</v>
      </c>
      <c r="D3" s="49"/>
      <c r="E3" s="49"/>
      <c r="F3" s="49"/>
      <c r="G3" s="49"/>
      <c r="H3" s="49"/>
      <c r="I3" s="49"/>
      <c r="J3" s="26"/>
      <c r="K3" s="26"/>
      <c r="L3" s="26"/>
      <c r="M3" s="26"/>
      <c r="N3" s="26"/>
    </row>
    <row r="4" spans="1:14" ht="15">
      <c r="A4" s="26"/>
      <c r="B4" s="49"/>
      <c r="C4" s="193" t="s">
        <v>4</v>
      </c>
      <c r="D4" s="194"/>
      <c r="E4" s="49"/>
      <c r="F4" s="49"/>
      <c r="G4" s="49"/>
      <c r="H4" s="49"/>
      <c r="I4" s="49"/>
      <c r="J4" s="26"/>
      <c r="K4" s="26"/>
      <c r="L4" s="26"/>
      <c r="M4" s="26"/>
      <c r="N4" s="26"/>
    </row>
    <row r="5" spans="1:14" ht="15">
      <c r="A5" s="26"/>
      <c r="B5" s="49"/>
      <c r="C5" s="49"/>
      <c r="D5" s="49"/>
      <c r="E5" s="49"/>
      <c r="F5" s="49"/>
      <c r="G5" s="49"/>
      <c r="H5" s="49"/>
      <c r="I5" s="49"/>
      <c r="J5" s="26"/>
      <c r="K5" s="26"/>
      <c r="L5" s="26"/>
      <c r="M5" s="26"/>
      <c r="N5" s="26"/>
    </row>
    <row r="6" spans="1:14" ht="15">
      <c r="A6" s="26"/>
      <c r="B6" s="49"/>
      <c r="C6" s="195" t="s">
        <v>5</v>
      </c>
      <c r="D6" s="49"/>
      <c r="E6" s="49"/>
      <c r="F6" s="49"/>
      <c r="G6" s="49"/>
      <c r="H6" s="49"/>
      <c r="I6" s="49"/>
      <c r="J6" s="26"/>
      <c r="K6" s="26"/>
      <c r="L6" s="26"/>
      <c r="M6" s="26"/>
      <c r="N6" s="26"/>
    </row>
    <row r="7" spans="1:14" ht="15">
      <c r="A7" s="26"/>
      <c r="B7" s="49"/>
      <c r="C7" s="49"/>
      <c r="D7" s="49"/>
      <c r="E7" s="49"/>
      <c r="F7" s="49"/>
      <c r="G7" s="49"/>
      <c r="H7" s="49"/>
      <c r="I7" s="49"/>
      <c r="J7" s="26"/>
      <c r="K7" s="26"/>
      <c r="L7" s="26"/>
      <c r="M7" s="26"/>
      <c r="N7" s="26"/>
    </row>
    <row r="8" spans="1:14" ht="15.75">
      <c r="A8" s="26"/>
      <c r="B8" s="49"/>
      <c r="C8" s="196" t="s">
        <v>6</v>
      </c>
      <c r="D8" s="49"/>
      <c r="E8" s="49"/>
      <c r="F8" s="49"/>
      <c r="G8" s="49"/>
      <c r="H8" s="49"/>
      <c r="I8" s="49"/>
      <c r="J8" s="26"/>
      <c r="K8" s="26"/>
      <c r="L8" s="26"/>
      <c r="M8" s="26"/>
      <c r="N8" s="26"/>
    </row>
    <row r="9" spans="1:14" ht="15">
      <c r="A9" s="26"/>
      <c r="B9" s="49"/>
      <c r="C9" s="49"/>
      <c r="D9" s="49"/>
      <c r="E9" s="49"/>
      <c r="F9" s="49"/>
      <c r="G9" s="49"/>
      <c r="H9" s="49"/>
      <c r="I9" s="49"/>
      <c r="J9" s="26"/>
      <c r="K9" s="26"/>
      <c r="L9" s="26"/>
      <c r="M9" s="26"/>
      <c r="N9" s="26"/>
    </row>
    <row r="10" spans="1:14" ht="15">
      <c r="A10" s="26"/>
      <c r="B10" s="49"/>
      <c r="C10" s="48" t="s">
        <v>7</v>
      </c>
      <c r="D10" s="49"/>
      <c r="E10" s="49"/>
      <c r="F10" s="49"/>
      <c r="G10" s="49"/>
      <c r="H10" s="49"/>
      <c r="I10" s="49"/>
      <c r="J10" s="26"/>
      <c r="K10" s="26"/>
      <c r="L10" s="26"/>
      <c r="M10" s="26"/>
      <c r="N10" s="26"/>
    </row>
    <row r="11" spans="1:14" ht="15">
      <c r="A11" s="26"/>
      <c r="B11" s="49"/>
      <c r="C11" s="48" t="s">
        <v>8</v>
      </c>
      <c r="D11" s="49"/>
      <c r="E11" s="49"/>
      <c r="F11" s="49"/>
      <c r="G11" s="49"/>
      <c r="H11" s="49"/>
      <c r="I11" s="49"/>
      <c r="J11" s="26"/>
      <c r="K11" s="26"/>
      <c r="L11" s="26"/>
      <c r="M11" s="26"/>
      <c r="N11" s="26"/>
    </row>
    <row r="12" spans="1:14" ht="15.75">
      <c r="A12" s="26"/>
      <c r="B12" s="49"/>
      <c r="C12" s="196" t="s">
        <v>417</v>
      </c>
      <c r="D12" s="49"/>
      <c r="E12" s="82"/>
      <c r="F12" s="82"/>
      <c r="G12" s="82"/>
      <c r="H12" s="82"/>
      <c r="I12" s="49"/>
      <c r="J12" s="26"/>
      <c r="K12" s="26"/>
      <c r="L12" s="26"/>
      <c r="M12" s="26"/>
      <c r="N12" s="26"/>
    </row>
    <row r="13" spans="1:14" ht="15">
      <c r="A13" s="26"/>
      <c r="B13" s="49"/>
      <c r="C13" s="48" t="s">
        <v>9</v>
      </c>
      <c r="D13" s="49"/>
      <c r="E13" s="49"/>
      <c r="F13" s="49"/>
      <c r="G13" s="49"/>
      <c r="H13" s="49"/>
      <c r="I13" s="49"/>
      <c r="J13" s="26"/>
      <c r="K13" s="26"/>
      <c r="L13" s="26"/>
      <c r="M13" s="26"/>
      <c r="N13" s="26"/>
    </row>
    <row r="14" spans="1:14" ht="15">
      <c r="A14" s="26"/>
      <c r="B14" s="49"/>
      <c r="C14" s="49"/>
      <c r="D14" s="49"/>
      <c r="E14" s="49"/>
      <c r="F14" s="49"/>
      <c r="G14" s="49"/>
      <c r="H14" s="49"/>
      <c r="I14" s="49"/>
      <c r="J14" s="26"/>
      <c r="K14" s="26"/>
      <c r="L14" s="26"/>
      <c r="M14" s="26"/>
      <c r="N14" s="26"/>
    </row>
    <row r="15" spans="1:14" ht="15.75">
      <c r="A15" s="26"/>
      <c r="B15" s="49"/>
      <c r="C15" s="196" t="s">
        <v>10</v>
      </c>
      <c r="D15" s="49"/>
      <c r="E15" s="49"/>
      <c r="F15" s="49"/>
      <c r="G15" s="49"/>
      <c r="H15" s="49"/>
      <c r="I15" s="49"/>
      <c r="J15" s="26"/>
      <c r="K15" s="26"/>
      <c r="L15" s="26"/>
      <c r="M15" s="26"/>
      <c r="N15" s="26"/>
    </row>
    <row r="16" spans="1:14" ht="15">
      <c r="A16" s="26"/>
      <c r="B16" s="49"/>
      <c r="C16" s="49"/>
      <c r="D16" s="49"/>
      <c r="E16" s="49"/>
      <c r="F16" s="49"/>
      <c r="G16" s="49"/>
      <c r="H16" s="49"/>
      <c r="I16" s="49"/>
      <c r="J16" s="26"/>
      <c r="K16" s="26"/>
      <c r="L16" s="26"/>
      <c r="M16" s="26"/>
      <c r="N16" s="26"/>
    </row>
    <row r="17" spans="1:14" ht="15">
      <c r="A17" s="26"/>
      <c r="B17" s="49"/>
      <c r="C17" s="197" t="s">
        <v>11</v>
      </c>
      <c r="D17" s="49"/>
      <c r="E17" s="49"/>
      <c r="F17" s="49"/>
      <c r="G17" s="49"/>
      <c r="H17" s="49"/>
      <c r="I17" s="49"/>
      <c r="J17" s="26"/>
      <c r="K17" s="26"/>
      <c r="L17" s="26"/>
      <c r="M17" s="26"/>
      <c r="N17" s="26"/>
    </row>
    <row r="18" spans="1:14" ht="15">
      <c r="A18" s="26"/>
      <c r="B18" s="49"/>
      <c r="C18" s="48" t="s">
        <v>12</v>
      </c>
      <c r="D18" s="49"/>
      <c r="E18" s="49"/>
      <c r="F18" s="49"/>
      <c r="G18" s="49"/>
      <c r="H18" s="49"/>
      <c r="I18" s="49"/>
      <c r="J18" s="26"/>
      <c r="K18" s="26"/>
      <c r="L18" s="26"/>
      <c r="M18" s="26"/>
      <c r="N18" s="26"/>
    </row>
    <row r="19" spans="1:14" ht="15">
      <c r="A19" s="26"/>
      <c r="B19" s="49"/>
      <c r="C19" s="48" t="s">
        <v>409</v>
      </c>
      <c r="D19" s="49"/>
      <c r="E19" s="49"/>
      <c r="F19" s="49"/>
      <c r="G19" s="49"/>
      <c r="H19" s="49"/>
      <c r="I19" s="49"/>
      <c r="J19" s="26"/>
      <c r="K19" s="26"/>
      <c r="L19" s="26"/>
      <c r="M19" s="26"/>
      <c r="N19" s="26"/>
    </row>
    <row r="20" spans="1:14" ht="15">
      <c r="A20" s="26"/>
      <c r="B20" s="49"/>
      <c r="C20" s="48" t="s">
        <v>13</v>
      </c>
      <c r="D20" s="49"/>
      <c r="E20" s="49"/>
      <c r="F20" s="49"/>
      <c r="G20" s="49"/>
      <c r="H20" s="49"/>
      <c r="I20" s="49"/>
      <c r="J20" s="26"/>
      <c r="K20" s="26"/>
      <c r="L20" s="26"/>
      <c r="M20" s="26"/>
      <c r="N20" s="26"/>
    </row>
    <row r="21" spans="1:14" ht="15.75">
      <c r="A21" s="26"/>
      <c r="B21" s="49"/>
      <c r="C21" s="196" t="s">
        <v>410</v>
      </c>
      <c r="D21" s="48"/>
      <c r="E21" s="49"/>
      <c r="F21" s="49"/>
      <c r="G21" s="49"/>
      <c r="H21" s="49"/>
      <c r="I21" s="49"/>
      <c r="J21" s="26"/>
      <c r="K21" s="26"/>
      <c r="L21" s="26"/>
      <c r="M21" s="26"/>
      <c r="N21" s="26"/>
    </row>
    <row r="22" spans="1:14" ht="15">
      <c r="A22" s="26"/>
      <c r="B22" s="49"/>
      <c r="C22" s="48" t="s">
        <v>14</v>
      </c>
      <c r="D22" s="49"/>
      <c r="E22" s="49"/>
      <c r="F22" s="49"/>
      <c r="G22" s="49"/>
      <c r="H22" s="49"/>
      <c r="I22" s="49"/>
      <c r="J22" s="26"/>
      <c r="K22" s="26"/>
      <c r="L22" s="26"/>
      <c r="M22" s="26"/>
      <c r="N22" s="26"/>
    </row>
    <row r="23" spans="1:14" ht="15">
      <c r="A23" s="26"/>
      <c r="B23" s="49"/>
      <c r="C23" s="49"/>
      <c r="D23" s="49"/>
      <c r="E23" s="49"/>
      <c r="F23" s="49"/>
      <c r="G23" s="49"/>
      <c r="H23" s="49"/>
      <c r="I23" s="49"/>
      <c r="J23" s="26"/>
      <c r="K23" s="26"/>
      <c r="L23" s="26"/>
      <c r="M23" s="26"/>
      <c r="N23" s="26"/>
    </row>
    <row r="24" spans="1:14" ht="15">
      <c r="A24" s="26"/>
      <c r="B24" s="49"/>
      <c r="C24" s="197" t="s">
        <v>15</v>
      </c>
      <c r="D24" s="49"/>
      <c r="E24" s="49"/>
      <c r="F24" s="49"/>
      <c r="G24" s="49"/>
      <c r="H24" s="49"/>
      <c r="I24" s="49"/>
      <c r="J24" s="26"/>
      <c r="K24" s="26"/>
      <c r="L24" s="26"/>
      <c r="M24" s="26"/>
      <c r="N24" s="26"/>
    </row>
    <row r="25" spans="1:14" ht="15">
      <c r="A25" s="26"/>
      <c r="B25" s="49"/>
      <c r="C25" s="48" t="s">
        <v>411</v>
      </c>
      <c r="D25" s="49"/>
      <c r="E25" s="49"/>
      <c r="F25" s="49"/>
      <c r="G25" s="49"/>
      <c r="H25" s="49"/>
      <c r="I25" s="49"/>
      <c r="J25" s="26"/>
      <c r="K25" s="26"/>
      <c r="L25" s="26"/>
      <c r="M25" s="26"/>
      <c r="N25" s="26"/>
    </row>
    <row r="26" spans="1:14" ht="15">
      <c r="A26" s="26"/>
      <c r="B26" s="49"/>
      <c r="C26" s="48" t="s">
        <v>16</v>
      </c>
      <c r="D26" s="49"/>
      <c r="E26" s="49"/>
      <c r="F26" s="49"/>
      <c r="G26" s="49"/>
      <c r="H26" s="49"/>
      <c r="I26" s="49"/>
      <c r="J26" s="26"/>
      <c r="K26" s="26"/>
      <c r="L26" s="26"/>
      <c r="M26" s="26"/>
      <c r="N26" s="26"/>
    </row>
    <row r="27" spans="1:14" ht="15">
      <c r="A27" s="26"/>
      <c r="B27" s="49"/>
      <c r="C27" s="48" t="s">
        <v>17</v>
      </c>
      <c r="D27" s="49"/>
      <c r="E27" s="49"/>
      <c r="F27" s="49"/>
      <c r="G27" s="49"/>
      <c r="H27" s="49"/>
      <c r="I27" s="49"/>
      <c r="J27" s="26"/>
      <c r="K27" s="26"/>
      <c r="L27" s="26"/>
      <c r="M27" s="26"/>
      <c r="N27" s="26"/>
    </row>
    <row r="28" spans="1:14" ht="15">
      <c r="A28" s="26"/>
      <c r="B28" s="49"/>
      <c r="C28" s="198" t="s">
        <v>18</v>
      </c>
      <c r="D28" s="49"/>
      <c r="E28" s="49"/>
      <c r="F28" s="49"/>
      <c r="G28" s="49"/>
      <c r="H28" s="49"/>
      <c r="I28" s="49"/>
      <c r="J28" s="26"/>
      <c r="K28" s="26"/>
      <c r="L28" s="26"/>
      <c r="M28" s="26"/>
      <c r="N28" s="26"/>
    </row>
    <row r="29" spans="1:14" ht="15">
      <c r="A29" s="26"/>
      <c r="B29" s="49"/>
      <c r="C29" s="198" t="s">
        <v>412</v>
      </c>
      <c r="D29" s="49"/>
      <c r="E29" s="49"/>
      <c r="F29" s="49"/>
      <c r="G29" s="49"/>
      <c r="H29" s="49"/>
      <c r="I29" s="49"/>
      <c r="J29" s="26"/>
      <c r="K29" s="26"/>
      <c r="L29" s="26"/>
      <c r="M29" s="26"/>
      <c r="N29" s="26"/>
    </row>
    <row r="30" spans="1:14" ht="15">
      <c r="A30" s="26"/>
      <c r="B30" s="49"/>
      <c r="C30" s="198" t="s">
        <v>413</v>
      </c>
      <c r="D30" s="49"/>
      <c r="E30" s="49"/>
      <c r="F30" s="49"/>
      <c r="G30" s="49"/>
      <c r="H30" s="49"/>
      <c r="I30" s="49"/>
      <c r="J30" s="26"/>
      <c r="K30" s="26"/>
      <c r="L30" s="26"/>
      <c r="M30" s="26"/>
      <c r="N30" s="26"/>
    </row>
    <row r="31" spans="1:14" ht="15">
      <c r="A31" s="26"/>
      <c r="B31" s="49"/>
      <c r="C31" s="48" t="s">
        <v>19</v>
      </c>
      <c r="D31" s="49"/>
      <c r="E31" s="49"/>
      <c r="F31" s="49"/>
      <c r="G31" s="49"/>
      <c r="H31" s="49"/>
      <c r="I31" s="49"/>
      <c r="J31" s="26"/>
      <c r="K31" s="26"/>
      <c r="L31" s="26"/>
      <c r="M31" s="26"/>
      <c r="N31" s="26"/>
    </row>
    <row r="32" spans="1:14" ht="15">
      <c r="A32" s="26"/>
      <c r="B32" s="49"/>
      <c r="C32" s="48" t="s">
        <v>414</v>
      </c>
      <c r="D32" s="49"/>
      <c r="E32" s="49"/>
      <c r="F32" s="49"/>
      <c r="G32" s="49"/>
      <c r="H32" s="49"/>
      <c r="I32" s="49"/>
      <c r="J32" s="26"/>
      <c r="K32" s="26"/>
      <c r="L32" s="26"/>
      <c r="M32" s="26"/>
      <c r="N32" s="26"/>
    </row>
    <row r="33" spans="1:14" ht="15">
      <c r="A33" s="26"/>
      <c r="B33" s="49"/>
      <c r="C33" s="48" t="s">
        <v>415</v>
      </c>
      <c r="D33" s="49"/>
      <c r="E33" s="49"/>
      <c r="F33" s="49"/>
      <c r="G33" s="49"/>
      <c r="H33" s="49"/>
      <c r="I33" s="49"/>
      <c r="J33" s="26"/>
      <c r="K33" s="26"/>
      <c r="L33" s="26"/>
      <c r="M33" s="26"/>
      <c r="N33" s="26"/>
    </row>
    <row r="34" spans="1:14" ht="15">
      <c r="A34" s="26"/>
      <c r="B34" s="49"/>
      <c r="C34" s="198" t="s">
        <v>20</v>
      </c>
      <c r="D34" s="49"/>
      <c r="E34" s="49"/>
      <c r="F34" s="49"/>
      <c r="G34" s="49"/>
      <c r="H34" s="49"/>
      <c r="I34" s="49"/>
      <c r="J34" s="26"/>
      <c r="K34" s="26"/>
      <c r="L34" s="26"/>
      <c r="M34" s="26"/>
      <c r="N34" s="26"/>
    </row>
    <row r="35" spans="1:14" ht="15">
      <c r="A35" s="26"/>
      <c r="B35" s="49"/>
      <c r="C35" s="198" t="s">
        <v>21</v>
      </c>
      <c r="D35" s="49"/>
      <c r="E35" s="49"/>
      <c r="F35" s="49"/>
      <c r="G35" s="49"/>
      <c r="H35" s="49"/>
      <c r="I35" s="49"/>
      <c r="J35" s="26"/>
      <c r="K35" s="26"/>
      <c r="L35" s="26"/>
      <c r="M35" s="26"/>
      <c r="N35" s="26"/>
    </row>
    <row r="36" spans="1:14" ht="15">
      <c r="A36" s="26"/>
      <c r="B36" s="49"/>
      <c r="C36" s="198" t="s">
        <v>22</v>
      </c>
      <c r="D36" s="49"/>
      <c r="E36" s="49"/>
      <c r="F36" s="49"/>
      <c r="G36" s="49"/>
      <c r="H36" s="49"/>
      <c r="I36" s="49"/>
      <c r="J36" s="26"/>
      <c r="K36" s="26"/>
      <c r="L36" s="26"/>
      <c r="M36" s="26"/>
      <c r="N36" s="26"/>
    </row>
    <row r="37" spans="1:14" ht="15">
      <c r="A37" s="26"/>
      <c r="B37" s="49"/>
      <c r="C37" s="198" t="s">
        <v>23</v>
      </c>
      <c r="D37" s="49"/>
      <c r="E37" s="49"/>
      <c r="F37" s="49"/>
      <c r="G37" s="49"/>
      <c r="H37" s="49"/>
      <c r="I37" s="49"/>
      <c r="J37" s="26"/>
      <c r="K37" s="26"/>
      <c r="L37" s="26"/>
      <c r="M37" s="26"/>
      <c r="N37" s="26"/>
    </row>
    <row r="38" spans="1:14" ht="15">
      <c r="A38" s="26"/>
      <c r="B38" s="49"/>
      <c r="C38" s="49"/>
      <c r="D38" s="49"/>
      <c r="E38" s="49"/>
      <c r="F38" s="49"/>
      <c r="G38" s="49"/>
      <c r="H38" s="49"/>
      <c r="I38" s="49"/>
      <c r="J38" s="26"/>
      <c r="K38" s="26"/>
      <c r="L38" s="26"/>
      <c r="M38" s="26"/>
      <c r="N38" s="26"/>
    </row>
    <row r="39" spans="1:14" ht="15">
      <c r="A39" s="26"/>
      <c r="B39" s="49"/>
      <c r="C39" s="197" t="s">
        <v>24</v>
      </c>
      <c r="D39" s="49"/>
      <c r="E39" s="49"/>
      <c r="F39" s="49"/>
      <c r="G39" s="49"/>
      <c r="H39" s="49"/>
      <c r="I39" s="49"/>
      <c r="J39" s="26"/>
      <c r="K39" s="26"/>
      <c r="L39" s="26"/>
      <c r="M39" s="26"/>
      <c r="N39" s="26"/>
    </row>
    <row r="40" spans="1:14" ht="15">
      <c r="A40" s="26"/>
      <c r="B40" s="49"/>
      <c r="C40" s="48" t="s">
        <v>25</v>
      </c>
      <c r="D40" s="49"/>
      <c r="E40" s="49"/>
      <c r="F40" s="49"/>
      <c r="G40" s="49"/>
      <c r="H40" s="49"/>
      <c r="I40" s="49"/>
      <c r="J40" s="26"/>
      <c r="K40" s="26"/>
      <c r="L40" s="26"/>
      <c r="M40" s="26"/>
      <c r="N40" s="26"/>
    </row>
    <row r="41" spans="1:14" ht="15">
      <c r="A41" s="26"/>
      <c r="B41" s="49"/>
      <c r="C41" s="48" t="s">
        <v>26</v>
      </c>
      <c r="D41" s="49"/>
      <c r="E41" s="49"/>
      <c r="F41" s="49"/>
      <c r="G41" s="49"/>
      <c r="H41" s="49"/>
      <c r="I41" s="49"/>
      <c r="J41" s="26"/>
      <c r="K41" s="26"/>
      <c r="L41" s="26"/>
      <c r="M41" s="26"/>
      <c r="N41" s="26"/>
    </row>
    <row r="42" spans="1:14" ht="15.75">
      <c r="A42" s="26"/>
      <c r="B42" s="49"/>
      <c r="C42" s="48" t="s">
        <v>460</v>
      </c>
      <c r="D42" s="196"/>
      <c r="E42" s="49"/>
      <c r="F42" s="49"/>
      <c r="G42" s="49"/>
      <c r="H42" s="49"/>
      <c r="I42" s="49"/>
      <c r="J42" s="26"/>
      <c r="K42" s="26"/>
      <c r="L42" s="26"/>
      <c r="M42" s="26"/>
      <c r="N42" s="26"/>
    </row>
    <row r="43" spans="1:14" ht="15">
      <c r="A43" s="26"/>
      <c r="B43" s="49"/>
      <c r="C43" s="48" t="s">
        <v>27</v>
      </c>
      <c r="D43" s="49"/>
      <c r="E43" s="49"/>
      <c r="F43" s="49"/>
      <c r="G43" s="49"/>
      <c r="H43" s="49"/>
      <c r="I43" s="49"/>
      <c r="J43" s="26"/>
      <c r="K43" s="26"/>
      <c r="L43" s="26"/>
      <c r="M43" s="26"/>
      <c r="N43" s="26"/>
    </row>
    <row r="44" spans="1:14" ht="15">
      <c r="A44" s="26"/>
      <c r="B44" s="49"/>
      <c r="C44" s="48" t="s">
        <v>28</v>
      </c>
      <c r="D44" s="49"/>
      <c r="E44" s="49"/>
      <c r="F44" s="49"/>
      <c r="G44" s="49"/>
      <c r="H44" s="49"/>
      <c r="I44" s="49"/>
      <c r="J44" s="26"/>
      <c r="K44" s="26"/>
      <c r="L44" s="26"/>
      <c r="M44" s="26"/>
      <c r="N44" s="26"/>
    </row>
    <row r="45" spans="1:14" ht="15">
      <c r="A45" s="26"/>
      <c r="B45" s="49"/>
      <c r="C45" s="48" t="s">
        <v>29</v>
      </c>
      <c r="D45" s="49"/>
      <c r="E45" s="49"/>
      <c r="F45" s="49"/>
      <c r="G45" s="49"/>
      <c r="H45" s="49"/>
      <c r="I45" s="49"/>
      <c r="J45" s="26"/>
      <c r="K45" s="26"/>
      <c r="L45" s="26"/>
      <c r="M45" s="26"/>
      <c r="N45" s="26"/>
    </row>
    <row r="46" spans="1:14" ht="15">
      <c r="A46" s="26"/>
      <c r="B46" s="49"/>
      <c r="C46" s="48" t="s">
        <v>30</v>
      </c>
      <c r="D46" s="49"/>
      <c r="E46" s="49"/>
      <c r="F46" s="49"/>
      <c r="G46" s="49"/>
      <c r="H46" s="49"/>
      <c r="I46" s="49"/>
      <c r="J46" s="26"/>
      <c r="K46" s="26"/>
      <c r="L46" s="26"/>
      <c r="M46" s="26"/>
      <c r="N46" s="26"/>
    </row>
    <row r="47" spans="1:14" ht="15">
      <c r="A47" s="26"/>
      <c r="B47" s="49"/>
      <c r="C47" s="48" t="s">
        <v>31</v>
      </c>
      <c r="D47" s="49"/>
      <c r="E47" s="49"/>
      <c r="F47" s="49"/>
      <c r="G47" s="49"/>
      <c r="H47" s="49"/>
      <c r="I47" s="49"/>
      <c r="J47" s="26"/>
      <c r="K47" s="26"/>
      <c r="L47" s="26"/>
      <c r="M47" s="26"/>
      <c r="N47" s="26"/>
    </row>
    <row r="48" spans="1:14" ht="15">
      <c r="A48" s="26"/>
      <c r="B48" s="49"/>
      <c r="C48" s="48" t="s">
        <v>32</v>
      </c>
      <c r="D48" s="49"/>
      <c r="E48" s="49"/>
      <c r="F48" s="49"/>
      <c r="G48" s="49"/>
      <c r="H48" s="49"/>
      <c r="I48" s="49"/>
      <c r="J48" s="26"/>
      <c r="K48" s="26"/>
      <c r="L48" s="26"/>
      <c r="M48" s="26"/>
      <c r="N48" s="26"/>
    </row>
    <row r="49" spans="1:14" ht="15">
      <c r="A49" s="26"/>
      <c r="B49" s="49"/>
      <c r="C49" s="49"/>
      <c r="D49" s="49"/>
      <c r="E49" s="49"/>
      <c r="F49" s="49"/>
      <c r="G49" s="49"/>
      <c r="H49" s="49"/>
      <c r="I49" s="49"/>
      <c r="J49" s="26"/>
      <c r="K49" s="26"/>
      <c r="L49" s="26"/>
      <c r="M49" s="26"/>
      <c r="N49" s="26"/>
    </row>
    <row r="50" spans="1:14" ht="15">
      <c r="A50" s="26"/>
      <c r="B50" s="49"/>
      <c r="C50" s="197" t="s">
        <v>33</v>
      </c>
      <c r="D50" s="49"/>
      <c r="E50" s="49"/>
      <c r="F50" s="49"/>
      <c r="G50" s="49"/>
      <c r="H50" s="49"/>
      <c r="I50" s="49"/>
      <c r="J50" s="26"/>
      <c r="K50" s="26"/>
      <c r="L50" s="26"/>
      <c r="M50" s="26"/>
      <c r="N50" s="26"/>
    </row>
    <row r="51" spans="1:14" ht="15">
      <c r="A51" s="26"/>
      <c r="B51" s="49"/>
      <c r="C51" s="48" t="s">
        <v>34</v>
      </c>
      <c r="D51" s="49"/>
      <c r="E51" s="49"/>
      <c r="F51" s="49"/>
      <c r="G51" s="49"/>
      <c r="H51" s="49"/>
      <c r="I51" s="49"/>
      <c r="J51" s="26"/>
      <c r="K51" s="26"/>
      <c r="L51" s="26"/>
      <c r="M51" s="26"/>
      <c r="N51" s="26"/>
    </row>
    <row r="52" spans="1:14" ht="15">
      <c r="A52" s="26"/>
      <c r="B52" s="49"/>
      <c r="C52" s="48" t="s">
        <v>416</v>
      </c>
      <c r="D52" s="49"/>
      <c r="E52" s="49"/>
      <c r="F52" s="49"/>
      <c r="G52" s="49"/>
      <c r="H52" s="49"/>
      <c r="I52" s="49"/>
      <c r="J52" s="26"/>
      <c r="K52" s="26"/>
      <c r="L52" s="26"/>
      <c r="M52" s="26"/>
      <c r="N52" s="26"/>
    </row>
    <row r="53" spans="1:14" ht="15">
      <c r="A53" s="26"/>
      <c r="B53" s="49"/>
      <c r="C53" s="48" t="s">
        <v>35</v>
      </c>
      <c r="D53" s="49"/>
      <c r="E53" s="49"/>
      <c r="F53" s="49"/>
      <c r="G53" s="49"/>
      <c r="H53" s="49"/>
      <c r="I53" s="49"/>
      <c r="J53" s="26"/>
      <c r="K53" s="26"/>
      <c r="L53" s="26"/>
      <c r="M53" s="26"/>
      <c r="N53" s="26"/>
    </row>
    <row r="54" spans="1:14" ht="15">
      <c r="A54" s="26"/>
      <c r="B54" s="49"/>
      <c r="C54" s="48" t="s">
        <v>36</v>
      </c>
      <c r="D54" s="49"/>
      <c r="E54" s="49"/>
      <c r="F54" s="49"/>
      <c r="G54" s="49"/>
      <c r="H54" s="49"/>
      <c r="I54" s="49"/>
      <c r="J54" s="26"/>
      <c r="K54" s="26"/>
      <c r="L54" s="26"/>
      <c r="M54" s="26"/>
      <c r="N54" s="26"/>
    </row>
    <row r="55" spans="1:14" ht="15">
      <c r="A55" s="26"/>
      <c r="B55" s="49"/>
      <c r="C55" s="48" t="s">
        <v>37</v>
      </c>
      <c r="D55" s="49"/>
      <c r="E55" s="49"/>
      <c r="F55" s="49"/>
      <c r="G55" s="49"/>
      <c r="H55" s="49"/>
      <c r="I55" s="49"/>
      <c r="J55" s="26"/>
      <c r="K55" s="26"/>
      <c r="L55" s="26"/>
      <c r="M55" s="26"/>
      <c r="N55" s="26"/>
    </row>
    <row r="56" spans="1:14" ht="15">
      <c r="A56" s="26"/>
      <c r="B56" s="49"/>
      <c r="C56" s="48" t="s">
        <v>38</v>
      </c>
      <c r="D56" s="49"/>
      <c r="E56" s="49"/>
      <c r="F56" s="49"/>
      <c r="G56" s="49"/>
      <c r="H56" s="49"/>
      <c r="I56" s="49"/>
      <c r="J56" s="26"/>
      <c r="K56" s="26"/>
      <c r="L56" s="26"/>
      <c r="M56" s="26"/>
      <c r="N56" s="26"/>
    </row>
    <row r="57" spans="1:14" ht="15">
      <c r="A57" s="26"/>
      <c r="B57" s="49"/>
      <c r="C57" s="48" t="s">
        <v>39</v>
      </c>
      <c r="D57" s="49"/>
      <c r="E57" s="49"/>
      <c r="F57" s="49"/>
      <c r="G57" s="49"/>
      <c r="H57" s="49"/>
      <c r="I57" s="49"/>
      <c r="J57" s="26"/>
      <c r="K57" s="26"/>
      <c r="L57" s="26"/>
      <c r="M57" s="26"/>
      <c r="N57" s="26"/>
    </row>
    <row r="58" spans="1:14" ht="15">
      <c r="A58" s="26"/>
      <c r="B58" s="49"/>
      <c r="C58" s="48" t="s">
        <v>40</v>
      </c>
      <c r="D58" s="49"/>
      <c r="E58" s="49"/>
      <c r="F58" s="49"/>
      <c r="G58" s="49"/>
      <c r="H58" s="49"/>
      <c r="I58" s="49"/>
      <c r="J58" s="26"/>
      <c r="K58" s="26"/>
      <c r="L58" s="26"/>
      <c r="M58" s="26"/>
      <c r="N58" s="26"/>
    </row>
    <row r="59" spans="1:14" ht="15">
      <c r="A59" s="26"/>
      <c r="B59" s="49"/>
      <c r="C59" s="49"/>
      <c r="D59" s="49"/>
      <c r="E59" s="49"/>
      <c r="F59" s="49"/>
      <c r="G59" s="49"/>
      <c r="H59" s="49"/>
      <c r="I59" s="49"/>
      <c r="J59" s="26"/>
      <c r="K59" s="26"/>
      <c r="L59" s="26"/>
      <c r="M59" s="26"/>
      <c r="N59" s="26"/>
    </row>
    <row r="60" spans="1:14" ht="15">
      <c r="A60" s="26"/>
      <c r="B60" s="49"/>
      <c r="C60" s="49"/>
      <c r="D60" s="49"/>
      <c r="E60" s="49"/>
      <c r="F60" s="49"/>
      <c r="G60" s="49"/>
      <c r="H60" s="49"/>
      <c r="I60" s="49"/>
      <c r="J60" s="26"/>
      <c r="K60" s="26"/>
      <c r="L60" s="26"/>
      <c r="M60" s="26"/>
      <c r="N60" s="26"/>
    </row>
    <row r="61" spans="1:14" ht="15.75">
      <c r="A61" s="26"/>
      <c r="B61" s="49"/>
      <c r="C61" s="196" t="s">
        <v>41</v>
      </c>
      <c r="D61" s="49"/>
      <c r="E61" s="49"/>
      <c r="F61" s="49"/>
      <c r="G61" s="49"/>
      <c r="H61" s="49"/>
      <c r="I61" s="49"/>
      <c r="J61" s="26"/>
      <c r="K61" s="26"/>
      <c r="L61" s="26"/>
      <c r="M61" s="26"/>
      <c r="N61" s="26"/>
    </row>
    <row r="62" spans="1:14" ht="15">
      <c r="A62" s="26"/>
      <c r="B62" s="49"/>
      <c r="C62" s="49"/>
      <c r="D62" s="49"/>
      <c r="E62" s="49"/>
      <c r="F62" s="49"/>
      <c r="G62" s="49"/>
      <c r="H62" s="49"/>
      <c r="I62" s="49"/>
      <c r="J62" s="26"/>
      <c r="K62" s="26"/>
      <c r="L62" s="26"/>
      <c r="M62" s="26"/>
      <c r="N62" s="26"/>
    </row>
    <row r="63" spans="1:14" ht="15">
      <c r="A63" s="26"/>
      <c r="B63" s="49"/>
      <c r="C63" s="48" t="s">
        <v>42</v>
      </c>
      <c r="D63" s="49"/>
      <c r="E63" s="49"/>
      <c r="F63" s="49"/>
      <c r="G63" s="49"/>
      <c r="H63" s="49"/>
      <c r="I63" s="49"/>
      <c r="J63" s="26"/>
      <c r="K63" s="26"/>
      <c r="L63" s="26"/>
      <c r="M63" s="26"/>
      <c r="N63" s="26"/>
    </row>
    <row r="64" spans="1:14" ht="15">
      <c r="A64" s="26"/>
      <c r="B64" s="49"/>
      <c r="C64" s="48" t="s">
        <v>43</v>
      </c>
      <c r="D64" s="49"/>
      <c r="E64" s="49"/>
      <c r="F64" s="49"/>
      <c r="G64" s="49"/>
      <c r="H64" s="49"/>
      <c r="I64" s="49"/>
      <c r="J64" s="26"/>
      <c r="K64" s="26"/>
      <c r="L64" s="26"/>
      <c r="M64" s="26"/>
      <c r="N64" s="26"/>
    </row>
    <row r="65" spans="1:14" ht="15">
      <c r="A65" s="26"/>
      <c r="B65" s="49"/>
      <c r="C65" s="48" t="s">
        <v>44</v>
      </c>
      <c r="D65" s="49"/>
      <c r="E65" s="49"/>
      <c r="F65" s="49"/>
      <c r="G65" s="49"/>
      <c r="H65" s="49"/>
      <c r="I65" s="49"/>
      <c r="J65" s="26"/>
      <c r="K65" s="26"/>
      <c r="L65" s="26"/>
      <c r="M65" s="26"/>
      <c r="N65" s="26"/>
    </row>
    <row r="66" spans="1:14" ht="15">
      <c r="A66" s="26"/>
      <c r="B66" s="49"/>
      <c r="C66" s="48"/>
      <c r="D66" s="49"/>
      <c r="E66" s="49"/>
      <c r="F66" s="49"/>
      <c r="G66" s="49"/>
      <c r="H66" s="49"/>
      <c r="I66" s="49"/>
      <c r="J66" s="26"/>
      <c r="K66" s="26"/>
      <c r="L66" s="26"/>
      <c r="M66" s="26"/>
      <c r="N66" s="26"/>
    </row>
    <row r="67" spans="1:14" ht="15">
      <c r="A67" s="26"/>
      <c r="B67" s="49"/>
      <c r="C67" s="49"/>
      <c r="D67" s="49"/>
      <c r="E67" s="49"/>
      <c r="F67" s="49"/>
      <c r="G67" s="49"/>
      <c r="H67" s="49"/>
      <c r="I67" s="49"/>
      <c r="J67" s="26"/>
      <c r="K67" s="26"/>
      <c r="L67" s="26"/>
      <c r="M67" s="26"/>
      <c r="N67" s="26"/>
    </row>
    <row r="68" spans="1:14" ht="15.75">
      <c r="A68" s="26"/>
      <c r="B68" s="49"/>
      <c r="C68" s="199" t="s">
        <v>385</v>
      </c>
      <c r="D68" s="49"/>
      <c r="E68" s="49"/>
      <c r="F68" s="49"/>
      <c r="G68" s="49"/>
      <c r="H68" s="49"/>
      <c r="I68" s="49"/>
      <c r="J68" s="26"/>
      <c r="K68" s="26"/>
      <c r="L68" s="26"/>
      <c r="M68" s="26"/>
      <c r="N68" s="26"/>
    </row>
    <row r="69" spans="1:14" ht="15">
      <c r="A69" s="26"/>
      <c r="B69" s="49"/>
      <c r="C69" s="49"/>
      <c r="D69" s="49"/>
      <c r="E69" s="49"/>
      <c r="F69" s="49"/>
      <c r="G69" s="49"/>
      <c r="H69" s="49"/>
      <c r="I69" s="49"/>
      <c r="J69" s="26"/>
      <c r="K69" s="26"/>
      <c r="L69" s="26"/>
      <c r="M69" s="26"/>
      <c r="N69" s="26"/>
    </row>
    <row r="70" spans="1:14" ht="15">
      <c r="A70" s="26"/>
      <c r="B70" s="200"/>
      <c r="C70" s="200"/>
      <c r="D70" s="200"/>
      <c r="E70" s="200"/>
      <c r="F70" s="200"/>
      <c r="G70" s="200"/>
      <c r="H70" s="200"/>
      <c r="I70" s="200"/>
      <c r="J70" s="26"/>
      <c r="K70" s="26"/>
      <c r="L70" s="26"/>
      <c r="M70" s="26"/>
      <c r="N70" s="26"/>
    </row>
    <row r="71" spans="1:14" ht="15">
      <c r="A71" s="26"/>
      <c r="B71" s="200"/>
      <c r="C71" s="200"/>
      <c r="D71" s="200"/>
      <c r="E71" s="200"/>
      <c r="F71" s="200"/>
      <c r="G71" s="200"/>
      <c r="H71" s="200"/>
      <c r="I71" s="200"/>
      <c r="J71" s="26"/>
      <c r="K71" s="26"/>
      <c r="L71" s="26"/>
      <c r="M71" s="26"/>
      <c r="N71" s="26"/>
    </row>
    <row r="72" spans="1:14" ht="15">
      <c r="A72" s="26"/>
      <c r="B72" s="200"/>
      <c r="C72" s="200"/>
      <c r="D72" s="200"/>
      <c r="E72" s="200"/>
      <c r="F72" s="200"/>
      <c r="G72" s="200"/>
      <c r="H72" s="200"/>
      <c r="I72" s="200"/>
      <c r="J72" s="26"/>
      <c r="K72" s="26"/>
      <c r="L72" s="26"/>
      <c r="M72" s="26"/>
      <c r="N72" s="26"/>
    </row>
    <row r="73" spans="1:14" ht="1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</row>
    <row r="74" spans="1:14" ht="1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</row>
    <row r="75" spans="1:14" ht="1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</row>
    <row r="76" spans="1:14" ht="1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</row>
    <row r="77" spans="1:14" ht="1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</row>
    <row r="78" spans="1:14" ht="1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</row>
    <row r="79" spans="1:14" ht="1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</row>
    <row r="80" spans="1:14" ht="1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</row>
    <row r="81" spans="1:14" ht="1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</row>
    <row r="82" spans="1:14" ht="1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</row>
    <row r="83" spans="1:14" ht="1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</row>
    <row r="84" spans="1:14" ht="1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</row>
    <row r="85" spans="1:14" ht="1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</row>
    <row r="86" spans="1:14" ht="1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</row>
    <row r="87" spans="1:14" ht="1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</row>
    <row r="88" spans="1:14" ht="1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</row>
    <row r="89" spans="1:14" ht="1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</row>
    <row r="90" spans="1:14" ht="1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</row>
    <row r="91" spans="1:14" ht="1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</row>
    <row r="92" spans="1:14" ht="1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</row>
    <row r="93" spans="1:14" ht="1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</row>
    <row r="94" spans="1:14" ht="1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</row>
    <row r="95" spans="1:14" ht="1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</row>
    <row r="96" spans="1:14" ht="1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</row>
    <row r="97" spans="1:14" ht="1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</row>
    <row r="98" spans="1:14" ht="1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</row>
    <row r="99" spans="1:14" ht="1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</row>
    <row r="100" spans="1:14" ht="1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</row>
    <row r="101" spans="2:9" ht="15">
      <c r="B101" s="26"/>
      <c r="C101" s="26"/>
      <c r="D101" s="26"/>
      <c r="E101" s="26"/>
      <c r="F101" s="26"/>
      <c r="G101" s="26"/>
      <c r="H101" s="26"/>
      <c r="I101" s="26"/>
    </row>
  </sheetData>
  <printOptions/>
  <pageMargins left="1" right="1" top="1" bottom="0.84" header="0.5" footer="0.5"/>
  <pageSetup horizontalDpi="300" verticalDpi="300" orientation="portrait" scale="80" r:id="rId1"/>
  <headerFooter alignWithMargins="0">
    <oddHeader>&amp;L&amp;"Arial MT,Bold"WATERGY:&amp;"Arial MT,Regular" Introduction&amp;R&amp;D</oddHeader>
    <oddFooter>&amp;CPage &amp;P</oddFooter>
  </headerFooter>
  <rowBreaks count="1" manualBreakCount="1">
    <brk id="48" min="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154"/>
  <sheetViews>
    <sheetView showGridLines="0" workbookViewId="0" topLeftCell="A23">
      <selection activeCell="F36" sqref="F36"/>
    </sheetView>
  </sheetViews>
  <sheetFormatPr defaultColWidth="9.77734375" defaultRowHeight="15"/>
  <cols>
    <col min="1" max="1" width="3.77734375" style="0" customWidth="1"/>
    <col min="3" max="3" width="13.77734375" style="0" customWidth="1"/>
    <col min="4" max="4" width="7.77734375" style="0" customWidth="1"/>
    <col min="5" max="5" width="4.77734375" style="0" customWidth="1"/>
    <col min="6" max="6" width="10.3359375" style="0" customWidth="1"/>
    <col min="7" max="7" width="12.77734375" style="0" customWidth="1"/>
    <col min="8" max="9" width="14.77734375" style="0" customWidth="1"/>
  </cols>
  <sheetData>
    <row r="1" spans="1:14" ht="1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5">
      <c r="A2" s="26"/>
      <c r="B2" s="49"/>
      <c r="C2" s="49"/>
      <c r="D2" s="49"/>
      <c r="E2" s="49"/>
      <c r="F2" s="49"/>
      <c r="G2" s="49"/>
      <c r="H2" s="49"/>
      <c r="I2" s="49"/>
      <c r="J2" s="26"/>
      <c r="K2" s="26"/>
      <c r="L2" s="26"/>
      <c r="M2" s="26"/>
      <c r="N2" s="26"/>
    </row>
    <row r="3" spans="1:14" ht="15.75">
      <c r="A3" s="26"/>
      <c r="B3" s="49"/>
      <c r="C3" s="52" t="s">
        <v>45</v>
      </c>
      <c r="D3" s="53"/>
      <c r="E3" s="53"/>
      <c r="F3" s="53"/>
      <c r="G3" s="53"/>
      <c r="H3" s="53"/>
      <c r="I3" s="49"/>
      <c r="J3" s="26"/>
      <c r="K3" s="26"/>
      <c r="L3" s="26"/>
      <c r="M3" s="26"/>
      <c r="N3" s="26"/>
    </row>
    <row r="4" spans="1:14" ht="15">
      <c r="A4" s="26"/>
      <c r="B4" s="49"/>
      <c r="C4" s="49"/>
      <c r="D4" s="49"/>
      <c r="E4" s="49"/>
      <c r="F4" s="49"/>
      <c r="G4" s="49"/>
      <c r="H4" s="49"/>
      <c r="I4" s="49"/>
      <c r="J4" s="26"/>
      <c r="K4" s="26"/>
      <c r="L4" s="26"/>
      <c r="M4" s="26"/>
      <c r="N4" s="26"/>
    </row>
    <row r="5" spans="1:14" ht="15">
      <c r="A5" s="26"/>
      <c r="B5" s="49"/>
      <c r="C5" s="48" t="s">
        <v>46</v>
      </c>
      <c r="D5" s="49"/>
      <c r="E5" s="49"/>
      <c r="F5" s="49"/>
      <c r="G5" s="49"/>
      <c r="H5" s="49"/>
      <c r="I5" s="49"/>
      <c r="J5" s="26"/>
      <c r="K5" s="26"/>
      <c r="L5" s="26"/>
      <c r="M5" s="26"/>
      <c r="N5" s="26"/>
    </row>
    <row r="6" spans="1:14" ht="15">
      <c r="A6" s="26"/>
      <c r="B6" s="49"/>
      <c r="C6" s="198" t="s">
        <v>461</v>
      </c>
      <c r="D6" s="49"/>
      <c r="E6" s="49"/>
      <c r="F6" s="49"/>
      <c r="G6" s="48"/>
      <c r="H6" s="49"/>
      <c r="I6" s="49"/>
      <c r="J6" s="26"/>
      <c r="K6" s="26"/>
      <c r="L6" s="26"/>
      <c r="M6" s="26"/>
      <c r="N6" s="26"/>
    </row>
    <row r="7" spans="1:14" ht="15">
      <c r="A7" s="26"/>
      <c r="B7" s="49"/>
      <c r="C7" s="48" t="s">
        <v>462</v>
      </c>
      <c r="D7" s="49"/>
      <c r="E7" s="49"/>
      <c r="F7" s="49"/>
      <c r="G7" s="49"/>
      <c r="H7" s="49"/>
      <c r="I7" s="49"/>
      <c r="J7" s="26"/>
      <c r="K7" s="26"/>
      <c r="L7" s="26"/>
      <c r="M7" s="26"/>
      <c r="N7" s="26"/>
    </row>
    <row r="8" spans="1:14" ht="15">
      <c r="A8" s="26"/>
      <c r="B8" s="49"/>
      <c r="C8" s="49"/>
      <c r="D8" s="49"/>
      <c r="E8" s="49"/>
      <c r="F8" s="49"/>
      <c r="G8" s="49"/>
      <c r="H8" s="49"/>
      <c r="I8" s="49"/>
      <c r="J8" s="26"/>
      <c r="K8" s="26"/>
      <c r="L8" s="26"/>
      <c r="M8" s="26"/>
      <c r="N8" s="26"/>
    </row>
    <row r="9" spans="1:14" ht="15">
      <c r="A9" s="26"/>
      <c r="B9" s="49"/>
      <c r="C9" s="48" t="s">
        <v>48</v>
      </c>
      <c r="D9" s="49"/>
      <c r="E9" s="49"/>
      <c r="F9" s="49"/>
      <c r="G9" s="49"/>
      <c r="H9" s="49"/>
      <c r="I9" s="49"/>
      <c r="J9" s="26"/>
      <c r="K9" s="26"/>
      <c r="L9" s="26"/>
      <c r="M9" s="26"/>
      <c r="N9" s="26"/>
    </row>
    <row r="10" spans="1:14" ht="15.75">
      <c r="A10" s="26"/>
      <c r="B10" s="49"/>
      <c r="C10" s="49"/>
      <c r="D10" s="49"/>
      <c r="E10" s="49"/>
      <c r="F10" s="49"/>
      <c r="G10" s="201">
        <v>2</v>
      </c>
      <c r="H10" s="202" t="s">
        <v>49</v>
      </c>
      <c r="I10" s="203"/>
      <c r="J10" s="26"/>
      <c r="K10" s="26"/>
      <c r="L10" s="26"/>
      <c r="M10" s="26"/>
      <c r="N10" s="26"/>
    </row>
    <row r="11" spans="1:14" ht="15.75">
      <c r="A11" s="26"/>
      <c r="B11" s="49"/>
      <c r="C11" s="49"/>
      <c r="D11" s="49"/>
      <c r="E11" s="49"/>
      <c r="F11" s="49"/>
      <c r="G11" s="49"/>
      <c r="H11" s="202" t="s">
        <v>50</v>
      </c>
      <c r="I11" s="203"/>
      <c r="J11" s="26"/>
      <c r="K11" s="26"/>
      <c r="L11" s="26"/>
      <c r="M11" s="26"/>
      <c r="N11" s="26"/>
    </row>
    <row r="12" spans="1:14" ht="15.75">
      <c r="A12" s="26"/>
      <c r="B12" s="49"/>
      <c r="C12" s="49"/>
      <c r="D12" s="49"/>
      <c r="E12" s="49"/>
      <c r="F12" s="49"/>
      <c r="G12" s="49"/>
      <c r="H12" s="202"/>
      <c r="I12" s="203"/>
      <c r="J12" s="26"/>
      <c r="K12" s="26"/>
      <c r="L12" s="26"/>
      <c r="M12" s="26"/>
      <c r="N12" s="26"/>
    </row>
    <row r="13" spans="1:14" ht="15.75">
      <c r="A13" s="26"/>
      <c r="B13" s="49"/>
      <c r="C13" s="49"/>
      <c r="D13" s="49"/>
      <c r="E13" s="49"/>
      <c r="F13" s="49"/>
      <c r="G13" s="49"/>
      <c r="H13" s="202"/>
      <c r="I13" s="203"/>
      <c r="J13" s="26"/>
      <c r="K13" s="26"/>
      <c r="L13" s="26"/>
      <c r="M13" s="26"/>
      <c r="N13" s="26"/>
    </row>
    <row r="14" spans="1:14" ht="15">
      <c r="A14" s="26"/>
      <c r="B14" s="49"/>
      <c r="C14" s="216" t="s">
        <v>51</v>
      </c>
      <c r="D14" s="53"/>
      <c r="E14" s="53"/>
      <c r="F14" s="53"/>
      <c r="G14" s="49"/>
      <c r="H14" s="49"/>
      <c r="I14" s="49"/>
      <c r="J14" s="26"/>
      <c r="K14" s="26"/>
      <c r="L14" s="26"/>
      <c r="M14" s="26"/>
      <c r="N14" s="26"/>
    </row>
    <row r="15" spans="1:14" ht="15">
      <c r="A15" s="26"/>
      <c r="B15" s="49"/>
      <c r="C15" s="205" t="s">
        <v>52</v>
      </c>
      <c r="D15" s="49"/>
      <c r="E15" s="49"/>
      <c r="F15" s="205" t="s">
        <v>52</v>
      </c>
      <c r="G15" s="49"/>
      <c r="H15" s="49"/>
      <c r="I15" s="49"/>
      <c r="J15" s="26"/>
      <c r="K15" s="26"/>
      <c r="L15" s="26"/>
      <c r="M15" s="26"/>
      <c r="N15" s="26"/>
    </row>
    <row r="16" spans="1:14" ht="15">
      <c r="A16" s="26"/>
      <c r="B16" s="49"/>
      <c r="C16" s="36" t="s">
        <v>53</v>
      </c>
      <c r="D16" s="49"/>
      <c r="E16" s="49"/>
      <c r="F16" s="36" t="s">
        <v>54</v>
      </c>
      <c r="G16" s="49"/>
      <c r="H16" s="49"/>
      <c r="I16" s="49"/>
      <c r="J16" s="26"/>
      <c r="K16" s="26"/>
      <c r="L16" s="26"/>
      <c r="M16" s="26"/>
      <c r="N16" s="26"/>
    </row>
    <row r="17" spans="1:14" ht="15.75">
      <c r="A17" s="26"/>
      <c r="B17" s="206" t="s">
        <v>55</v>
      </c>
      <c r="C17" s="207">
        <v>54.3</v>
      </c>
      <c r="D17" s="49"/>
      <c r="E17" s="49"/>
      <c r="F17" s="208">
        <v>2.72</v>
      </c>
      <c r="G17" s="49"/>
      <c r="H17" s="49"/>
      <c r="I17" s="209"/>
      <c r="J17" s="26"/>
      <c r="K17" s="26"/>
      <c r="L17" s="26"/>
      <c r="M17" s="26"/>
      <c r="N17" s="26"/>
    </row>
    <row r="18" spans="1:14" ht="15.75">
      <c r="A18" s="26"/>
      <c r="B18" s="206" t="s">
        <v>56</v>
      </c>
      <c r="C18" s="207">
        <v>54.3</v>
      </c>
      <c r="D18" s="49"/>
      <c r="E18" s="49"/>
      <c r="F18" s="208">
        <v>2.72</v>
      </c>
      <c r="G18" s="49"/>
      <c r="H18" s="49"/>
      <c r="I18" s="209"/>
      <c r="J18" s="26"/>
      <c r="K18" s="26"/>
      <c r="L18" s="26"/>
      <c r="M18" s="26"/>
      <c r="N18" s="26"/>
    </row>
    <row r="19" spans="1:14" ht="15.75">
      <c r="A19" s="26"/>
      <c r="B19" s="206" t="s">
        <v>57</v>
      </c>
      <c r="C19" s="207">
        <v>54</v>
      </c>
      <c r="D19" s="49"/>
      <c r="E19" s="49"/>
      <c r="F19" s="208">
        <v>2.72</v>
      </c>
      <c r="G19" s="49"/>
      <c r="H19" s="49"/>
      <c r="I19" s="209"/>
      <c r="J19" s="26"/>
      <c r="K19" s="26"/>
      <c r="L19" s="26"/>
      <c r="M19" s="26"/>
      <c r="N19" s="26"/>
    </row>
    <row r="20" spans="1:14" ht="15.75">
      <c r="A20" s="26"/>
      <c r="B20" s="206" t="s">
        <v>58</v>
      </c>
      <c r="C20" s="207">
        <v>54</v>
      </c>
      <c r="D20" s="49"/>
      <c r="E20" s="49"/>
      <c r="F20" s="208">
        <v>2.72</v>
      </c>
      <c r="G20" s="49"/>
      <c r="H20" s="49"/>
      <c r="I20" s="209"/>
      <c r="J20" s="26"/>
      <c r="K20" s="26"/>
      <c r="L20" s="26"/>
      <c r="M20" s="26"/>
      <c r="N20" s="26"/>
    </row>
    <row r="21" spans="1:14" ht="15.75">
      <c r="A21" s="26"/>
      <c r="B21" s="206" t="s">
        <v>59</v>
      </c>
      <c r="C21" s="207">
        <v>54</v>
      </c>
      <c r="D21" s="49"/>
      <c r="E21" s="49"/>
      <c r="F21" s="208">
        <v>2.72</v>
      </c>
      <c r="G21" s="49"/>
      <c r="H21" s="49"/>
      <c r="I21" s="209"/>
      <c r="J21" s="26"/>
      <c r="K21" s="26"/>
      <c r="L21" s="26"/>
      <c r="M21" s="26"/>
      <c r="N21" s="26"/>
    </row>
    <row r="22" spans="1:14" ht="15.75">
      <c r="A22" s="26"/>
      <c r="B22" s="206" t="s">
        <v>60</v>
      </c>
      <c r="C22" s="207">
        <v>54</v>
      </c>
      <c r="D22" s="49"/>
      <c r="E22" s="49"/>
      <c r="F22" s="208">
        <v>2.72</v>
      </c>
      <c r="G22" s="49"/>
      <c r="H22" s="49"/>
      <c r="I22" s="209"/>
      <c r="J22" s="26"/>
      <c r="K22" s="26"/>
      <c r="L22" s="26"/>
      <c r="M22" s="26"/>
      <c r="N22" s="26"/>
    </row>
    <row r="23" spans="1:14" ht="15.75">
      <c r="A23" s="26"/>
      <c r="B23" s="206" t="s">
        <v>61</v>
      </c>
      <c r="C23" s="207">
        <v>54</v>
      </c>
      <c r="D23" s="49"/>
      <c r="E23" s="49"/>
      <c r="F23" s="208">
        <v>2.72</v>
      </c>
      <c r="G23" s="49"/>
      <c r="H23" s="49"/>
      <c r="I23" s="209"/>
      <c r="J23" s="26"/>
      <c r="K23" s="26"/>
      <c r="L23" s="26"/>
      <c r="M23" s="26"/>
      <c r="N23" s="26"/>
    </row>
    <row r="24" spans="1:14" ht="15.75">
      <c r="A24" s="26"/>
      <c r="B24" s="206" t="s">
        <v>62</v>
      </c>
      <c r="C24" s="207">
        <v>54</v>
      </c>
      <c r="D24" s="49"/>
      <c r="E24" s="49"/>
      <c r="F24" s="208">
        <v>2.72</v>
      </c>
      <c r="G24" s="49"/>
      <c r="H24" s="49"/>
      <c r="I24" s="209"/>
      <c r="J24" s="26"/>
      <c r="K24" s="26"/>
      <c r="L24" s="26"/>
      <c r="M24" s="26"/>
      <c r="N24" s="26"/>
    </row>
    <row r="25" spans="1:14" ht="15.75">
      <c r="A25" s="26"/>
      <c r="B25" s="206" t="s">
        <v>63</v>
      </c>
      <c r="C25" s="207">
        <v>54</v>
      </c>
      <c r="D25" s="49"/>
      <c r="E25" s="49"/>
      <c r="F25" s="208">
        <v>2.72</v>
      </c>
      <c r="G25" s="49"/>
      <c r="H25" s="49"/>
      <c r="I25" s="209"/>
      <c r="J25" s="26"/>
      <c r="K25" s="26"/>
      <c r="L25" s="26"/>
      <c r="M25" s="26"/>
      <c r="N25" s="26"/>
    </row>
    <row r="26" spans="1:14" ht="15.75">
      <c r="A26" s="26"/>
      <c r="B26" s="206" t="s">
        <v>64</v>
      </c>
      <c r="C26" s="207">
        <v>54</v>
      </c>
      <c r="D26" s="49"/>
      <c r="E26" s="49"/>
      <c r="F26" s="208">
        <v>2.72</v>
      </c>
      <c r="G26" s="49"/>
      <c r="H26" s="49"/>
      <c r="I26" s="209"/>
      <c r="J26" s="26"/>
      <c r="K26" s="26"/>
      <c r="L26" s="26"/>
      <c r="M26" s="26"/>
      <c r="N26" s="26"/>
    </row>
    <row r="27" spans="1:14" ht="15.75">
      <c r="A27" s="26"/>
      <c r="B27" s="206" t="s">
        <v>65</v>
      </c>
      <c r="C27" s="207">
        <v>54</v>
      </c>
      <c r="D27" s="49"/>
      <c r="E27" s="49"/>
      <c r="F27" s="208">
        <v>2.72</v>
      </c>
      <c r="G27" s="49"/>
      <c r="H27" s="210" t="s">
        <v>418</v>
      </c>
      <c r="I27" s="209"/>
      <c r="J27" s="26"/>
      <c r="K27" s="26"/>
      <c r="L27" s="26"/>
      <c r="M27" s="26"/>
      <c r="N27" s="26"/>
    </row>
    <row r="28" spans="1:14" ht="15.75">
      <c r="A28" s="26"/>
      <c r="B28" s="206" t="s">
        <v>66</v>
      </c>
      <c r="C28" s="215">
        <v>54</v>
      </c>
      <c r="D28" s="49"/>
      <c r="E28" s="49"/>
      <c r="F28" s="217">
        <v>2.72</v>
      </c>
      <c r="G28" s="49"/>
      <c r="H28" s="210" t="s">
        <v>67</v>
      </c>
      <c r="I28" s="209"/>
      <c r="J28" s="26"/>
      <c r="K28" s="26"/>
      <c r="L28" s="26"/>
      <c r="M28" s="26"/>
      <c r="N28" s="26"/>
    </row>
    <row r="29" spans="1:14" ht="15.75">
      <c r="A29" s="26"/>
      <c r="B29" s="206" t="s">
        <v>52</v>
      </c>
      <c r="C29" s="54">
        <f>SUM(C17:C28)</f>
        <v>648.6</v>
      </c>
      <c r="D29" s="49"/>
      <c r="E29" s="49"/>
      <c r="F29" s="211">
        <f>SUM(F17:F28)</f>
        <v>32.63999999999999</v>
      </c>
      <c r="G29" s="49"/>
      <c r="H29" s="213">
        <f>IF(C29=0,0,F29/C29)</f>
        <v>0.05032377428307122</v>
      </c>
      <c r="I29" s="209"/>
      <c r="J29" s="26"/>
      <c r="K29" s="26"/>
      <c r="L29" s="26"/>
      <c r="M29" s="26"/>
      <c r="N29" s="26"/>
    </row>
    <row r="30" spans="1:14" ht="15">
      <c r="A30" s="26"/>
      <c r="B30" s="49"/>
      <c r="C30" s="49"/>
      <c r="D30" s="49"/>
      <c r="E30" s="49"/>
      <c r="F30" s="212"/>
      <c r="G30" s="49"/>
      <c r="H30" s="49"/>
      <c r="I30" s="49"/>
      <c r="J30" s="26"/>
      <c r="K30" s="26"/>
      <c r="L30" s="26"/>
      <c r="M30" s="26"/>
      <c r="N30" s="26"/>
    </row>
    <row r="31" spans="1:14" ht="15.75">
      <c r="A31" s="26"/>
      <c r="B31" s="206" t="s">
        <v>68</v>
      </c>
      <c r="C31" s="54">
        <f>+C29/COUNTA(C17:C28)</f>
        <v>54.050000000000004</v>
      </c>
      <c r="D31" s="49"/>
      <c r="E31" s="49"/>
      <c r="F31" s="211">
        <f>+F29/COUNTA(F17:F28)</f>
        <v>2.7199999999999993</v>
      </c>
      <c r="G31" s="49"/>
      <c r="H31" s="49"/>
      <c r="I31" s="49"/>
      <c r="J31" s="26"/>
      <c r="K31" s="26"/>
      <c r="L31" s="26"/>
      <c r="M31" s="26"/>
      <c r="N31" s="26"/>
    </row>
    <row r="32" spans="1:14" ht="15">
      <c r="A32" s="26"/>
      <c r="B32" s="49"/>
      <c r="C32" s="49"/>
      <c r="D32" s="49"/>
      <c r="E32" s="49"/>
      <c r="F32" s="49"/>
      <c r="G32" s="49"/>
      <c r="H32" s="49"/>
      <c r="I32" s="49"/>
      <c r="J32" s="26"/>
      <c r="K32" s="26"/>
      <c r="L32" s="26"/>
      <c r="M32" s="26"/>
      <c r="N32" s="26"/>
    </row>
    <row r="33" spans="1:14" ht="15">
      <c r="A33" s="26"/>
      <c r="B33" s="49"/>
      <c r="C33" s="216" t="s">
        <v>69</v>
      </c>
      <c r="D33" s="53"/>
      <c r="E33" s="53"/>
      <c r="F33" s="53"/>
      <c r="G33" s="49"/>
      <c r="H33" s="49"/>
      <c r="I33" s="49"/>
      <c r="J33" s="26"/>
      <c r="K33" s="26"/>
      <c r="L33" s="26"/>
      <c r="M33" s="26"/>
      <c r="N33" s="26"/>
    </row>
    <row r="34" spans="1:14" ht="15">
      <c r="A34" s="26"/>
      <c r="B34" s="49"/>
      <c r="C34" s="205" t="s">
        <v>52</v>
      </c>
      <c r="D34" s="49"/>
      <c r="E34" s="49"/>
      <c r="F34" s="205" t="s">
        <v>52</v>
      </c>
      <c r="G34" s="49"/>
      <c r="H34" s="49"/>
      <c r="I34" s="49"/>
      <c r="J34" s="26"/>
      <c r="K34" s="26"/>
      <c r="L34" s="26"/>
      <c r="M34" s="26"/>
      <c r="N34" s="26"/>
    </row>
    <row r="35" spans="1:14" ht="15">
      <c r="A35" s="26"/>
      <c r="B35" s="49"/>
      <c r="C35" s="36" t="s">
        <v>70</v>
      </c>
      <c r="D35" s="49"/>
      <c r="E35" s="49"/>
      <c r="F35" s="36" t="s">
        <v>54</v>
      </c>
      <c r="G35" s="49"/>
      <c r="H35" s="49"/>
      <c r="I35" s="49"/>
      <c r="J35" s="26"/>
      <c r="K35" s="26"/>
      <c r="L35" s="26"/>
      <c r="M35" s="26"/>
      <c r="N35" s="26"/>
    </row>
    <row r="36" spans="1:14" ht="15.75">
      <c r="A36" s="26"/>
      <c r="B36" s="206" t="s">
        <v>55</v>
      </c>
      <c r="C36" s="207">
        <v>1</v>
      </c>
      <c r="D36" s="49"/>
      <c r="E36" s="49"/>
      <c r="F36" s="218">
        <v>0.54</v>
      </c>
      <c r="G36" s="49"/>
      <c r="H36" s="49"/>
      <c r="I36" s="209"/>
      <c r="J36" s="26"/>
      <c r="K36" s="26"/>
      <c r="L36" s="26"/>
      <c r="M36" s="26"/>
      <c r="N36" s="26"/>
    </row>
    <row r="37" spans="1:14" ht="15.75">
      <c r="A37" s="26"/>
      <c r="B37" s="206" t="s">
        <v>56</v>
      </c>
      <c r="C37" s="207">
        <v>5</v>
      </c>
      <c r="D37" s="49"/>
      <c r="E37" s="49"/>
      <c r="F37" s="218">
        <v>0.54</v>
      </c>
      <c r="G37" s="49"/>
      <c r="H37" s="49"/>
      <c r="I37" s="209"/>
      <c r="J37" s="26"/>
      <c r="K37" s="26"/>
      <c r="L37" s="26"/>
      <c r="M37" s="26"/>
      <c r="N37" s="26"/>
    </row>
    <row r="38" spans="1:14" ht="15.75">
      <c r="A38" s="26"/>
      <c r="B38" s="206" t="s">
        <v>57</v>
      </c>
      <c r="C38" s="207">
        <v>8</v>
      </c>
      <c r="D38" s="49"/>
      <c r="E38" s="49"/>
      <c r="F38" s="218">
        <v>0.54</v>
      </c>
      <c r="G38" s="49"/>
      <c r="H38" s="49"/>
      <c r="I38" s="209"/>
      <c r="J38" s="26"/>
      <c r="K38" s="26"/>
      <c r="L38" s="26"/>
      <c r="M38" s="26"/>
      <c r="N38" s="26"/>
    </row>
    <row r="39" spans="1:14" ht="15.75">
      <c r="A39" s="26"/>
      <c r="B39" s="206" t="s">
        <v>58</v>
      </c>
      <c r="C39" s="207">
        <v>5</v>
      </c>
      <c r="D39" s="49"/>
      <c r="E39" s="49"/>
      <c r="F39" s="218">
        <v>0.54</v>
      </c>
      <c r="G39" s="49"/>
      <c r="H39" s="49"/>
      <c r="I39" s="209"/>
      <c r="J39" s="26"/>
      <c r="K39" s="26"/>
      <c r="L39" s="26"/>
      <c r="M39" s="26"/>
      <c r="N39" s="26"/>
    </row>
    <row r="40" spans="1:14" ht="15.75">
      <c r="A40" s="26"/>
      <c r="B40" s="206" t="s">
        <v>59</v>
      </c>
      <c r="C40" s="207">
        <v>3</v>
      </c>
      <c r="D40" s="49"/>
      <c r="E40" s="49"/>
      <c r="F40" s="218">
        <v>0.54</v>
      </c>
      <c r="G40" s="49"/>
      <c r="H40" s="49"/>
      <c r="I40" s="209"/>
      <c r="J40" s="26"/>
      <c r="K40" s="26"/>
      <c r="L40" s="26"/>
      <c r="M40" s="26"/>
      <c r="N40" s="26"/>
    </row>
    <row r="41" spans="1:14" ht="15.75">
      <c r="A41" s="26"/>
      <c r="B41" s="206" t="s">
        <v>60</v>
      </c>
      <c r="C41" s="207">
        <v>2</v>
      </c>
      <c r="D41" s="49"/>
      <c r="E41" s="49"/>
      <c r="F41" s="218">
        <v>0.54</v>
      </c>
      <c r="G41" s="49"/>
      <c r="H41" s="49"/>
      <c r="I41" s="209"/>
      <c r="J41" s="26"/>
      <c r="K41" s="26"/>
      <c r="L41" s="26"/>
      <c r="M41" s="26"/>
      <c r="N41" s="26"/>
    </row>
    <row r="42" spans="1:14" ht="15.75">
      <c r="A42" s="26"/>
      <c r="B42" s="206" t="s">
        <v>61</v>
      </c>
      <c r="C42" s="207">
        <v>5</v>
      </c>
      <c r="D42" s="49"/>
      <c r="E42" s="49"/>
      <c r="F42" s="218">
        <v>0.54</v>
      </c>
      <c r="G42" s="49"/>
      <c r="H42" s="49"/>
      <c r="I42" s="209"/>
      <c r="J42" s="26"/>
      <c r="K42" s="26"/>
      <c r="L42" s="26"/>
      <c r="M42" s="26"/>
      <c r="N42" s="26"/>
    </row>
    <row r="43" spans="1:14" ht="15.75">
      <c r="A43" s="26"/>
      <c r="B43" s="206" t="s">
        <v>62</v>
      </c>
      <c r="C43" s="207">
        <v>1</v>
      </c>
      <c r="D43" s="49"/>
      <c r="E43" s="49"/>
      <c r="F43" s="218">
        <v>0.54</v>
      </c>
      <c r="G43" s="49"/>
      <c r="H43" s="49"/>
      <c r="I43" s="209"/>
      <c r="J43" s="26"/>
      <c r="K43" s="26"/>
      <c r="L43" s="26"/>
      <c r="M43" s="26"/>
      <c r="N43" s="26"/>
    </row>
    <row r="44" spans="1:14" ht="15.75">
      <c r="A44" s="26"/>
      <c r="B44" s="206" t="s">
        <v>63</v>
      </c>
      <c r="C44" s="207">
        <v>2</v>
      </c>
      <c r="D44" s="49"/>
      <c r="E44" s="49"/>
      <c r="F44" s="218">
        <v>0.54</v>
      </c>
      <c r="G44" s="49"/>
      <c r="H44" s="49"/>
      <c r="I44" s="209"/>
      <c r="J44" s="26"/>
      <c r="K44" s="26"/>
      <c r="L44" s="26"/>
      <c r="M44" s="26"/>
      <c r="N44" s="26"/>
    </row>
    <row r="45" spans="1:14" ht="15.75">
      <c r="A45" s="26"/>
      <c r="B45" s="206" t="s">
        <v>64</v>
      </c>
      <c r="C45" s="207">
        <v>1</v>
      </c>
      <c r="D45" s="49"/>
      <c r="E45" s="49"/>
      <c r="F45" s="218">
        <v>0.54</v>
      </c>
      <c r="G45" s="49"/>
      <c r="H45" s="49"/>
      <c r="I45" s="209"/>
      <c r="J45" s="26"/>
      <c r="K45" s="26"/>
      <c r="L45" s="26"/>
      <c r="M45" s="26"/>
      <c r="N45" s="26"/>
    </row>
    <row r="46" spans="1:14" ht="15.75">
      <c r="A46" s="26"/>
      <c r="B46" s="206" t="s">
        <v>65</v>
      </c>
      <c r="C46" s="207">
        <v>2</v>
      </c>
      <c r="D46" s="49"/>
      <c r="E46" s="49"/>
      <c r="F46" s="218">
        <v>0.54</v>
      </c>
      <c r="G46" s="49"/>
      <c r="H46" s="210" t="s">
        <v>419</v>
      </c>
      <c r="I46" s="209"/>
      <c r="J46" s="26"/>
      <c r="K46" s="26"/>
      <c r="L46" s="26"/>
      <c r="M46" s="26"/>
      <c r="N46" s="26"/>
    </row>
    <row r="47" spans="1:14" ht="15.75">
      <c r="A47" s="26"/>
      <c r="B47" s="206" t="s">
        <v>66</v>
      </c>
      <c r="C47" s="215">
        <v>5</v>
      </c>
      <c r="D47" s="49"/>
      <c r="E47" s="49"/>
      <c r="F47" s="218">
        <v>0.54</v>
      </c>
      <c r="G47" s="49"/>
      <c r="H47" s="210" t="s">
        <v>71</v>
      </c>
      <c r="I47" s="209"/>
      <c r="J47" s="26"/>
      <c r="K47" s="26"/>
      <c r="L47" s="26"/>
      <c r="M47" s="26"/>
      <c r="N47" s="26"/>
    </row>
    <row r="48" spans="1:14" ht="15.75">
      <c r="A48" s="26"/>
      <c r="B48" s="206" t="s">
        <v>52</v>
      </c>
      <c r="C48" s="54">
        <f>SUM(C36:C47)</f>
        <v>40</v>
      </c>
      <c r="D48" s="49"/>
      <c r="E48" s="49"/>
      <c r="F48" s="211">
        <f>SUM(F36:F47)</f>
        <v>6.48</v>
      </c>
      <c r="G48" s="49"/>
      <c r="H48" s="214">
        <f>IF(C48=0,0,F48/C48)</f>
        <v>0.162</v>
      </c>
      <c r="I48" s="209"/>
      <c r="J48" s="26"/>
      <c r="K48" s="26"/>
      <c r="L48" s="26"/>
      <c r="M48" s="26"/>
      <c r="N48" s="26"/>
    </row>
    <row r="49" spans="1:14" ht="15">
      <c r="A49" s="26"/>
      <c r="B49" s="49"/>
      <c r="C49" s="49"/>
      <c r="D49" s="49"/>
      <c r="E49" s="49"/>
      <c r="F49" s="212"/>
      <c r="G49" s="49"/>
      <c r="H49" s="49"/>
      <c r="I49" s="49"/>
      <c r="J49" s="26"/>
      <c r="K49" s="26"/>
      <c r="L49" s="26"/>
      <c r="M49" s="26"/>
      <c r="N49" s="26"/>
    </row>
    <row r="50" spans="1:14" ht="15.75">
      <c r="A50" s="26"/>
      <c r="B50" s="206" t="s">
        <v>68</v>
      </c>
      <c r="C50" s="54">
        <f>+C48/COUNTA(C36:C47)</f>
        <v>3.3333333333333335</v>
      </c>
      <c r="D50" s="49"/>
      <c r="E50" s="49"/>
      <c r="F50" s="211">
        <f>+F48/COUNTA(F36:F47)</f>
        <v>0.54</v>
      </c>
      <c r="G50" s="49"/>
      <c r="H50" s="49"/>
      <c r="I50" s="209"/>
      <c r="J50" s="26"/>
      <c r="K50" s="26"/>
      <c r="L50" s="26"/>
      <c r="M50" s="26"/>
      <c r="N50" s="26"/>
    </row>
    <row r="51" spans="1:14" ht="15.75">
      <c r="A51" s="26"/>
      <c r="B51" s="49"/>
      <c r="C51" s="49"/>
      <c r="D51" s="49"/>
      <c r="E51" s="49"/>
      <c r="F51" s="49"/>
      <c r="G51" s="49"/>
      <c r="H51" s="49"/>
      <c r="I51" s="209"/>
      <c r="J51" s="26"/>
      <c r="K51" s="26"/>
      <c r="L51" s="26"/>
      <c r="M51" s="26"/>
      <c r="N51" s="26"/>
    </row>
    <row r="52" spans="1:14" ht="15">
      <c r="A52" s="26"/>
      <c r="B52" s="49"/>
      <c r="C52" s="216" t="s">
        <v>72</v>
      </c>
      <c r="D52" s="53"/>
      <c r="E52" s="53"/>
      <c r="F52" s="53"/>
      <c r="G52" s="49"/>
      <c r="H52" s="49"/>
      <c r="I52" s="49"/>
      <c r="J52" s="26"/>
      <c r="K52" s="26"/>
      <c r="L52" s="26"/>
      <c r="M52" s="26"/>
      <c r="N52" s="26"/>
    </row>
    <row r="53" spans="1:14" ht="15">
      <c r="A53" s="26"/>
      <c r="B53" s="49"/>
      <c r="C53" s="205" t="s">
        <v>52</v>
      </c>
      <c r="D53" s="49"/>
      <c r="E53" s="49"/>
      <c r="F53" s="205" t="s">
        <v>52</v>
      </c>
      <c r="G53" s="49"/>
      <c r="H53" s="49"/>
      <c r="I53" s="49"/>
      <c r="J53" s="26"/>
      <c r="K53" s="26"/>
      <c r="L53" s="26"/>
      <c r="M53" s="26"/>
      <c r="N53" s="26"/>
    </row>
    <row r="54" spans="1:14" ht="15">
      <c r="A54" s="26"/>
      <c r="B54" s="49"/>
      <c r="C54" s="36" t="s">
        <v>73</v>
      </c>
      <c r="D54" s="49"/>
      <c r="E54" s="49"/>
      <c r="F54" s="36" t="s">
        <v>54</v>
      </c>
      <c r="G54" s="49"/>
      <c r="H54" s="49"/>
      <c r="I54" s="49"/>
      <c r="J54" s="26"/>
      <c r="K54" s="26"/>
      <c r="L54" s="26"/>
      <c r="M54" s="26"/>
      <c r="N54" s="26"/>
    </row>
    <row r="55" spans="1:14" ht="15.75">
      <c r="A55" s="26"/>
      <c r="B55" s="206" t="s">
        <v>55</v>
      </c>
      <c r="C55" s="207">
        <v>0</v>
      </c>
      <c r="D55" s="49"/>
      <c r="E55" s="49"/>
      <c r="F55" s="208">
        <v>0</v>
      </c>
      <c r="G55" s="49"/>
      <c r="H55" s="49"/>
      <c r="I55" s="209"/>
      <c r="J55" s="26"/>
      <c r="K55" s="26"/>
      <c r="L55" s="26"/>
      <c r="M55" s="26"/>
      <c r="N55" s="26"/>
    </row>
    <row r="56" spans="1:14" ht="15.75">
      <c r="A56" s="26"/>
      <c r="B56" s="206" t="s">
        <v>56</v>
      </c>
      <c r="C56" s="207"/>
      <c r="D56" s="49"/>
      <c r="E56" s="49"/>
      <c r="F56" s="208"/>
      <c r="G56" s="49"/>
      <c r="H56" s="49"/>
      <c r="I56" s="49"/>
      <c r="J56" s="26"/>
      <c r="K56" s="26"/>
      <c r="L56" s="26"/>
      <c r="M56" s="26"/>
      <c r="N56" s="26"/>
    </row>
    <row r="57" spans="1:14" ht="15.75">
      <c r="A57" s="26"/>
      <c r="B57" s="206" t="s">
        <v>57</v>
      </c>
      <c r="C57" s="207"/>
      <c r="D57" s="49"/>
      <c r="E57" s="49"/>
      <c r="F57" s="208"/>
      <c r="G57" s="49"/>
      <c r="H57" s="49"/>
      <c r="I57" s="49"/>
      <c r="J57" s="26"/>
      <c r="K57" s="26"/>
      <c r="L57" s="26"/>
      <c r="M57" s="26"/>
      <c r="N57" s="26"/>
    </row>
    <row r="58" spans="1:14" ht="15.75">
      <c r="A58" s="26"/>
      <c r="B58" s="206" t="s">
        <v>58</v>
      </c>
      <c r="C58" s="207"/>
      <c r="D58" s="49"/>
      <c r="E58" s="49"/>
      <c r="F58" s="208"/>
      <c r="G58" s="49"/>
      <c r="H58" s="49"/>
      <c r="I58" s="49"/>
      <c r="J58" s="26"/>
      <c r="K58" s="26"/>
      <c r="L58" s="26"/>
      <c r="M58" s="26"/>
      <c r="N58" s="26"/>
    </row>
    <row r="59" spans="1:14" ht="15.75">
      <c r="A59" s="26"/>
      <c r="B59" s="206" t="s">
        <v>59</v>
      </c>
      <c r="C59" s="207"/>
      <c r="D59" s="49"/>
      <c r="E59" s="49"/>
      <c r="F59" s="208"/>
      <c r="G59" s="49"/>
      <c r="H59" s="49"/>
      <c r="I59" s="49"/>
      <c r="J59" s="26"/>
      <c r="K59" s="26"/>
      <c r="L59" s="26"/>
      <c r="M59" s="26"/>
      <c r="N59" s="26"/>
    </row>
    <row r="60" spans="1:14" ht="15.75">
      <c r="A60" s="26"/>
      <c r="B60" s="206" t="s">
        <v>60</v>
      </c>
      <c r="C60" s="207"/>
      <c r="D60" s="49"/>
      <c r="E60" s="49"/>
      <c r="F60" s="208"/>
      <c r="G60" s="49"/>
      <c r="H60" s="49"/>
      <c r="I60" s="49"/>
      <c r="J60" s="26"/>
      <c r="K60" s="26"/>
      <c r="L60" s="26"/>
      <c r="M60" s="26"/>
      <c r="N60" s="26"/>
    </row>
    <row r="61" spans="1:14" ht="15.75">
      <c r="A61" s="26"/>
      <c r="B61" s="206" t="s">
        <v>61</v>
      </c>
      <c r="C61" s="207"/>
      <c r="D61" s="49"/>
      <c r="E61" s="49"/>
      <c r="F61" s="208"/>
      <c r="G61" s="49"/>
      <c r="H61" s="49"/>
      <c r="I61" s="49"/>
      <c r="J61" s="26"/>
      <c r="K61" s="26"/>
      <c r="L61" s="26"/>
      <c r="M61" s="26"/>
      <c r="N61" s="26"/>
    </row>
    <row r="62" spans="1:14" ht="15.75">
      <c r="A62" s="26"/>
      <c r="B62" s="206" t="s">
        <v>62</v>
      </c>
      <c r="C62" s="207"/>
      <c r="D62" s="49"/>
      <c r="E62" s="49"/>
      <c r="F62" s="208"/>
      <c r="G62" s="49"/>
      <c r="H62" s="49"/>
      <c r="I62" s="49"/>
      <c r="J62" s="26"/>
      <c r="K62" s="26"/>
      <c r="L62" s="26"/>
      <c r="M62" s="26"/>
      <c r="N62" s="26"/>
    </row>
    <row r="63" spans="1:14" ht="15.75">
      <c r="A63" s="26"/>
      <c r="B63" s="206" t="s">
        <v>63</v>
      </c>
      <c r="C63" s="207"/>
      <c r="D63" s="49"/>
      <c r="E63" s="49"/>
      <c r="F63" s="208"/>
      <c r="G63" s="49"/>
      <c r="H63" s="49"/>
      <c r="I63" s="49"/>
      <c r="J63" s="26"/>
      <c r="K63" s="26"/>
      <c r="L63" s="26"/>
      <c r="M63" s="26"/>
      <c r="N63" s="26"/>
    </row>
    <row r="64" spans="1:14" ht="15.75">
      <c r="A64" s="26"/>
      <c r="B64" s="206" t="s">
        <v>64</v>
      </c>
      <c r="C64" s="207"/>
      <c r="D64" s="49"/>
      <c r="E64" s="49"/>
      <c r="F64" s="208"/>
      <c r="G64" s="49"/>
      <c r="H64" s="49"/>
      <c r="I64" s="49"/>
      <c r="J64" s="26"/>
      <c r="K64" s="26"/>
      <c r="L64" s="26"/>
      <c r="M64" s="26"/>
      <c r="N64" s="26"/>
    </row>
    <row r="65" spans="1:14" ht="15.75">
      <c r="A65" s="26"/>
      <c r="B65" s="206" t="s">
        <v>65</v>
      </c>
      <c r="C65" s="207"/>
      <c r="D65" s="49"/>
      <c r="E65" s="49"/>
      <c r="F65" s="208"/>
      <c r="G65" s="49"/>
      <c r="H65" s="210" t="s">
        <v>420</v>
      </c>
      <c r="I65" s="49"/>
      <c r="J65" s="26"/>
      <c r="K65" s="26"/>
      <c r="L65" s="26"/>
      <c r="M65" s="26"/>
      <c r="N65" s="26"/>
    </row>
    <row r="66" spans="1:14" ht="15.75">
      <c r="A66" s="26"/>
      <c r="B66" s="206" t="s">
        <v>66</v>
      </c>
      <c r="C66" s="215"/>
      <c r="D66" s="49"/>
      <c r="E66" s="49"/>
      <c r="F66" s="215"/>
      <c r="G66" s="49"/>
      <c r="H66" s="210" t="s">
        <v>74</v>
      </c>
      <c r="I66" s="49"/>
      <c r="J66" s="26"/>
      <c r="K66" s="26"/>
      <c r="L66" s="26"/>
      <c r="M66" s="26"/>
      <c r="N66" s="26"/>
    </row>
    <row r="67" spans="1:14" ht="15.75">
      <c r="A67" s="26"/>
      <c r="B67" s="206" t="s">
        <v>52</v>
      </c>
      <c r="C67" s="54">
        <f>SUM(C55:C66)</f>
        <v>0</v>
      </c>
      <c r="D67" s="49"/>
      <c r="E67" s="49"/>
      <c r="F67" s="211">
        <f>SUM(F55:F66)</f>
        <v>0</v>
      </c>
      <c r="G67" s="49"/>
      <c r="H67" s="213">
        <f>IF(C67=0,0,F67/C67)</f>
        <v>0</v>
      </c>
      <c r="I67" s="49"/>
      <c r="J67" s="26"/>
      <c r="K67" s="26"/>
      <c r="L67" s="26"/>
      <c r="M67" s="26"/>
      <c r="N67" s="26"/>
    </row>
    <row r="68" spans="1:14" ht="15">
      <c r="A68" s="26"/>
      <c r="B68" s="49"/>
      <c r="C68" s="49"/>
      <c r="D68" s="49"/>
      <c r="E68" s="49"/>
      <c r="F68" s="212"/>
      <c r="G68" s="49"/>
      <c r="H68" s="49"/>
      <c r="I68" s="49"/>
      <c r="J68" s="26"/>
      <c r="K68" s="26"/>
      <c r="L68" s="26"/>
      <c r="M68" s="26"/>
      <c r="N68" s="26"/>
    </row>
    <row r="69" spans="1:14" ht="15.75">
      <c r="A69" s="26"/>
      <c r="B69" s="206" t="s">
        <v>68</v>
      </c>
      <c r="C69" s="54">
        <f>+C67/COUNTA(C55:C66)</f>
        <v>0</v>
      </c>
      <c r="D69" s="49"/>
      <c r="E69" s="49"/>
      <c r="F69" s="211">
        <f>+F67/COUNTA(F55:F66)</f>
        <v>0</v>
      </c>
      <c r="G69" s="49"/>
      <c r="H69" s="49"/>
      <c r="I69" s="49"/>
      <c r="J69" s="26"/>
      <c r="K69" s="26"/>
      <c r="L69" s="26"/>
      <c r="M69" s="26"/>
      <c r="N69" s="26"/>
    </row>
    <row r="70" spans="1:14" ht="15">
      <c r="A70" s="26"/>
      <c r="B70" s="49"/>
      <c r="C70" s="49"/>
      <c r="D70" s="49"/>
      <c r="E70" s="49"/>
      <c r="F70" s="49"/>
      <c r="G70" s="49"/>
      <c r="H70" s="49"/>
      <c r="I70" s="49"/>
      <c r="J70" s="26"/>
      <c r="K70" s="26"/>
      <c r="L70" s="26"/>
      <c r="M70" s="26"/>
      <c r="N70" s="26"/>
    </row>
    <row r="71" spans="1:14" ht="1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</row>
    <row r="72" spans="1:14" ht="15">
      <c r="A72" s="26"/>
      <c r="B72" s="49"/>
      <c r="C72" s="49"/>
      <c r="D72" s="49"/>
      <c r="E72" s="49"/>
      <c r="F72" s="49"/>
      <c r="G72" s="49"/>
      <c r="H72" s="49"/>
      <c r="I72" s="49"/>
      <c r="J72" s="26"/>
      <c r="K72" s="26"/>
      <c r="L72" s="26"/>
      <c r="M72" s="26"/>
      <c r="N72" s="26"/>
    </row>
    <row r="73" spans="1:14" ht="15.75">
      <c r="A73" s="26"/>
      <c r="B73" s="49"/>
      <c r="C73" s="52" t="s">
        <v>75</v>
      </c>
      <c r="D73" s="53"/>
      <c r="E73" s="53"/>
      <c r="F73" s="53"/>
      <c r="G73" s="53"/>
      <c r="H73" s="53"/>
      <c r="I73" s="49"/>
      <c r="J73" s="26"/>
      <c r="K73" s="26"/>
      <c r="L73" s="26"/>
      <c r="M73" s="26"/>
      <c r="N73" s="26"/>
    </row>
    <row r="74" spans="1:14" ht="15">
      <c r="A74" s="26"/>
      <c r="B74" s="49"/>
      <c r="C74" s="49"/>
      <c r="D74" s="49"/>
      <c r="E74" s="49"/>
      <c r="F74" s="49"/>
      <c r="G74" s="49"/>
      <c r="H74" s="49"/>
      <c r="I74" s="49"/>
      <c r="J74" s="26"/>
      <c r="K74" s="26"/>
      <c r="L74" s="26"/>
      <c r="M74" s="26"/>
      <c r="N74" s="26"/>
    </row>
    <row r="75" spans="1:14" ht="15">
      <c r="A75" s="26"/>
      <c r="B75" s="49"/>
      <c r="C75" s="48" t="s">
        <v>46</v>
      </c>
      <c r="D75" s="49"/>
      <c r="E75" s="49"/>
      <c r="F75" s="49"/>
      <c r="G75" s="49"/>
      <c r="H75" s="49"/>
      <c r="I75" s="49"/>
      <c r="J75" s="26"/>
      <c r="K75" s="26"/>
      <c r="L75" s="26"/>
      <c r="M75" s="26"/>
      <c r="N75" s="26"/>
    </row>
    <row r="76" spans="1:14" ht="15">
      <c r="A76" s="26"/>
      <c r="B76" s="49"/>
      <c r="C76" s="198" t="s">
        <v>386</v>
      </c>
      <c r="D76" s="49"/>
      <c r="E76" s="49"/>
      <c r="F76" s="49"/>
      <c r="G76" s="48"/>
      <c r="H76" s="49"/>
      <c r="I76" s="49"/>
      <c r="J76" s="26"/>
      <c r="K76" s="26"/>
      <c r="L76" s="26"/>
      <c r="M76" s="26"/>
      <c r="N76" s="26"/>
    </row>
    <row r="77" spans="1:14" ht="15">
      <c r="A77" s="26"/>
      <c r="B77" s="49"/>
      <c r="C77" s="48" t="s">
        <v>47</v>
      </c>
      <c r="D77" s="49"/>
      <c r="E77" s="49"/>
      <c r="F77" s="49"/>
      <c r="G77" s="49"/>
      <c r="H77" s="49"/>
      <c r="I77" s="49"/>
      <c r="J77" s="26"/>
      <c r="K77" s="26"/>
      <c r="L77" s="26"/>
      <c r="M77" s="26"/>
      <c r="N77" s="26"/>
    </row>
    <row r="78" spans="1:14" ht="15">
      <c r="A78" s="26"/>
      <c r="B78" s="49"/>
      <c r="C78" s="49"/>
      <c r="D78" s="49"/>
      <c r="E78" s="49"/>
      <c r="F78" s="49"/>
      <c r="G78" s="49"/>
      <c r="H78" s="49"/>
      <c r="I78" s="49"/>
      <c r="J78" s="26"/>
      <c r="K78" s="26"/>
      <c r="L78" s="26"/>
      <c r="M78" s="26"/>
      <c r="N78" s="26"/>
    </row>
    <row r="79" spans="1:14" ht="15.75">
      <c r="A79" s="26"/>
      <c r="B79" s="49"/>
      <c r="C79" s="201">
        <v>0</v>
      </c>
      <c r="D79" s="48" t="s">
        <v>76</v>
      </c>
      <c r="E79" s="49"/>
      <c r="F79" s="49"/>
      <c r="G79" s="49"/>
      <c r="H79" s="49"/>
      <c r="I79" s="49"/>
      <c r="J79" s="26"/>
      <c r="K79" s="26"/>
      <c r="L79" s="26"/>
      <c r="M79" s="26"/>
      <c r="N79" s="26"/>
    </row>
    <row r="80" spans="1:14" ht="15">
      <c r="A80" s="26"/>
      <c r="B80" s="49"/>
      <c r="C80" s="49"/>
      <c r="D80" s="48" t="s">
        <v>408</v>
      </c>
      <c r="E80" s="49"/>
      <c r="F80" s="49"/>
      <c r="G80" s="210"/>
      <c r="H80" s="48"/>
      <c r="I80" s="49"/>
      <c r="J80" s="26"/>
      <c r="K80" s="26"/>
      <c r="L80" s="26"/>
      <c r="M80" s="26"/>
      <c r="N80" s="26"/>
    </row>
    <row r="81" spans="1:14" ht="15">
      <c r="A81" s="26"/>
      <c r="B81" s="49"/>
      <c r="C81" s="49"/>
      <c r="D81" s="49"/>
      <c r="E81" s="49"/>
      <c r="F81" s="49"/>
      <c r="G81" s="49"/>
      <c r="H81" s="49"/>
      <c r="I81" s="49"/>
      <c r="J81" s="26"/>
      <c r="K81" s="26"/>
      <c r="L81" s="26"/>
      <c r="M81" s="26"/>
      <c r="N81" s="26"/>
    </row>
    <row r="82" spans="1:14" ht="15">
      <c r="A82" s="26"/>
      <c r="B82" s="49"/>
      <c r="C82" s="216" t="s">
        <v>77</v>
      </c>
      <c r="D82" s="53"/>
      <c r="E82" s="53"/>
      <c r="F82" s="53"/>
      <c r="G82" s="49"/>
      <c r="H82" s="49"/>
      <c r="I82" s="49"/>
      <c r="J82" s="26"/>
      <c r="K82" s="26"/>
      <c r="L82" s="26"/>
      <c r="M82" s="26"/>
      <c r="N82" s="26"/>
    </row>
    <row r="83" spans="1:14" ht="15">
      <c r="A83" s="26"/>
      <c r="B83" s="49"/>
      <c r="C83" s="205" t="s">
        <v>52</v>
      </c>
      <c r="D83" s="49"/>
      <c r="E83" s="49"/>
      <c r="F83" s="205" t="s">
        <v>52</v>
      </c>
      <c r="G83" s="49"/>
      <c r="H83" s="49"/>
      <c r="I83" s="49"/>
      <c r="J83" s="26"/>
      <c r="K83" s="26"/>
      <c r="L83" s="26"/>
      <c r="M83" s="26"/>
      <c r="N83" s="26"/>
    </row>
    <row r="84" spans="1:14" ht="15">
      <c r="A84" s="26"/>
      <c r="B84" s="49"/>
      <c r="C84" s="36" t="s">
        <v>78</v>
      </c>
      <c r="D84" s="49"/>
      <c r="E84" s="49"/>
      <c r="F84" s="36" t="s">
        <v>54</v>
      </c>
      <c r="G84" s="49"/>
      <c r="H84" s="49"/>
      <c r="I84" s="49"/>
      <c r="J84" s="26"/>
      <c r="K84" s="26"/>
      <c r="L84" s="26"/>
      <c r="M84" s="26"/>
      <c r="N84" s="26"/>
    </row>
    <row r="85" spans="1:14" ht="15.75">
      <c r="A85" s="26"/>
      <c r="B85" s="206" t="s">
        <v>55</v>
      </c>
      <c r="C85" s="207">
        <v>16000</v>
      </c>
      <c r="D85" s="49"/>
      <c r="E85" s="49"/>
      <c r="F85" s="208">
        <v>280</v>
      </c>
      <c r="G85" s="49"/>
      <c r="H85" s="49"/>
      <c r="I85" s="209"/>
      <c r="J85" s="26"/>
      <c r="K85" s="26"/>
      <c r="L85" s="26"/>
      <c r="M85" s="26"/>
      <c r="N85" s="26"/>
    </row>
    <row r="86" spans="1:14" ht="15.75">
      <c r="A86" s="26"/>
      <c r="B86" s="206" t="s">
        <v>56</v>
      </c>
      <c r="C86" s="207">
        <v>16000</v>
      </c>
      <c r="D86" s="49"/>
      <c r="E86" s="49"/>
      <c r="F86" s="208">
        <v>280</v>
      </c>
      <c r="G86" s="49"/>
      <c r="H86" s="49"/>
      <c r="I86" s="209"/>
      <c r="J86" s="26"/>
      <c r="K86" s="26"/>
      <c r="L86" s="26"/>
      <c r="M86" s="26"/>
      <c r="N86" s="26"/>
    </row>
    <row r="87" spans="1:14" ht="15.75">
      <c r="A87" s="26"/>
      <c r="B87" s="206" t="s">
        <v>57</v>
      </c>
      <c r="C87" s="207">
        <v>16000</v>
      </c>
      <c r="D87" s="49"/>
      <c r="E87" s="49"/>
      <c r="F87" s="208">
        <v>280</v>
      </c>
      <c r="G87" s="49"/>
      <c r="H87" s="49"/>
      <c r="I87" s="209"/>
      <c r="J87" s="26"/>
      <c r="K87" s="26"/>
      <c r="L87" s="26"/>
      <c r="M87" s="26"/>
      <c r="N87" s="26"/>
    </row>
    <row r="88" spans="1:14" ht="15.75">
      <c r="A88" s="26"/>
      <c r="B88" s="206" t="s">
        <v>58</v>
      </c>
      <c r="C88" s="207">
        <v>16000</v>
      </c>
      <c r="D88" s="49"/>
      <c r="E88" s="49"/>
      <c r="F88" s="208">
        <v>280</v>
      </c>
      <c r="G88" s="49"/>
      <c r="H88" s="49"/>
      <c r="I88" s="209"/>
      <c r="J88" s="26"/>
      <c r="K88" s="26"/>
      <c r="L88" s="26"/>
      <c r="M88" s="26"/>
      <c r="N88" s="26"/>
    </row>
    <row r="89" spans="1:14" ht="15.75">
      <c r="A89" s="26"/>
      <c r="B89" s="206" t="s">
        <v>59</v>
      </c>
      <c r="C89" s="207">
        <v>16000</v>
      </c>
      <c r="D89" s="49"/>
      <c r="E89" s="49"/>
      <c r="F89" s="208">
        <v>280</v>
      </c>
      <c r="G89" s="49"/>
      <c r="H89" s="49"/>
      <c r="I89" s="209"/>
      <c r="J89" s="26"/>
      <c r="K89" s="26"/>
      <c r="L89" s="26"/>
      <c r="M89" s="26"/>
      <c r="N89" s="26"/>
    </row>
    <row r="90" spans="1:14" ht="15.75">
      <c r="A90" s="26"/>
      <c r="B90" s="206" t="s">
        <v>60</v>
      </c>
      <c r="C90" s="207">
        <v>16000</v>
      </c>
      <c r="D90" s="49"/>
      <c r="E90" s="49"/>
      <c r="F90" s="208">
        <v>280</v>
      </c>
      <c r="G90" s="49"/>
      <c r="H90" s="49"/>
      <c r="I90" s="209"/>
      <c r="J90" s="26"/>
      <c r="K90" s="26"/>
      <c r="L90" s="26"/>
      <c r="M90" s="26"/>
      <c r="N90" s="26"/>
    </row>
    <row r="91" spans="1:14" ht="15.75">
      <c r="A91" s="26"/>
      <c r="B91" s="206" t="s">
        <v>61</v>
      </c>
      <c r="C91" s="207">
        <v>16000</v>
      </c>
      <c r="D91" s="49"/>
      <c r="E91" s="49"/>
      <c r="F91" s="208">
        <v>280</v>
      </c>
      <c r="G91" s="49"/>
      <c r="H91" s="49"/>
      <c r="I91" s="209"/>
      <c r="J91" s="26"/>
      <c r="K91" s="26"/>
      <c r="L91" s="26"/>
      <c r="M91" s="26"/>
      <c r="N91" s="26"/>
    </row>
    <row r="92" spans="1:14" ht="15.75">
      <c r="A92" s="26"/>
      <c r="B92" s="206" t="s">
        <v>62</v>
      </c>
      <c r="C92" s="207">
        <v>16000</v>
      </c>
      <c r="D92" s="49"/>
      <c r="E92" s="49"/>
      <c r="F92" s="208">
        <v>280</v>
      </c>
      <c r="G92" s="49"/>
      <c r="H92" s="49"/>
      <c r="I92" s="209"/>
      <c r="J92" s="26"/>
      <c r="K92" s="26"/>
      <c r="L92" s="26"/>
      <c r="M92" s="26"/>
      <c r="N92" s="26"/>
    </row>
    <row r="93" spans="1:14" ht="15.75">
      <c r="A93" s="26"/>
      <c r="B93" s="206" t="s">
        <v>63</v>
      </c>
      <c r="C93" s="207">
        <v>16000</v>
      </c>
      <c r="D93" s="49"/>
      <c r="E93" s="49"/>
      <c r="F93" s="208">
        <v>280</v>
      </c>
      <c r="G93" s="49"/>
      <c r="H93" s="49"/>
      <c r="I93" s="209"/>
      <c r="J93" s="26"/>
      <c r="K93" s="26"/>
      <c r="L93" s="26"/>
      <c r="M93" s="26"/>
      <c r="N93" s="26"/>
    </row>
    <row r="94" spans="1:14" ht="15.75">
      <c r="A94" s="26"/>
      <c r="B94" s="206" t="s">
        <v>64</v>
      </c>
      <c r="C94" s="207">
        <v>16000</v>
      </c>
      <c r="D94" s="49"/>
      <c r="E94" s="49"/>
      <c r="F94" s="208">
        <v>280</v>
      </c>
      <c r="G94" s="49"/>
      <c r="H94" s="49"/>
      <c r="I94" s="209"/>
      <c r="J94" s="26"/>
      <c r="K94" s="26"/>
      <c r="L94" s="26"/>
      <c r="M94" s="26"/>
      <c r="N94" s="26"/>
    </row>
    <row r="95" spans="1:14" ht="15.75">
      <c r="A95" s="26"/>
      <c r="B95" s="206" t="s">
        <v>65</v>
      </c>
      <c r="C95" s="207">
        <v>16000</v>
      </c>
      <c r="D95" s="49"/>
      <c r="E95" s="49"/>
      <c r="F95" s="208">
        <v>280</v>
      </c>
      <c r="G95" s="49"/>
      <c r="H95" s="210" t="s">
        <v>421</v>
      </c>
      <c r="I95" s="209"/>
      <c r="J95" s="26"/>
      <c r="K95" s="26"/>
      <c r="L95" s="26"/>
      <c r="M95" s="26"/>
      <c r="N95" s="26"/>
    </row>
    <row r="96" spans="1:14" ht="15.75">
      <c r="A96" s="26"/>
      <c r="B96" s="206" t="s">
        <v>66</v>
      </c>
      <c r="C96" s="215">
        <v>16000</v>
      </c>
      <c r="D96" s="49"/>
      <c r="E96" s="49"/>
      <c r="F96" s="215">
        <v>280</v>
      </c>
      <c r="G96" s="49"/>
      <c r="H96" s="210" t="s">
        <v>74</v>
      </c>
      <c r="I96" s="209"/>
      <c r="J96" s="26"/>
      <c r="K96" s="26"/>
      <c r="L96" s="26"/>
      <c r="M96" s="26"/>
      <c r="N96" s="26"/>
    </row>
    <row r="97" spans="1:14" ht="15.75">
      <c r="A97" s="26"/>
      <c r="B97" s="206" t="s">
        <v>52</v>
      </c>
      <c r="C97" s="54">
        <f>SUM(C85:C96)</f>
        <v>192000</v>
      </c>
      <c r="D97" s="49"/>
      <c r="E97" s="49"/>
      <c r="F97" s="211">
        <f>SUM(F85:F96)</f>
        <v>3360</v>
      </c>
      <c r="G97" s="49"/>
      <c r="H97" s="214">
        <f>IF(C97=0,0,F97/C97)</f>
        <v>0.0175</v>
      </c>
      <c r="I97" s="209"/>
      <c r="J97" s="26"/>
      <c r="K97" s="26"/>
      <c r="L97" s="26"/>
      <c r="M97" s="26"/>
      <c r="N97" s="26"/>
    </row>
    <row r="98" spans="1:14" ht="15">
      <c r="A98" s="26"/>
      <c r="B98" s="49"/>
      <c r="C98" s="49"/>
      <c r="D98" s="49"/>
      <c r="E98" s="49"/>
      <c r="F98" s="212"/>
      <c r="G98" s="49"/>
      <c r="H98" s="49"/>
      <c r="I98" s="49"/>
      <c r="J98" s="26"/>
      <c r="K98" s="26"/>
      <c r="L98" s="26"/>
      <c r="M98" s="26"/>
      <c r="N98" s="26"/>
    </row>
    <row r="99" spans="1:14" ht="15.75">
      <c r="A99" s="26"/>
      <c r="B99" s="206" t="s">
        <v>68</v>
      </c>
      <c r="C99" s="54">
        <f>+C97/COUNTA(C85:C96)</f>
        <v>16000</v>
      </c>
      <c r="D99" s="49"/>
      <c r="E99" s="49"/>
      <c r="F99" s="211">
        <f>+F97/COUNTA(F85:F96)</f>
        <v>280</v>
      </c>
      <c r="G99" s="49"/>
      <c r="H99" s="49"/>
      <c r="I99" s="49"/>
      <c r="J99" s="26"/>
      <c r="K99" s="26"/>
      <c r="L99" s="26"/>
      <c r="M99" s="26"/>
      <c r="N99" s="26"/>
    </row>
    <row r="100" spans="1:14" ht="15">
      <c r="A100" s="26"/>
      <c r="B100" s="49"/>
      <c r="C100" s="49"/>
      <c r="D100" s="49"/>
      <c r="E100" s="49"/>
      <c r="F100" s="49"/>
      <c r="G100" s="49"/>
      <c r="H100" s="49"/>
      <c r="I100" s="49"/>
      <c r="J100" s="26"/>
      <c r="K100" s="26"/>
      <c r="L100" s="26"/>
      <c r="M100" s="26"/>
      <c r="N100" s="26"/>
    </row>
    <row r="101" spans="1:14" ht="15">
      <c r="A101" s="26"/>
      <c r="B101" s="49"/>
      <c r="C101" s="216" t="s">
        <v>79</v>
      </c>
      <c r="D101" s="53"/>
      <c r="E101" s="53"/>
      <c r="F101" s="53"/>
      <c r="G101" s="49"/>
      <c r="H101" s="49"/>
      <c r="I101" s="49"/>
      <c r="J101" s="26"/>
      <c r="K101" s="26"/>
      <c r="L101" s="26"/>
      <c r="M101" s="26"/>
      <c r="N101" s="26"/>
    </row>
    <row r="102" spans="1:14" ht="15">
      <c r="A102" s="26"/>
      <c r="B102" s="49"/>
      <c r="C102" s="205" t="s">
        <v>52</v>
      </c>
      <c r="D102" s="49"/>
      <c r="E102" s="49"/>
      <c r="F102" s="205" t="s">
        <v>52</v>
      </c>
      <c r="G102" s="49"/>
      <c r="H102" s="49"/>
      <c r="I102" s="49"/>
      <c r="J102" s="26"/>
      <c r="K102" s="26"/>
      <c r="L102" s="26"/>
      <c r="M102" s="26"/>
      <c r="N102" s="26"/>
    </row>
    <row r="103" spans="1:14" ht="15">
      <c r="A103" s="26"/>
      <c r="B103" s="49"/>
      <c r="C103" s="36" t="s">
        <v>78</v>
      </c>
      <c r="D103" s="49"/>
      <c r="E103" s="49"/>
      <c r="F103" s="36" t="s">
        <v>54</v>
      </c>
      <c r="G103" s="49"/>
      <c r="H103" s="49"/>
      <c r="I103" s="49"/>
      <c r="J103" s="26"/>
      <c r="K103" s="26"/>
      <c r="L103" s="26"/>
      <c r="M103" s="26"/>
      <c r="N103" s="26"/>
    </row>
    <row r="104" spans="1:14" ht="15.75">
      <c r="A104" s="26"/>
      <c r="B104" s="206" t="s">
        <v>55</v>
      </c>
      <c r="C104" s="207">
        <v>0</v>
      </c>
      <c r="D104" s="49"/>
      <c r="E104" s="49"/>
      <c r="F104" s="208">
        <v>0</v>
      </c>
      <c r="G104" s="49"/>
      <c r="H104" s="49"/>
      <c r="I104" s="209"/>
      <c r="J104" s="26"/>
      <c r="K104" s="26"/>
      <c r="L104" s="26"/>
      <c r="M104" s="26"/>
      <c r="N104" s="26"/>
    </row>
    <row r="105" spans="1:14" ht="15.75">
      <c r="A105" s="26"/>
      <c r="B105" s="206" t="s">
        <v>56</v>
      </c>
      <c r="C105" s="207"/>
      <c r="D105" s="49"/>
      <c r="E105" s="49"/>
      <c r="F105" s="208"/>
      <c r="G105" s="49"/>
      <c r="H105" s="49"/>
      <c r="I105" s="209"/>
      <c r="J105" s="26"/>
      <c r="K105" s="26"/>
      <c r="L105" s="26"/>
      <c r="M105" s="26"/>
      <c r="N105" s="26"/>
    </row>
    <row r="106" spans="1:14" ht="15.75">
      <c r="A106" s="26"/>
      <c r="B106" s="206" t="s">
        <v>57</v>
      </c>
      <c r="C106" s="207"/>
      <c r="D106" s="49"/>
      <c r="E106" s="49"/>
      <c r="F106" s="208"/>
      <c r="G106" s="49"/>
      <c r="H106" s="49"/>
      <c r="I106" s="209"/>
      <c r="J106" s="26"/>
      <c r="K106" s="26"/>
      <c r="L106" s="26"/>
      <c r="M106" s="26"/>
      <c r="N106" s="26"/>
    </row>
    <row r="107" spans="1:14" ht="15.75">
      <c r="A107" s="26"/>
      <c r="B107" s="206" t="s">
        <v>58</v>
      </c>
      <c r="C107" s="207"/>
      <c r="D107" s="49"/>
      <c r="E107" s="49"/>
      <c r="F107" s="208"/>
      <c r="G107" s="49"/>
      <c r="H107" s="49"/>
      <c r="I107" s="209"/>
      <c r="J107" s="26"/>
      <c r="K107" s="26"/>
      <c r="L107" s="26"/>
      <c r="M107" s="26"/>
      <c r="N107" s="26"/>
    </row>
    <row r="108" spans="1:14" ht="15.75">
      <c r="A108" s="26"/>
      <c r="B108" s="206" t="s">
        <v>59</v>
      </c>
      <c r="C108" s="207"/>
      <c r="D108" s="49"/>
      <c r="E108" s="49"/>
      <c r="F108" s="208"/>
      <c r="G108" s="49"/>
      <c r="H108" s="49"/>
      <c r="I108" s="209"/>
      <c r="J108" s="26"/>
      <c r="K108" s="26"/>
      <c r="L108" s="26"/>
      <c r="M108" s="26"/>
      <c r="N108" s="26"/>
    </row>
    <row r="109" spans="1:14" ht="15.75">
      <c r="A109" s="26"/>
      <c r="B109" s="206" t="s">
        <v>60</v>
      </c>
      <c r="C109" s="207"/>
      <c r="D109" s="49"/>
      <c r="E109" s="49"/>
      <c r="F109" s="208"/>
      <c r="G109" s="49"/>
      <c r="H109" s="49"/>
      <c r="I109" s="209"/>
      <c r="J109" s="26"/>
      <c r="K109" s="26"/>
      <c r="L109" s="26"/>
      <c r="M109" s="26"/>
      <c r="N109" s="26"/>
    </row>
    <row r="110" spans="1:14" ht="15.75">
      <c r="A110" s="26"/>
      <c r="B110" s="206" t="s">
        <v>61</v>
      </c>
      <c r="C110" s="207"/>
      <c r="D110" s="49"/>
      <c r="E110" s="49"/>
      <c r="F110" s="208"/>
      <c r="G110" s="49"/>
      <c r="H110" s="49"/>
      <c r="I110" s="209"/>
      <c r="J110" s="26"/>
      <c r="K110" s="26"/>
      <c r="L110" s="26"/>
      <c r="M110" s="26"/>
      <c r="N110" s="26"/>
    </row>
    <row r="111" spans="1:14" ht="15.75">
      <c r="A111" s="26"/>
      <c r="B111" s="206" t="s">
        <v>62</v>
      </c>
      <c r="C111" s="207"/>
      <c r="D111" s="49"/>
      <c r="E111" s="49"/>
      <c r="F111" s="208"/>
      <c r="G111" s="49"/>
      <c r="H111" s="49"/>
      <c r="I111" s="209"/>
      <c r="J111" s="26"/>
      <c r="K111" s="26"/>
      <c r="L111" s="26"/>
      <c r="M111" s="26"/>
      <c r="N111" s="26"/>
    </row>
    <row r="112" spans="1:14" ht="15.75">
      <c r="A112" s="26"/>
      <c r="B112" s="206" t="s">
        <v>63</v>
      </c>
      <c r="C112" s="207"/>
      <c r="D112" s="49"/>
      <c r="E112" s="49"/>
      <c r="F112" s="208"/>
      <c r="G112" s="49"/>
      <c r="H112" s="49"/>
      <c r="I112" s="209"/>
      <c r="J112" s="26"/>
      <c r="K112" s="26"/>
      <c r="L112" s="26"/>
      <c r="M112" s="26"/>
      <c r="N112" s="26"/>
    </row>
    <row r="113" spans="1:14" ht="15.75">
      <c r="A113" s="26"/>
      <c r="B113" s="206" t="s">
        <v>64</v>
      </c>
      <c r="C113" s="207"/>
      <c r="D113" s="49"/>
      <c r="E113" s="49"/>
      <c r="F113" s="208"/>
      <c r="G113" s="49"/>
      <c r="H113" s="49"/>
      <c r="I113" s="209"/>
      <c r="J113" s="26"/>
      <c r="K113" s="26"/>
      <c r="L113" s="26"/>
      <c r="M113" s="26"/>
      <c r="N113" s="26"/>
    </row>
    <row r="114" spans="1:14" ht="15.75">
      <c r="A114" s="26"/>
      <c r="B114" s="206" t="s">
        <v>65</v>
      </c>
      <c r="C114" s="207"/>
      <c r="D114" s="49"/>
      <c r="E114" s="49"/>
      <c r="F114" s="208"/>
      <c r="G114" s="49"/>
      <c r="H114" s="210" t="s">
        <v>422</v>
      </c>
      <c r="I114" s="209"/>
      <c r="J114" s="26"/>
      <c r="K114" s="26"/>
      <c r="L114" s="26"/>
      <c r="M114" s="26"/>
      <c r="N114" s="26"/>
    </row>
    <row r="115" spans="1:14" ht="15.75">
      <c r="A115" s="26"/>
      <c r="B115" s="206" t="s">
        <v>66</v>
      </c>
      <c r="C115" s="215"/>
      <c r="D115" s="49"/>
      <c r="E115" s="49"/>
      <c r="F115" s="215"/>
      <c r="G115" s="49"/>
      <c r="H115" s="210" t="s">
        <v>74</v>
      </c>
      <c r="I115" s="209"/>
      <c r="J115" s="26"/>
      <c r="K115" s="26"/>
      <c r="L115" s="26"/>
      <c r="M115" s="26"/>
      <c r="N115" s="26"/>
    </row>
    <row r="116" spans="1:14" ht="15.75">
      <c r="A116" s="26"/>
      <c r="B116" s="206" t="s">
        <v>52</v>
      </c>
      <c r="C116" s="54">
        <f>SUM(C104:C115)</f>
        <v>0</v>
      </c>
      <c r="D116" s="49"/>
      <c r="E116" s="49"/>
      <c r="F116" s="211">
        <f>SUM(F104:F115)</f>
        <v>0</v>
      </c>
      <c r="G116" s="49"/>
      <c r="H116" s="214">
        <f>IF(C116=0,0,F116/C116)</f>
        <v>0</v>
      </c>
      <c r="I116" s="209"/>
      <c r="J116" s="26"/>
      <c r="K116" s="26"/>
      <c r="L116" s="26"/>
      <c r="M116" s="26"/>
      <c r="N116" s="26"/>
    </row>
    <row r="117" spans="1:14" ht="15">
      <c r="A117" s="26"/>
      <c r="B117" s="49"/>
      <c r="C117" s="49"/>
      <c r="D117" s="49"/>
      <c r="E117" s="49"/>
      <c r="F117" s="212"/>
      <c r="G117" s="49"/>
      <c r="H117" s="49"/>
      <c r="I117" s="49"/>
      <c r="J117" s="26"/>
      <c r="K117" s="26"/>
      <c r="L117" s="26"/>
      <c r="M117" s="26"/>
      <c r="N117" s="26"/>
    </row>
    <row r="118" spans="1:14" ht="15.75">
      <c r="A118" s="26"/>
      <c r="B118" s="206" t="s">
        <v>68</v>
      </c>
      <c r="C118" s="54">
        <f>+C116/COUNTA(C104:C115)</f>
        <v>0</v>
      </c>
      <c r="D118" s="49"/>
      <c r="E118" s="49"/>
      <c r="F118" s="211">
        <f>+F116/COUNTA(F104:F115)</f>
        <v>0</v>
      </c>
      <c r="G118" s="49"/>
      <c r="H118" s="49"/>
      <c r="I118" s="209"/>
      <c r="J118" s="26"/>
      <c r="K118" s="26"/>
      <c r="L118" s="26"/>
      <c r="M118" s="26"/>
      <c r="N118" s="26"/>
    </row>
    <row r="119" spans="1:14" ht="15">
      <c r="A119" s="26"/>
      <c r="B119" s="49"/>
      <c r="C119" s="49"/>
      <c r="D119" s="49"/>
      <c r="E119" s="49"/>
      <c r="F119" s="49"/>
      <c r="G119" s="49"/>
      <c r="H119" s="49"/>
      <c r="I119" s="49"/>
      <c r="J119" s="26"/>
      <c r="K119" s="26"/>
      <c r="L119" s="26"/>
      <c r="M119" s="26"/>
      <c r="N119" s="26"/>
    </row>
    <row r="120" spans="1:14" ht="1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</row>
    <row r="121" spans="1:14" ht="1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</row>
    <row r="122" spans="1:14" ht="1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</row>
    <row r="123" spans="1:14" ht="1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</row>
    <row r="124" spans="1:14" ht="1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</row>
    <row r="125" spans="1:14" ht="1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</row>
    <row r="126" spans="1:14" ht="1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</row>
    <row r="127" spans="1:14" ht="1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</row>
    <row r="128" spans="1:14" ht="1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</row>
    <row r="129" spans="1:14" ht="1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</row>
    <row r="130" spans="1:14" ht="1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</row>
    <row r="131" spans="1:14" ht="1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</row>
    <row r="132" spans="1:14" ht="1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</row>
    <row r="133" spans="1:14" ht="1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</row>
    <row r="134" spans="1:14" ht="1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</row>
    <row r="135" spans="1:14" ht="1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</row>
    <row r="136" spans="1:14" ht="1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</row>
    <row r="137" spans="1:14" ht="1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</row>
    <row r="138" spans="1:14" ht="1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</row>
    <row r="139" spans="1:14" ht="1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</row>
    <row r="140" spans="1:14" ht="1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</row>
    <row r="141" spans="1:14" ht="1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</row>
    <row r="142" spans="1:14" ht="1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</row>
    <row r="143" spans="1:14" ht="1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</row>
    <row r="144" spans="1:14" ht="1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</row>
    <row r="145" spans="1:14" ht="1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</row>
    <row r="146" spans="1:14" ht="1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</row>
    <row r="147" spans="1:14" ht="1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</row>
    <row r="148" spans="1:14" ht="1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</row>
    <row r="149" spans="1:14" ht="1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</row>
    <row r="150" spans="1:14" ht="1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</row>
    <row r="151" spans="1:14" ht="1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</row>
    <row r="152" spans="1:14" ht="1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</row>
    <row r="153" spans="1:14" ht="15">
      <c r="A153" s="26"/>
      <c r="J153" s="26"/>
      <c r="K153" s="26"/>
      <c r="L153" s="26"/>
      <c r="M153" s="26"/>
      <c r="N153" s="26"/>
    </row>
    <row r="154" spans="1:14" ht="15">
      <c r="A154" s="26"/>
      <c r="J154" s="26"/>
      <c r="K154" s="26"/>
      <c r="L154" s="26"/>
      <c r="M154" s="26"/>
      <c r="N154" s="26"/>
    </row>
  </sheetData>
  <printOptions/>
  <pageMargins left="1" right="1" top="1" bottom="0.84" header="0.5" footer="0.5"/>
  <pageSetup fitToHeight="1" fitToWidth="1" horizontalDpi="300" verticalDpi="300" orientation="portrait" scale="61" r:id="rId3"/>
  <headerFooter alignWithMargins="0">
    <oddHeader>&amp;L&amp;"Arial MT,Bold"WATERGY:&amp;"Arial MT,Regular" Utility Rates&amp;R&amp;D</oddHeader>
    <oddFooter>&amp;CPage &amp;P</oddFooter>
  </headerFooter>
  <rowBreaks count="2" manualBreakCount="2">
    <brk id="151" max="255" man="1"/>
    <brk id="200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L254"/>
  <sheetViews>
    <sheetView showGridLines="0" workbookViewId="0" topLeftCell="A17">
      <selection activeCell="B112" sqref="B112"/>
    </sheetView>
  </sheetViews>
  <sheetFormatPr defaultColWidth="9.77734375" defaultRowHeight="15"/>
  <cols>
    <col min="1" max="1" width="3.77734375" style="0" customWidth="1"/>
    <col min="2" max="2" width="6.77734375" style="0" customWidth="1"/>
    <col min="3" max="3" width="11.99609375" style="0" customWidth="1"/>
    <col min="4" max="4" width="10.4453125" style="0" customWidth="1"/>
    <col min="9" max="9" width="12.77734375" style="0" customWidth="1"/>
    <col min="11" max="11" width="6.77734375" style="0" customWidth="1"/>
  </cols>
  <sheetData>
    <row r="1" spans="1:12" ht="1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5">
      <c r="A2" s="26"/>
      <c r="B2" s="49"/>
      <c r="C2" s="49"/>
      <c r="D2" s="49"/>
      <c r="E2" s="49"/>
      <c r="F2" s="49"/>
      <c r="G2" s="49"/>
      <c r="H2" s="49"/>
      <c r="I2" s="49"/>
      <c r="J2" s="49"/>
      <c r="K2" s="49"/>
      <c r="L2" s="26"/>
    </row>
    <row r="3" spans="1:12" ht="15">
      <c r="A3" s="26"/>
      <c r="B3" s="49"/>
      <c r="C3" s="195" t="s">
        <v>5</v>
      </c>
      <c r="D3" s="49"/>
      <c r="E3" s="49"/>
      <c r="F3" s="49"/>
      <c r="G3" s="49"/>
      <c r="H3" s="49"/>
      <c r="I3" s="49"/>
      <c r="J3" s="49"/>
      <c r="K3" s="49"/>
      <c r="L3" s="26"/>
    </row>
    <row r="4" spans="1:12" ht="15">
      <c r="A4" s="26"/>
      <c r="B4" s="49"/>
      <c r="C4" s="49"/>
      <c r="D4" s="49"/>
      <c r="E4" s="49"/>
      <c r="F4" s="49"/>
      <c r="G4" s="49"/>
      <c r="H4" s="49"/>
      <c r="I4" s="49"/>
      <c r="J4" s="49"/>
      <c r="K4" s="49"/>
      <c r="L4" s="26"/>
    </row>
    <row r="5" spans="1:12" ht="15.75">
      <c r="A5" s="26"/>
      <c r="B5" s="49"/>
      <c r="C5" s="51" t="s">
        <v>80</v>
      </c>
      <c r="D5" s="39"/>
      <c r="E5" s="39"/>
      <c r="F5" s="39"/>
      <c r="G5" s="39"/>
      <c r="H5" s="39"/>
      <c r="I5" s="39"/>
      <c r="J5" s="39"/>
      <c r="K5" s="49"/>
      <c r="L5" s="26"/>
    </row>
    <row r="6" spans="1:12" ht="15.75">
      <c r="A6" s="26"/>
      <c r="B6" s="49"/>
      <c r="C6" s="39" t="s">
        <v>374</v>
      </c>
      <c r="D6" s="75" t="s">
        <v>451</v>
      </c>
      <c r="E6" s="76"/>
      <c r="F6" s="76"/>
      <c r="G6" s="76"/>
      <c r="H6" s="76"/>
      <c r="I6" s="76"/>
      <c r="J6" s="76"/>
      <c r="K6" s="49"/>
      <c r="L6" s="26"/>
    </row>
    <row r="7" spans="1:12" ht="15.75">
      <c r="A7" s="26"/>
      <c r="B7" s="49"/>
      <c r="C7" s="48" t="s">
        <v>81</v>
      </c>
      <c r="D7" s="227"/>
      <c r="E7" s="228"/>
      <c r="F7" s="44"/>
      <c r="G7" s="44"/>
      <c r="H7" s="44"/>
      <c r="I7" s="44"/>
      <c r="J7" s="44"/>
      <c r="K7" s="49"/>
      <c r="L7" s="26"/>
    </row>
    <row r="8" spans="1:12" ht="15.75">
      <c r="A8" s="26"/>
      <c r="B8" s="49"/>
      <c r="C8" s="48" t="s">
        <v>82</v>
      </c>
      <c r="D8" s="229" t="s">
        <v>452</v>
      </c>
      <c r="E8" s="228"/>
      <c r="F8" s="44"/>
      <c r="G8" s="44"/>
      <c r="H8" s="44"/>
      <c r="I8" s="44"/>
      <c r="J8" s="44"/>
      <c r="K8" s="49"/>
      <c r="L8" s="26"/>
    </row>
    <row r="9" spans="1:12" ht="15.75">
      <c r="A9" s="26"/>
      <c r="B9" s="49"/>
      <c r="C9" s="48" t="s">
        <v>83</v>
      </c>
      <c r="D9" s="229" t="s">
        <v>453</v>
      </c>
      <c r="E9" s="228"/>
      <c r="F9" s="44"/>
      <c r="G9" s="44"/>
      <c r="H9" s="44"/>
      <c r="I9" s="44"/>
      <c r="J9" s="44"/>
      <c r="K9" s="49"/>
      <c r="L9" s="26"/>
    </row>
    <row r="10" spans="1:12" ht="15.75">
      <c r="A10" s="26"/>
      <c r="B10" s="49"/>
      <c r="C10" s="48" t="s">
        <v>84</v>
      </c>
      <c r="D10" s="229" t="s">
        <v>454</v>
      </c>
      <c r="E10" s="228"/>
      <c r="F10" s="44"/>
      <c r="G10" s="44"/>
      <c r="H10" s="44"/>
      <c r="I10" s="44"/>
      <c r="J10" s="44"/>
      <c r="K10" s="49"/>
      <c r="L10" s="26"/>
    </row>
    <row r="11" spans="1:12" ht="15.75">
      <c r="A11" s="26"/>
      <c r="B11" s="49"/>
      <c r="C11" s="48" t="s">
        <v>85</v>
      </c>
      <c r="D11" s="229" t="s">
        <v>455</v>
      </c>
      <c r="E11" s="228"/>
      <c r="F11" s="44"/>
      <c r="G11" s="206" t="s">
        <v>522</v>
      </c>
      <c r="H11" s="219" t="s">
        <v>297</v>
      </c>
      <c r="I11" s="230" t="s">
        <v>523</v>
      </c>
      <c r="J11" s="231">
        <v>12345</v>
      </c>
      <c r="K11" s="49"/>
      <c r="L11" s="26"/>
    </row>
    <row r="12" spans="1:12" ht="15.75">
      <c r="A12" s="26"/>
      <c r="B12" s="49"/>
      <c r="C12" s="48" t="s">
        <v>87</v>
      </c>
      <c r="D12" s="229" t="s">
        <v>456</v>
      </c>
      <c r="E12" s="228"/>
      <c r="F12" s="44"/>
      <c r="G12" s="44"/>
      <c r="H12" s="44"/>
      <c r="I12" s="44"/>
      <c r="J12" s="44"/>
      <c r="K12" s="49"/>
      <c r="L12" s="26"/>
    </row>
    <row r="13" spans="1:12" ht="15.75">
      <c r="A13" s="26"/>
      <c r="B13" s="49"/>
      <c r="C13" s="37" t="s">
        <v>88</v>
      </c>
      <c r="D13" s="232">
        <v>36109</v>
      </c>
      <c r="E13" s="76"/>
      <c r="F13" s="45"/>
      <c r="G13" s="45"/>
      <c r="H13" s="45"/>
      <c r="I13" s="45"/>
      <c r="J13" s="45"/>
      <c r="K13" s="49"/>
      <c r="L13" s="26"/>
    </row>
    <row r="14" spans="1:12" ht="15.75">
      <c r="A14" s="26"/>
      <c r="B14" s="49"/>
      <c r="C14" s="48" t="s">
        <v>89</v>
      </c>
      <c r="D14" s="49"/>
      <c r="E14" s="233" t="s">
        <v>452</v>
      </c>
      <c r="F14" s="234"/>
      <c r="G14" s="234"/>
      <c r="H14" s="234"/>
      <c r="I14" s="234"/>
      <c r="J14" s="234"/>
      <c r="K14" s="49"/>
      <c r="L14" s="26"/>
    </row>
    <row r="15" spans="1:12" ht="15.75">
      <c r="A15" s="26"/>
      <c r="B15" s="49"/>
      <c r="C15" s="48" t="s">
        <v>90</v>
      </c>
      <c r="D15" s="49"/>
      <c r="E15" s="209" t="s">
        <v>457</v>
      </c>
      <c r="F15" s="234"/>
      <c r="G15" s="234"/>
      <c r="H15" s="234"/>
      <c r="I15" s="234"/>
      <c r="J15" s="234"/>
      <c r="K15" s="49"/>
      <c r="L15" s="26"/>
    </row>
    <row r="16" spans="1:12" ht="15.75">
      <c r="A16" s="26"/>
      <c r="B16" s="49"/>
      <c r="C16" s="48" t="s">
        <v>91</v>
      </c>
      <c r="D16" s="49"/>
      <c r="E16" s="196">
        <v>0</v>
      </c>
      <c r="F16" s="234"/>
      <c r="G16" s="234"/>
      <c r="H16" s="234"/>
      <c r="I16" s="234"/>
      <c r="J16" s="234"/>
      <c r="K16" s="49"/>
      <c r="L16" s="26"/>
    </row>
    <row r="17" spans="1:12" ht="15.75">
      <c r="A17" s="26"/>
      <c r="B17" s="49"/>
      <c r="C17" s="37" t="s">
        <v>92</v>
      </c>
      <c r="D17" s="39"/>
      <c r="E17" s="235" t="s">
        <v>373</v>
      </c>
      <c r="F17" s="50"/>
      <c r="G17" s="50"/>
      <c r="H17" s="50"/>
      <c r="I17" s="50"/>
      <c r="J17" s="50"/>
      <c r="K17" s="49"/>
      <c r="L17" s="26"/>
    </row>
    <row r="18" spans="1:12" ht="15.75">
      <c r="A18" s="26"/>
      <c r="B18" s="49"/>
      <c r="C18" s="48"/>
      <c r="D18" s="49"/>
      <c r="E18" s="209"/>
      <c r="F18" s="234"/>
      <c r="G18" s="234"/>
      <c r="H18" s="234"/>
      <c r="I18" s="234"/>
      <c r="J18" s="234"/>
      <c r="K18" s="49"/>
      <c r="L18" s="26"/>
    </row>
    <row r="19" spans="1:12" ht="15.75">
      <c r="A19" s="26"/>
      <c r="B19" s="200"/>
      <c r="C19" s="241"/>
      <c r="D19" s="200"/>
      <c r="E19" s="242"/>
      <c r="F19" s="243"/>
      <c r="G19" s="243"/>
      <c r="H19" s="243"/>
      <c r="I19" s="243"/>
      <c r="J19" s="243"/>
      <c r="K19" s="200"/>
      <c r="L19" s="26"/>
    </row>
    <row r="20" spans="1:12" ht="15">
      <c r="A20" s="26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26"/>
    </row>
    <row r="21" spans="1:12" ht="15.75">
      <c r="A21" s="26"/>
      <c r="B21" s="49"/>
      <c r="C21" s="281" t="s">
        <v>93</v>
      </c>
      <c r="D21" s="282"/>
      <c r="E21" s="282"/>
      <c r="F21" s="282"/>
      <c r="G21" s="282"/>
      <c r="H21" s="282"/>
      <c r="I21" s="282"/>
      <c r="J21" s="282"/>
      <c r="K21" s="49"/>
      <c r="L21" s="26"/>
    </row>
    <row r="22" spans="1:12" ht="15">
      <c r="A22" s="26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26"/>
    </row>
    <row r="23" spans="1:12" ht="15">
      <c r="A23" s="26"/>
      <c r="B23" s="49"/>
      <c r="C23" s="244" t="s">
        <v>94</v>
      </c>
      <c r="D23" s="136"/>
      <c r="E23" s="136"/>
      <c r="F23" s="136"/>
      <c r="G23" s="136"/>
      <c r="H23" s="136"/>
      <c r="I23" s="136"/>
      <c r="J23" s="136"/>
      <c r="K23" s="49"/>
      <c r="L23" s="26"/>
    </row>
    <row r="24" spans="1:12" ht="15">
      <c r="A24" s="26"/>
      <c r="B24" s="49"/>
      <c r="C24" s="279"/>
      <c r="D24" s="280"/>
      <c r="E24" s="280"/>
      <c r="F24" s="280"/>
      <c r="G24" s="280"/>
      <c r="H24" s="280"/>
      <c r="I24" s="280"/>
      <c r="J24" s="280"/>
      <c r="K24" s="49"/>
      <c r="L24" s="26"/>
    </row>
    <row r="25" spans="1:12" ht="15">
      <c r="A25" s="26"/>
      <c r="B25" s="49"/>
      <c r="C25" s="49"/>
      <c r="D25" s="205" t="s">
        <v>95</v>
      </c>
      <c r="E25" s="49"/>
      <c r="F25" s="49"/>
      <c r="G25" s="316" t="s">
        <v>96</v>
      </c>
      <c r="H25" s="316"/>
      <c r="I25" s="49"/>
      <c r="J25" s="49"/>
      <c r="K25" s="49"/>
      <c r="L25" s="26"/>
    </row>
    <row r="26" spans="1:12" ht="15">
      <c r="A26" s="26"/>
      <c r="B26" s="49"/>
      <c r="C26" s="37" t="s">
        <v>97</v>
      </c>
      <c r="D26" s="36" t="s">
        <v>98</v>
      </c>
      <c r="E26" s="36" t="s">
        <v>99</v>
      </c>
      <c r="F26" s="36" t="s">
        <v>100</v>
      </c>
      <c r="G26" s="36" t="s">
        <v>101</v>
      </c>
      <c r="H26" s="36" t="s">
        <v>102</v>
      </c>
      <c r="I26" s="36" t="s">
        <v>103</v>
      </c>
      <c r="J26" s="36" t="s">
        <v>104</v>
      </c>
      <c r="K26" s="49"/>
      <c r="L26" s="26"/>
    </row>
    <row r="27" spans="1:12" ht="15.75">
      <c r="A27" s="26"/>
      <c r="B27" s="206">
        <v>1</v>
      </c>
      <c r="C27" s="219" t="s">
        <v>366</v>
      </c>
      <c r="D27" s="201" t="s">
        <v>367</v>
      </c>
      <c r="E27" s="201">
        <v>3</v>
      </c>
      <c r="F27" s="201">
        <v>6</v>
      </c>
      <c r="G27" s="201">
        <v>22</v>
      </c>
      <c r="H27" s="201">
        <v>33</v>
      </c>
      <c r="I27" s="220">
        <f aca="true" t="shared" si="0" ref="I27:I32">IF(F27=0,0,J27/F27)</f>
        <v>49.5</v>
      </c>
      <c r="J27" s="220">
        <f aca="true" t="shared" si="1" ref="J27:J32">(3*G27+H27)*E27</f>
        <v>297</v>
      </c>
      <c r="K27" s="49"/>
      <c r="L27" s="26"/>
    </row>
    <row r="28" spans="1:12" ht="15.75">
      <c r="A28" s="26"/>
      <c r="B28" s="206">
        <v>2</v>
      </c>
      <c r="C28" s="219" t="s">
        <v>366</v>
      </c>
      <c r="D28" s="201" t="s">
        <v>368</v>
      </c>
      <c r="E28" s="201">
        <v>3.5</v>
      </c>
      <c r="F28" s="201">
        <v>4</v>
      </c>
      <c r="G28" s="201">
        <v>6</v>
      </c>
      <c r="H28" s="201">
        <v>9</v>
      </c>
      <c r="I28" s="220">
        <f t="shared" si="0"/>
        <v>23.625</v>
      </c>
      <c r="J28" s="220">
        <f t="shared" si="1"/>
        <v>94.5</v>
      </c>
      <c r="K28" s="49"/>
      <c r="L28" s="26"/>
    </row>
    <row r="29" spans="1:12" ht="15.75">
      <c r="A29" s="26"/>
      <c r="B29" s="206">
        <v>3</v>
      </c>
      <c r="C29" s="219"/>
      <c r="D29" s="201"/>
      <c r="E29" s="201"/>
      <c r="F29" s="201"/>
      <c r="G29" s="201"/>
      <c r="H29" s="201"/>
      <c r="I29" s="220">
        <f t="shared" si="0"/>
        <v>0</v>
      </c>
      <c r="J29" s="220">
        <f t="shared" si="1"/>
        <v>0</v>
      </c>
      <c r="K29" s="49"/>
      <c r="L29" s="26"/>
    </row>
    <row r="30" spans="1:12" ht="15.75">
      <c r="A30" s="26"/>
      <c r="B30" s="206">
        <v>4</v>
      </c>
      <c r="C30" s="44"/>
      <c r="D30" s="201"/>
      <c r="E30" s="201"/>
      <c r="F30" s="201"/>
      <c r="G30" s="201"/>
      <c r="H30" s="201"/>
      <c r="I30" s="220">
        <f t="shared" si="0"/>
        <v>0</v>
      </c>
      <c r="J30" s="220">
        <f t="shared" si="1"/>
        <v>0</v>
      </c>
      <c r="K30" s="49"/>
      <c r="L30" s="26"/>
    </row>
    <row r="31" spans="1:12" ht="15.75">
      <c r="A31" s="26"/>
      <c r="B31" s="206">
        <v>5</v>
      </c>
      <c r="C31" s="44"/>
      <c r="D31" s="201"/>
      <c r="E31" s="201"/>
      <c r="F31" s="201"/>
      <c r="G31" s="201"/>
      <c r="H31" s="201"/>
      <c r="I31" s="220">
        <f t="shared" si="0"/>
        <v>0</v>
      </c>
      <c r="J31" s="220">
        <f t="shared" si="1"/>
        <v>0</v>
      </c>
      <c r="K31" s="49"/>
      <c r="L31" s="26"/>
    </row>
    <row r="32" spans="1:12" ht="15.75">
      <c r="A32" s="26"/>
      <c r="B32" s="206">
        <v>6</v>
      </c>
      <c r="C32" s="45"/>
      <c r="D32" s="42"/>
      <c r="E32" s="42"/>
      <c r="F32" s="42"/>
      <c r="G32" s="42"/>
      <c r="H32" s="42"/>
      <c r="I32" s="38">
        <f t="shared" si="0"/>
        <v>0</v>
      </c>
      <c r="J32" s="38">
        <f t="shared" si="1"/>
        <v>0</v>
      </c>
      <c r="K32" s="49"/>
      <c r="L32" s="26"/>
    </row>
    <row r="33" spans="1:12" ht="16.5" thickBot="1">
      <c r="A33" s="26"/>
      <c r="B33" s="49"/>
      <c r="C33" s="56"/>
      <c r="D33" s="56"/>
      <c r="E33" s="56"/>
      <c r="F33" s="56"/>
      <c r="G33" s="56"/>
      <c r="H33" s="56"/>
      <c r="I33" s="48" t="s">
        <v>106</v>
      </c>
      <c r="J33" s="221">
        <f>SUM(J27:J32)</f>
        <v>391.5</v>
      </c>
      <c r="K33" s="49"/>
      <c r="L33" s="26"/>
    </row>
    <row r="34" spans="1:12" ht="15.75">
      <c r="A34" s="26"/>
      <c r="B34" s="49"/>
      <c r="C34" s="49"/>
      <c r="D34" s="49"/>
      <c r="E34" s="49"/>
      <c r="F34" s="49"/>
      <c r="G34" s="49"/>
      <c r="H34" s="49"/>
      <c r="I34" s="48"/>
      <c r="J34" s="221"/>
      <c r="K34" s="49"/>
      <c r="L34" s="26"/>
    </row>
    <row r="35" spans="1:12" ht="15">
      <c r="A35" s="26"/>
      <c r="B35" s="49"/>
      <c r="C35" s="48" t="s">
        <v>107</v>
      </c>
      <c r="D35" s="49"/>
      <c r="E35" s="49"/>
      <c r="F35" s="49"/>
      <c r="G35" s="49"/>
      <c r="H35" s="49"/>
      <c r="I35" s="49"/>
      <c r="J35" s="49"/>
      <c r="K35" s="49"/>
      <c r="L35" s="26"/>
    </row>
    <row r="36" spans="1:12" ht="15">
      <c r="A36" s="26"/>
      <c r="B36" s="49"/>
      <c r="C36" s="49"/>
      <c r="D36" s="48" t="s">
        <v>108</v>
      </c>
      <c r="E36" s="49"/>
      <c r="F36" s="49"/>
      <c r="G36" s="49"/>
      <c r="H36" s="49"/>
      <c r="I36" s="49"/>
      <c r="J36" s="49"/>
      <c r="K36" s="49"/>
      <c r="L36" s="26"/>
    </row>
    <row r="37" spans="1:12" ht="15">
      <c r="A37" s="26"/>
      <c r="B37" s="49"/>
      <c r="C37" s="49"/>
      <c r="D37" s="48" t="s">
        <v>109</v>
      </c>
      <c r="E37" s="49"/>
      <c r="F37" s="49"/>
      <c r="G37" s="49"/>
      <c r="H37" s="49"/>
      <c r="I37" s="49"/>
      <c r="J37" s="49"/>
      <c r="K37" s="49"/>
      <c r="L37" s="26"/>
    </row>
    <row r="38" spans="1:12" ht="15">
      <c r="A38" s="26"/>
      <c r="B38" s="49"/>
      <c r="C38" s="49"/>
      <c r="D38" s="48" t="s">
        <v>110</v>
      </c>
      <c r="E38" s="49"/>
      <c r="F38" s="49"/>
      <c r="G38" s="49"/>
      <c r="H38" s="49"/>
      <c r="I38" s="49"/>
      <c r="J38" s="49"/>
      <c r="K38" s="49"/>
      <c r="L38" s="26"/>
    </row>
    <row r="39" spans="1:12" ht="15">
      <c r="A39" s="26"/>
      <c r="B39" s="49"/>
      <c r="C39" s="49"/>
      <c r="D39" s="48" t="s">
        <v>111</v>
      </c>
      <c r="E39" s="49"/>
      <c r="F39" s="49"/>
      <c r="G39" s="49"/>
      <c r="H39" s="49"/>
      <c r="I39" s="49"/>
      <c r="J39" s="49"/>
      <c r="K39" s="49"/>
      <c r="L39" s="26"/>
    </row>
    <row r="40" spans="1:12" ht="15">
      <c r="A40" s="26"/>
      <c r="B40" s="49"/>
      <c r="C40" s="49"/>
      <c r="D40" s="48" t="s">
        <v>112</v>
      </c>
      <c r="E40" s="49"/>
      <c r="F40" s="49"/>
      <c r="G40" s="49"/>
      <c r="H40" s="49"/>
      <c r="I40" s="49"/>
      <c r="J40" s="49"/>
      <c r="K40" s="49"/>
      <c r="L40" s="26"/>
    </row>
    <row r="41" spans="1:12" ht="15.75" thickBot="1">
      <c r="A41" s="26"/>
      <c r="B41" s="49"/>
      <c r="C41" s="46"/>
      <c r="D41" s="46"/>
      <c r="E41" s="46"/>
      <c r="F41" s="46"/>
      <c r="G41" s="46"/>
      <c r="H41" s="46"/>
      <c r="I41" s="49"/>
      <c r="J41" s="49"/>
      <c r="K41" s="49"/>
      <c r="L41" s="26"/>
    </row>
    <row r="42" spans="1:12" ht="15">
      <c r="A42" s="26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26"/>
    </row>
    <row r="43" spans="1:12" ht="15">
      <c r="A43" s="26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26"/>
    </row>
    <row r="44" spans="1:12" ht="15">
      <c r="A44" s="26"/>
      <c r="B44" s="49"/>
      <c r="C44" s="244" t="s">
        <v>113</v>
      </c>
      <c r="D44" s="136"/>
      <c r="E44" s="136"/>
      <c r="F44" s="136"/>
      <c r="G44" s="136"/>
      <c r="H44" s="136"/>
      <c r="I44" s="136"/>
      <c r="J44" s="136"/>
      <c r="K44" s="49"/>
      <c r="L44" s="26"/>
    </row>
    <row r="45" spans="1:12" ht="15">
      <c r="A45" s="26"/>
      <c r="B45" s="49"/>
      <c r="C45" s="279"/>
      <c r="D45" s="280"/>
      <c r="E45" s="280"/>
      <c r="F45" s="280"/>
      <c r="G45" s="280"/>
      <c r="H45" s="280"/>
      <c r="I45" s="280"/>
      <c r="J45" s="280"/>
      <c r="K45" s="49"/>
      <c r="L45" s="26"/>
    </row>
    <row r="46" spans="1:12" ht="15">
      <c r="A46" s="26"/>
      <c r="B46" s="49"/>
      <c r="C46" s="49"/>
      <c r="D46" s="205" t="s">
        <v>95</v>
      </c>
      <c r="E46" s="49"/>
      <c r="F46" s="49"/>
      <c r="G46" s="316" t="s">
        <v>96</v>
      </c>
      <c r="H46" s="316"/>
      <c r="I46" s="49"/>
      <c r="J46" s="49"/>
      <c r="K46" s="49"/>
      <c r="L46" s="26"/>
    </row>
    <row r="47" spans="1:12" ht="15">
      <c r="A47" s="26"/>
      <c r="B47" s="49"/>
      <c r="C47" s="37" t="s">
        <v>97</v>
      </c>
      <c r="D47" s="36" t="s">
        <v>98</v>
      </c>
      <c r="E47" s="36" t="s">
        <v>99</v>
      </c>
      <c r="F47" s="36" t="s">
        <v>100</v>
      </c>
      <c r="G47" s="39"/>
      <c r="H47" s="36" t="s">
        <v>102</v>
      </c>
      <c r="I47" s="36" t="s">
        <v>103</v>
      </c>
      <c r="J47" s="36" t="s">
        <v>104</v>
      </c>
      <c r="K47" s="49"/>
      <c r="L47" s="26"/>
    </row>
    <row r="48" spans="1:12" ht="15.75">
      <c r="A48" s="26"/>
      <c r="B48" s="49">
        <v>1</v>
      </c>
      <c r="C48" s="219" t="s">
        <v>105</v>
      </c>
      <c r="D48" s="201" t="s">
        <v>367</v>
      </c>
      <c r="E48" s="222">
        <v>1.5</v>
      </c>
      <c r="F48" s="201">
        <v>2</v>
      </c>
      <c r="G48" s="49"/>
      <c r="H48" s="201">
        <v>33</v>
      </c>
      <c r="I48" s="220">
        <f>IF(F48=0,0,J48/F48)</f>
        <v>49.5</v>
      </c>
      <c r="J48" s="220">
        <f>(2*H48)*E48</f>
        <v>99</v>
      </c>
      <c r="K48" s="49"/>
      <c r="L48" s="26"/>
    </row>
    <row r="49" spans="1:12" ht="15.75">
      <c r="A49" s="26"/>
      <c r="B49" s="49">
        <v>2</v>
      </c>
      <c r="C49" s="44" t="s">
        <v>105</v>
      </c>
      <c r="D49" s="201" t="s">
        <v>367</v>
      </c>
      <c r="E49" s="201">
        <v>1</v>
      </c>
      <c r="F49" s="201">
        <v>1</v>
      </c>
      <c r="G49" s="49"/>
      <c r="H49" s="201">
        <v>9</v>
      </c>
      <c r="I49" s="220">
        <f>IF(F49=0,0,J49/F49)</f>
        <v>18</v>
      </c>
      <c r="J49" s="220">
        <f>(2*H49)*E49</f>
        <v>18</v>
      </c>
      <c r="K49" s="49"/>
      <c r="L49" s="26"/>
    </row>
    <row r="50" spans="1:12" ht="15.75">
      <c r="A50" s="26"/>
      <c r="B50" s="49">
        <v>3</v>
      </c>
      <c r="C50" s="44"/>
      <c r="D50" s="201"/>
      <c r="E50" s="201"/>
      <c r="F50" s="201"/>
      <c r="G50" s="49"/>
      <c r="H50" s="201"/>
      <c r="I50" s="220">
        <f>IF(F50=0,0,J50/F50)</f>
        <v>0</v>
      </c>
      <c r="J50" s="220">
        <f>(2*H50)*E50</f>
        <v>0</v>
      </c>
      <c r="K50" s="49"/>
      <c r="L50" s="26"/>
    </row>
    <row r="51" spans="1:12" ht="15.75">
      <c r="A51" s="26"/>
      <c r="B51" s="49">
        <v>4</v>
      </c>
      <c r="C51" s="44"/>
      <c r="D51" s="201"/>
      <c r="E51" s="201"/>
      <c r="F51" s="201"/>
      <c r="G51" s="49"/>
      <c r="H51" s="201"/>
      <c r="I51" s="220">
        <f>IF(F51=0,0,J51/F51)</f>
        <v>0</v>
      </c>
      <c r="J51" s="220">
        <f>(2*H51)*E51</f>
        <v>0</v>
      </c>
      <c r="K51" s="49"/>
      <c r="L51" s="26"/>
    </row>
    <row r="52" spans="1:12" ht="15.75">
      <c r="A52" s="26"/>
      <c r="B52" s="49">
        <v>5</v>
      </c>
      <c r="C52" s="45"/>
      <c r="D52" s="42"/>
      <c r="E52" s="42"/>
      <c r="F52" s="42"/>
      <c r="G52" s="39"/>
      <c r="H52" s="42"/>
      <c r="I52" s="38">
        <f>IF(F52=0,0,J52/F52)</f>
        <v>0</v>
      </c>
      <c r="J52" s="38">
        <f>(2*H52)*E52</f>
        <v>0</v>
      </c>
      <c r="K52" s="49"/>
      <c r="L52" s="26"/>
    </row>
    <row r="53" spans="1:12" ht="15.75">
      <c r="A53" s="26"/>
      <c r="B53" s="49"/>
      <c r="C53" s="49"/>
      <c r="D53" s="49"/>
      <c r="E53" s="49"/>
      <c r="F53" s="49"/>
      <c r="G53" s="49"/>
      <c r="H53" s="49"/>
      <c r="I53" s="48" t="s">
        <v>106</v>
      </c>
      <c r="J53" s="221">
        <f>SUM(J48:J52)</f>
        <v>117</v>
      </c>
      <c r="K53" s="49"/>
      <c r="L53" s="26"/>
    </row>
    <row r="54" spans="1:12" ht="15.75" thickBot="1">
      <c r="A54" s="26"/>
      <c r="B54" s="49"/>
      <c r="C54" s="46"/>
      <c r="D54" s="46"/>
      <c r="E54" s="46"/>
      <c r="F54" s="46"/>
      <c r="G54" s="46"/>
      <c r="H54" s="46"/>
      <c r="I54" s="49"/>
      <c r="J54" s="49"/>
      <c r="K54" s="49"/>
      <c r="L54" s="26"/>
    </row>
    <row r="55" spans="1:12" ht="15">
      <c r="A55" s="26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26"/>
    </row>
    <row r="56" spans="1:12" ht="15">
      <c r="A56" s="26"/>
      <c r="B56" s="49"/>
      <c r="C56" s="48" t="s">
        <v>107</v>
      </c>
      <c r="D56" s="49"/>
      <c r="E56" s="49"/>
      <c r="F56" s="49"/>
      <c r="G56" s="49"/>
      <c r="H56" s="49"/>
      <c r="I56" s="49"/>
      <c r="J56" s="49"/>
      <c r="K56" s="49"/>
      <c r="L56" s="26"/>
    </row>
    <row r="57" spans="1:12" ht="15">
      <c r="A57" s="26"/>
      <c r="B57" s="49"/>
      <c r="C57" s="49"/>
      <c r="D57" s="48" t="s">
        <v>114</v>
      </c>
      <c r="E57" s="49"/>
      <c r="F57" s="49"/>
      <c r="G57" s="49"/>
      <c r="H57" s="49"/>
      <c r="I57" s="49"/>
      <c r="J57" s="49"/>
      <c r="K57" s="49"/>
      <c r="L57" s="26"/>
    </row>
    <row r="58" spans="1:12" ht="15">
      <c r="A58" s="26"/>
      <c r="B58" s="49"/>
      <c r="C58" s="49"/>
      <c r="D58" s="48" t="s">
        <v>115</v>
      </c>
      <c r="E58" s="49"/>
      <c r="F58" s="49"/>
      <c r="G58" s="49"/>
      <c r="H58" s="49"/>
      <c r="I58" s="49"/>
      <c r="J58" s="49"/>
      <c r="K58" s="49"/>
      <c r="L58" s="26"/>
    </row>
    <row r="59" spans="1:12" ht="15.75" thickBot="1">
      <c r="A59" s="26"/>
      <c r="B59" s="49"/>
      <c r="C59" s="25"/>
      <c r="D59" s="25"/>
      <c r="E59" s="25"/>
      <c r="F59" s="25"/>
      <c r="G59" s="25"/>
      <c r="H59" s="25"/>
      <c r="I59" s="49"/>
      <c r="J59" s="49"/>
      <c r="K59" s="49"/>
      <c r="L59" s="26"/>
    </row>
    <row r="60" spans="1:12" ht="15">
      <c r="A60" s="26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26"/>
    </row>
    <row r="61" spans="1:12" ht="15">
      <c r="A61" s="26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26"/>
    </row>
    <row r="62" spans="1:12" ht="15">
      <c r="A62" s="26"/>
      <c r="B62" s="49"/>
      <c r="C62" s="244" t="s">
        <v>424</v>
      </c>
      <c r="D62" s="136"/>
      <c r="E62" s="136"/>
      <c r="F62" s="136"/>
      <c r="G62" s="136"/>
      <c r="H62" s="136"/>
      <c r="I62" s="136"/>
      <c r="J62" s="136"/>
      <c r="K62" s="49"/>
      <c r="L62" s="26"/>
    </row>
    <row r="63" spans="1:12" ht="15">
      <c r="A63" s="26"/>
      <c r="B63" s="49"/>
      <c r="C63" s="279"/>
      <c r="D63" s="280"/>
      <c r="E63" s="280"/>
      <c r="F63" s="280"/>
      <c r="G63" s="280"/>
      <c r="H63" s="280"/>
      <c r="I63" s="280"/>
      <c r="J63" s="280"/>
      <c r="K63" s="49"/>
      <c r="L63" s="26"/>
    </row>
    <row r="64" spans="1:12" ht="15">
      <c r="A64" s="26"/>
      <c r="B64" s="49"/>
      <c r="C64" s="49"/>
      <c r="D64" s="205" t="s">
        <v>95</v>
      </c>
      <c r="E64" s="49"/>
      <c r="F64" s="49"/>
      <c r="G64" s="316" t="s">
        <v>96</v>
      </c>
      <c r="H64" s="316"/>
      <c r="I64" s="223" t="s">
        <v>459</v>
      </c>
      <c r="J64" s="49"/>
      <c r="K64" s="49"/>
      <c r="L64" s="26"/>
    </row>
    <row r="65" spans="1:12" ht="15">
      <c r="A65" s="26"/>
      <c r="B65" s="49"/>
      <c r="C65" s="37" t="s">
        <v>97</v>
      </c>
      <c r="D65" s="36" t="s">
        <v>98</v>
      </c>
      <c r="E65" s="36" t="s">
        <v>116</v>
      </c>
      <c r="F65" s="36" t="s">
        <v>100</v>
      </c>
      <c r="G65" s="36" t="s">
        <v>101</v>
      </c>
      <c r="H65" s="36" t="s">
        <v>102</v>
      </c>
      <c r="I65" s="224" t="s">
        <v>458</v>
      </c>
      <c r="J65" s="36" t="s">
        <v>104</v>
      </c>
      <c r="K65" s="49"/>
      <c r="L65" s="26"/>
    </row>
    <row r="66" spans="1:12" ht="15.75">
      <c r="A66" s="26"/>
      <c r="B66" s="206">
        <v>1</v>
      </c>
      <c r="C66" s="44" t="s">
        <v>369</v>
      </c>
      <c r="D66" s="201"/>
      <c r="E66" s="201">
        <v>2</v>
      </c>
      <c r="F66" s="201">
        <v>10</v>
      </c>
      <c r="G66" s="201">
        <v>28</v>
      </c>
      <c r="H66" s="201">
        <v>42</v>
      </c>
      <c r="I66" s="225">
        <v>0.17</v>
      </c>
      <c r="J66" s="220">
        <f>I66*(3*H66+4*G66)*E66</f>
        <v>80.92</v>
      </c>
      <c r="K66" s="49"/>
      <c r="L66" s="26"/>
    </row>
    <row r="67" spans="1:12" ht="15.75">
      <c r="A67" s="26"/>
      <c r="B67" s="206">
        <v>2</v>
      </c>
      <c r="C67" s="44"/>
      <c r="D67" s="201"/>
      <c r="E67" s="201"/>
      <c r="F67" s="201"/>
      <c r="G67" s="201"/>
      <c r="H67" s="201"/>
      <c r="I67" s="225">
        <v>0.17</v>
      </c>
      <c r="J67" s="220">
        <f>I67*(3*H67+4*G67)*E67</f>
        <v>0</v>
      </c>
      <c r="K67" s="49"/>
      <c r="L67" s="26"/>
    </row>
    <row r="68" spans="1:12" ht="15.75">
      <c r="A68" s="26"/>
      <c r="B68" s="206">
        <v>3</v>
      </c>
      <c r="C68" s="44"/>
      <c r="D68" s="201"/>
      <c r="E68" s="201"/>
      <c r="F68" s="201"/>
      <c r="G68" s="201"/>
      <c r="H68" s="201"/>
      <c r="I68" s="225">
        <v>0.17</v>
      </c>
      <c r="J68" s="220">
        <f>I68*(3*H68+4*G68)*E68</f>
        <v>0</v>
      </c>
      <c r="K68" s="49"/>
      <c r="L68" s="26"/>
    </row>
    <row r="69" spans="1:12" ht="15.75">
      <c r="A69" s="26"/>
      <c r="B69" s="206">
        <v>4</v>
      </c>
      <c r="C69" s="44"/>
      <c r="D69" s="201"/>
      <c r="E69" s="201"/>
      <c r="F69" s="201"/>
      <c r="G69" s="201"/>
      <c r="H69" s="201"/>
      <c r="I69" s="225">
        <v>0.17</v>
      </c>
      <c r="J69" s="220">
        <f>I69*(3*H69+4*G69)*E69</f>
        <v>0</v>
      </c>
      <c r="K69" s="49"/>
      <c r="L69" s="26"/>
    </row>
    <row r="70" spans="1:12" ht="15.75">
      <c r="A70" s="26"/>
      <c r="B70" s="206">
        <v>5</v>
      </c>
      <c r="C70" s="45"/>
      <c r="D70" s="42"/>
      <c r="E70" s="42"/>
      <c r="F70" s="42"/>
      <c r="G70" s="42"/>
      <c r="H70" s="42"/>
      <c r="I70" s="226">
        <v>0.17</v>
      </c>
      <c r="J70" s="38">
        <f>I70*(3*H70+4*G70)*E70</f>
        <v>0</v>
      </c>
      <c r="K70" s="49"/>
      <c r="L70" s="26"/>
    </row>
    <row r="71" spans="1:12" ht="15.75">
      <c r="A71" s="26"/>
      <c r="B71" s="49"/>
      <c r="C71" s="49"/>
      <c r="D71" s="49"/>
      <c r="E71" s="49"/>
      <c r="F71" s="49"/>
      <c r="G71" s="82"/>
      <c r="H71" s="49"/>
      <c r="I71" s="206" t="s">
        <v>375</v>
      </c>
      <c r="J71" s="221">
        <f>SUM(J66:J70)</f>
        <v>80.92</v>
      </c>
      <c r="K71" s="49"/>
      <c r="L71" s="26"/>
    </row>
    <row r="72" spans="1:12" ht="15.75" thickBot="1">
      <c r="A72" s="26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26"/>
    </row>
    <row r="73" spans="1:12" ht="15">
      <c r="A73" s="26"/>
      <c r="B73" s="49"/>
      <c r="C73" s="23"/>
      <c r="D73" s="23"/>
      <c r="E73" s="23"/>
      <c r="F73" s="23"/>
      <c r="G73" s="23"/>
      <c r="H73" s="23"/>
      <c r="I73" s="49"/>
      <c r="J73" s="49"/>
      <c r="K73" s="49"/>
      <c r="L73" s="26"/>
    </row>
    <row r="74" spans="1:12" ht="15">
      <c r="A74" s="26"/>
      <c r="B74" s="49"/>
      <c r="C74" s="48" t="s">
        <v>383</v>
      </c>
      <c r="D74" s="49"/>
      <c r="E74" s="49"/>
      <c r="F74" s="49"/>
      <c r="G74" s="49"/>
      <c r="H74" s="49"/>
      <c r="I74" s="49"/>
      <c r="J74" s="49"/>
      <c r="K74" s="49"/>
      <c r="L74" s="26"/>
    </row>
    <row r="75" spans="1:12" ht="15">
      <c r="A75" s="26"/>
      <c r="B75" s="49"/>
      <c r="C75" s="48" t="s">
        <v>384</v>
      </c>
      <c r="D75" s="49"/>
      <c r="E75" s="49"/>
      <c r="F75" s="49"/>
      <c r="G75" s="49"/>
      <c r="H75" s="49"/>
      <c r="I75" s="49"/>
      <c r="J75" s="49"/>
      <c r="K75" s="49"/>
      <c r="L75" s="26"/>
    </row>
    <row r="76" spans="1:12" ht="15">
      <c r="A76" s="26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26"/>
    </row>
    <row r="77" spans="1:12" ht="15">
      <c r="A77" s="26"/>
      <c r="B77" s="49"/>
      <c r="C77" s="48" t="s">
        <v>107</v>
      </c>
      <c r="D77" s="49"/>
      <c r="E77" s="49"/>
      <c r="F77" s="49"/>
      <c r="G77" s="49"/>
      <c r="H77" s="49"/>
      <c r="I77" s="49"/>
      <c r="J77" s="49"/>
      <c r="K77" s="49"/>
      <c r="L77" s="26"/>
    </row>
    <row r="78" spans="1:12" ht="15">
      <c r="A78" s="26"/>
      <c r="B78" s="49"/>
      <c r="C78" s="49"/>
      <c r="D78" s="48" t="s">
        <v>117</v>
      </c>
      <c r="E78" s="49"/>
      <c r="F78" s="49"/>
      <c r="G78" s="49"/>
      <c r="H78" s="49"/>
      <c r="I78" s="49"/>
      <c r="J78" s="49"/>
      <c r="K78" s="49"/>
      <c r="L78" s="26"/>
    </row>
    <row r="79" spans="1:12" ht="15">
      <c r="A79" s="26"/>
      <c r="B79" s="49"/>
      <c r="C79" s="49"/>
      <c r="D79" s="48" t="s">
        <v>118</v>
      </c>
      <c r="E79" s="49"/>
      <c r="F79" s="49"/>
      <c r="G79" s="49"/>
      <c r="H79" s="49"/>
      <c r="I79" s="49"/>
      <c r="J79" s="49"/>
      <c r="K79" s="49"/>
      <c r="L79" s="26"/>
    </row>
    <row r="80" spans="1:12" ht="15">
      <c r="A80" s="26"/>
      <c r="B80" s="49"/>
      <c r="C80" s="49"/>
      <c r="D80" s="48" t="s">
        <v>119</v>
      </c>
      <c r="E80" s="49"/>
      <c r="F80" s="49"/>
      <c r="G80" s="49"/>
      <c r="H80" s="49"/>
      <c r="I80" s="49"/>
      <c r="J80" s="49"/>
      <c r="K80" s="49"/>
      <c r="L80" s="26"/>
    </row>
    <row r="81" spans="1:12" ht="15.75" thickBot="1">
      <c r="A81" s="26"/>
      <c r="B81" s="49"/>
      <c r="C81" s="25"/>
      <c r="D81" s="25"/>
      <c r="E81" s="25"/>
      <c r="F81" s="25"/>
      <c r="G81" s="25"/>
      <c r="H81" s="25"/>
      <c r="I81" s="49"/>
      <c r="J81" s="49"/>
      <c r="K81" s="49"/>
      <c r="L81" s="26"/>
    </row>
    <row r="82" spans="1:12" ht="15">
      <c r="A82" s="26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26"/>
    </row>
    <row r="83" spans="1:12" ht="15">
      <c r="A83" s="26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26"/>
    </row>
    <row r="84" spans="1:12" ht="15">
      <c r="A84" s="26"/>
      <c r="B84" s="49"/>
      <c r="C84" s="244" t="s">
        <v>120</v>
      </c>
      <c r="D84" s="136"/>
      <c r="E84" s="136"/>
      <c r="F84" s="136"/>
      <c r="G84" s="136"/>
      <c r="H84" s="136"/>
      <c r="I84" s="136"/>
      <c r="J84" s="136"/>
      <c r="K84" s="49"/>
      <c r="L84" s="26"/>
    </row>
    <row r="85" spans="1:12" ht="15">
      <c r="A85" s="26"/>
      <c r="B85" s="49"/>
      <c r="C85" s="49"/>
      <c r="D85" s="205" t="s">
        <v>95</v>
      </c>
      <c r="E85" s="49"/>
      <c r="F85" s="49"/>
      <c r="G85" s="49"/>
      <c r="H85" s="49"/>
      <c r="I85" s="49"/>
      <c r="J85" s="49"/>
      <c r="K85" s="49"/>
      <c r="L85" s="26"/>
    </row>
    <row r="86" spans="1:12" ht="15">
      <c r="A86" s="26"/>
      <c r="B86" s="49"/>
      <c r="C86" s="37" t="s">
        <v>97</v>
      </c>
      <c r="D86" s="36" t="s">
        <v>98</v>
      </c>
      <c r="E86" s="36" t="s">
        <v>116</v>
      </c>
      <c r="F86" s="36" t="s">
        <v>100</v>
      </c>
      <c r="G86" s="316" t="s">
        <v>121</v>
      </c>
      <c r="H86" s="316"/>
      <c r="I86" s="39"/>
      <c r="J86" s="36" t="s">
        <v>104</v>
      </c>
      <c r="K86" s="49"/>
      <c r="L86" s="26"/>
    </row>
    <row r="87" spans="1:12" ht="15.75">
      <c r="A87" s="26"/>
      <c r="B87" s="49">
        <v>1</v>
      </c>
      <c r="C87" s="219" t="s">
        <v>122</v>
      </c>
      <c r="D87" s="201"/>
      <c r="E87" s="201">
        <v>3</v>
      </c>
      <c r="F87" s="201">
        <v>2</v>
      </c>
      <c r="G87" s="44">
        <v>8</v>
      </c>
      <c r="H87" s="48" t="s">
        <v>123</v>
      </c>
      <c r="I87" s="49"/>
      <c r="J87" s="220">
        <f>E87*F87*G87</f>
        <v>48</v>
      </c>
      <c r="K87" s="49"/>
      <c r="L87" s="26"/>
    </row>
    <row r="88" spans="1:12" ht="15.75">
      <c r="A88" s="26"/>
      <c r="B88" s="49">
        <v>2</v>
      </c>
      <c r="C88" s="219" t="s">
        <v>122</v>
      </c>
      <c r="D88" s="201"/>
      <c r="E88" s="201">
        <v>3</v>
      </c>
      <c r="F88" s="201">
        <v>1</v>
      </c>
      <c r="G88" s="44">
        <v>10</v>
      </c>
      <c r="H88" s="48" t="s">
        <v>123</v>
      </c>
      <c r="I88" s="49"/>
      <c r="J88" s="220">
        <f>E88*F88*G88</f>
        <v>30</v>
      </c>
      <c r="K88" s="49"/>
      <c r="L88" s="26"/>
    </row>
    <row r="89" spans="1:12" ht="15.75">
      <c r="A89" s="26"/>
      <c r="B89" s="49">
        <v>3</v>
      </c>
      <c r="C89" s="219" t="s">
        <v>124</v>
      </c>
      <c r="D89" s="201"/>
      <c r="E89" s="201">
        <v>2</v>
      </c>
      <c r="F89" s="201">
        <v>1</v>
      </c>
      <c r="G89" s="44">
        <v>15</v>
      </c>
      <c r="H89" s="48" t="s">
        <v>123</v>
      </c>
      <c r="I89" s="49"/>
      <c r="J89" s="220">
        <f>E89*F89*G89</f>
        <v>30</v>
      </c>
      <c r="K89" s="49"/>
      <c r="L89" s="26"/>
    </row>
    <row r="90" spans="1:12" ht="15.75">
      <c r="A90" s="26"/>
      <c r="B90" s="49">
        <v>4</v>
      </c>
      <c r="C90" s="47"/>
      <c r="D90" s="42"/>
      <c r="E90" s="42"/>
      <c r="F90" s="42"/>
      <c r="G90" s="45"/>
      <c r="H90" s="37" t="s">
        <v>123</v>
      </c>
      <c r="I90" s="39"/>
      <c r="J90" s="38">
        <f>E90*F90*G90</f>
        <v>0</v>
      </c>
      <c r="K90" s="49"/>
      <c r="L90" s="26"/>
    </row>
    <row r="91" spans="1:12" ht="15.75">
      <c r="A91" s="26"/>
      <c r="B91" s="49"/>
      <c r="C91" s="49"/>
      <c r="D91" s="49"/>
      <c r="E91" s="49"/>
      <c r="F91" s="48" t="s">
        <v>381</v>
      </c>
      <c r="G91" s="49"/>
      <c r="H91" s="49"/>
      <c r="I91" s="49"/>
      <c r="J91" s="221">
        <f>SUM(J87:J90)</f>
        <v>108</v>
      </c>
      <c r="K91" s="49"/>
      <c r="L91" s="26"/>
    </row>
    <row r="92" spans="1:12" ht="15.75" thickBot="1">
      <c r="A92" s="26"/>
      <c r="B92" s="49"/>
      <c r="C92" s="46"/>
      <c r="D92" s="46"/>
      <c r="E92" s="46"/>
      <c r="F92" s="46"/>
      <c r="G92" s="46"/>
      <c r="H92" s="46"/>
      <c r="I92" s="49"/>
      <c r="J92" s="49"/>
      <c r="K92" s="49"/>
      <c r="L92" s="26"/>
    </row>
    <row r="93" spans="1:12" ht="15">
      <c r="A93" s="26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26"/>
    </row>
    <row r="94" spans="1:12" ht="15">
      <c r="A94" s="26"/>
      <c r="B94" s="49"/>
      <c r="C94" s="48" t="s">
        <v>107</v>
      </c>
      <c r="D94" s="49"/>
      <c r="E94" s="49"/>
      <c r="F94" s="49"/>
      <c r="G94" s="49"/>
      <c r="H94" s="49"/>
      <c r="I94" s="49"/>
      <c r="J94" s="49"/>
      <c r="K94" s="49"/>
      <c r="L94" s="26"/>
    </row>
    <row r="95" spans="1:12" ht="15">
      <c r="A95" s="26"/>
      <c r="B95" s="49"/>
      <c r="C95" s="49"/>
      <c r="D95" s="48" t="s">
        <v>125</v>
      </c>
      <c r="E95" s="49"/>
      <c r="F95" s="49"/>
      <c r="G95" s="49"/>
      <c r="H95" s="49"/>
      <c r="I95" s="49"/>
      <c r="J95" s="49"/>
      <c r="K95" s="49"/>
      <c r="L95" s="26"/>
    </row>
    <row r="96" spans="1:12" ht="15">
      <c r="A96" s="26"/>
      <c r="B96" s="49"/>
      <c r="C96" s="49"/>
      <c r="D96" s="48" t="s">
        <v>126</v>
      </c>
      <c r="E96" s="49"/>
      <c r="F96" s="49"/>
      <c r="G96" s="49"/>
      <c r="H96" s="49"/>
      <c r="I96" s="49"/>
      <c r="J96" s="49"/>
      <c r="K96" s="49"/>
      <c r="L96" s="26"/>
    </row>
    <row r="97" spans="1:12" ht="15.75" thickBot="1">
      <c r="A97" s="26"/>
      <c r="B97" s="49"/>
      <c r="C97" s="25"/>
      <c r="D97" s="25"/>
      <c r="E97" s="25"/>
      <c r="F97" s="25"/>
      <c r="G97" s="25"/>
      <c r="H97" s="25"/>
      <c r="I97" s="49"/>
      <c r="J97" s="49"/>
      <c r="K97" s="49"/>
      <c r="L97" s="26"/>
    </row>
    <row r="98" spans="1:12" ht="15">
      <c r="A98" s="26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26"/>
    </row>
    <row r="99" spans="1:12" ht="15">
      <c r="A99" s="26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26"/>
    </row>
    <row r="100" spans="1:12" ht="15">
      <c r="A100" s="26"/>
      <c r="B100" s="49"/>
      <c r="C100" s="244" t="s">
        <v>127</v>
      </c>
      <c r="D100" s="136"/>
      <c r="E100" s="136"/>
      <c r="F100" s="136"/>
      <c r="G100" s="136"/>
      <c r="H100" s="136"/>
      <c r="I100" s="136"/>
      <c r="J100" s="136"/>
      <c r="K100" s="49"/>
      <c r="L100" s="26"/>
    </row>
    <row r="101" spans="1:12" ht="15">
      <c r="A101" s="26"/>
      <c r="B101" s="49"/>
      <c r="C101" s="49"/>
      <c r="D101" s="82"/>
      <c r="E101" s="82"/>
      <c r="F101" s="82"/>
      <c r="G101" s="82"/>
      <c r="H101" s="82"/>
      <c r="I101" s="82"/>
      <c r="J101" s="82"/>
      <c r="K101" s="49"/>
      <c r="L101" s="26"/>
    </row>
    <row r="102" spans="1:12" ht="15">
      <c r="A102" s="26"/>
      <c r="B102" s="49"/>
      <c r="C102" s="37" t="s">
        <v>129</v>
      </c>
      <c r="D102" s="36" t="s">
        <v>116</v>
      </c>
      <c r="E102" s="39"/>
      <c r="F102" s="36" t="s">
        <v>100</v>
      </c>
      <c r="G102" s="39"/>
      <c r="H102" s="316" t="s">
        <v>376</v>
      </c>
      <c r="I102" s="316"/>
      <c r="J102" s="36" t="s">
        <v>128</v>
      </c>
      <c r="K102" s="49"/>
      <c r="L102" s="26"/>
    </row>
    <row r="103" spans="1:12" ht="15.75">
      <c r="A103" s="26"/>
      <c r="B103" s="49">
        <v>1</v>
      </c>
      <c r="C103" s="219" t="s">
        <v>370</v>
      </c>
      <c r="D103" s="201">
        <v>2.5</v>
      </c>
      <c r="E103" s="49"/>
      <c r="F103" s="201">
        <v>1</v>
      </c>
      <c r="G103" s="49"/>
      <c r="H103" s="44">
        <v>30</v>
      </c>
      <c r="I103" s="48" t="s">
        <v>123</v>
      </c>
      <c r="J103" s="220">
        <f>D103*F103*H103</f>
        <v>75</v>
      </c>
      <c r="K103" s="49"/>
      <c r="L103" s="26"/>
    </row>
    <row r="104" spans="1:12" ht="15.75">
      <c r="A104" s="26"/>
      <c r="B104" s="49">
        <v>2</v>
      </c>
      <c r="C104" s="219" t="s">
        <v>370</v>
      </c>
      <c r="D104" s="201">
        <v>2.5</v>
      </c>
      <c r="E104" s="49"/>
      <c r="F104" s="201">
        <v>1</v>
      </c>
      <c r="G104" s="49"/>
      <c r="H104" s="44">
        <v>24</v>
      </c>
      <c r="I104" s="48" t="s">
        <v>123</v>
      </c>
      <c r="J104" s="220">
        <f>D104*F104*H104</f>
        <v>60</v>
      </c>
      <c r="K104" s="49"/>
      <c r="L104" s="26"/>
    </row>
    <row r="105" spans="1:12" ht="15.75">
      <c r="A105" s="26"/>
      <c r="B105" s="49">
        <v>3</v>
      </c>
      <c r="C105" s="44" t="s">
        <v>371</v>
      </c>
      <c r="D105" s="201">
        <v>3.5</v>
      </c>
      <c r="E105" s="49"/>
      <c r="F105" s="201">
        <v>1</v>
      </c>
      <c r="G105" s="49"/>
      <c r="H105" s="44">
        <v>8</v>
      </c>
      <c r="I105" s="48" t="s">
        <v>123</v>
      </c>
      <c r="J105" s="220">
        <f>D105*F105*H105</f>
        <v>28</v>
      </c>
      <c r="K105" s="49"/>
      <c r="L105" s="26"/>
    </row>
    <row r="106" spans="1:12" ht="15.75">
      <c r="A106" s="26"/>
      <c r="B106" s="49">
        <v>4</v>
      </c>
      <c r="C106" s="45"/>
      <c r="D106" s="42"/>
      <c r="E106" s="39"/>
      <c r="F106" s="42"/>
      <c r="G106" s="39"/>
      <c r="H106" s="45"/>
      <c r="I106" s="37" t="s">
        <v>123</v>
      </c>
      <c r="J106" s="38">
        <f>D106*F106*H106</f>
        <v>0</v>
      </c>
      <c r="K106" s="49"/>
      <c r="L106" s="26"/>
    </row>
    <row r="107" spans="1:12" ht="15.75">
      <c r="A107" s="26"/>
      <c r="B107" s="49"/>
      <c r="C107" s="49"/>
      <c r="D107" s="49"/>
      <c r="E107" s="49"/>
      <c r="F107" s="49"/>
      <c r="G107" s="49"/>
      <c r="H107" s="49"/>
      <c r="I107" s="48" t="s">
        <v>106</v>
      </c>
      <c r="J107" s="221">
        <f>SUM(J103:J106)</f>
        <v>163</v>
      </c>
      <c r="K107" s="49"/>
      <c r="L107" s="26"/>
    </row>
    <row r="108" spans="1:12" ht="15">
      <c r="A108" s="26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26"/>
    </row>
    <row r="109" spans="1:12" ht="15">
      <c r="A109" s="26"/>
      <c r="B109" s="49"/>
      <c r="C109" s="244" t="s">
        <v>130</v>
      </c>
      <c r="D109" s="136"/>
      <c r="E109" s="136"/>
      <c r="F109" s="136"/>
      <c r="G109" s="136"/>
      <c r="H109" s="136"/>
      <c r="I109" s="136"/>
      <c r="J109" s="136"/>
      <c r="K109" s="49"/>
      <c r="L109" s="26"/>
    </row>
    <row r="110" spans="1:12" ht="15">
      <c r="A110" s="26"/>
      <c r="B110" s="49"/>
      <c r="C110" s="49"/>
      <c r="D110" s="82"/>
      <c r="E110" s="82"/>
      <c r="F110" s="82"/>
      <c r="G110" s="82"/>
      <c r="H110" s="82"/>
      <c r="I110" s="82"/>
      <c r="J110" s="82"/>
      <c r="K110" s="49"/>
      <c r="L110" s="26"/>
    </row>
    <row r="111" spans="1:12" ht="15">
      <c r="A111" s="26"/>
      <c r="B111" s="49"/>
      <c r="C111" s="37" t="s">
        <v>129</v>
      </c>
      <c r="D111" s="36" t="s">
        <v>116</v>
      </c>
      <c r="E111" s="39"/>
      <c r="F111" s="36" t="s">
        <v>100</v>
      </c>
      <c r="G111" s="39"/>
      <c r="H111" s="316" t="s">
        <v>377</v>
      </c>
      <c r="I111" s="316"/>
      <c r="J111" s="36" t="s">
        <v>128</v>
      </c>
      <c r="K111" s="49"/>
      <c r="L111" s="26"/>
    </row>
    <row r="112" spans="1:12" ht="15.75">
      <c r="A112" s="26"/>
      <c r="B112" s="49">
        <v>1</v>
      </c>
      <c r="C112" s="44" t="s">
        <v>372</v>
      </c>
      <c r="D112" s="201">
        <v>1</v>
      </c>
      <c r="E112" s="49"/>
      <c r="F112" s="201">
        <v>5</v>
      </c>
      <c r="G112" s="49"/>
      <c r="H112" s="44">
        <v>2</v>
      </c>
      <c r="I112" s="48" t="s">
        <v>123</v>
      </c>
      <c r="J112" s="220">
        <f>D112*F112*H112</f>
        <v>10</v>
      </c>
      <c r="K112" s="49"/>
      <c r="L112" s="26"/>
    </row>
    <row r="113" spans="1:12" ht="15.75">
      <c r="A113" s="26"/>
      <c r="B113" s="49">
        <v>2</v>
      </c>
      <c r="C113" s="44"/>
      <c r="D113" s="201"/>
      <c r="E113" s="49"/>
      <c r="F113" s="201"/>
      <c r="G113" s="49"/>
      <c r="H113" s="44"/>
      <c r="I113" s="48" t="s">
        <v>123</v>
      </c>
      <c r="J113" s="220">
        <f>D113*F113*H113</f>
        <v>0</v>
      </c>
      <c r="K113" s="49"/>
      <c r="L113" s="26"/>
    </row>
    <row r="114" spans="1:12" ht="15.75">
      <c r="A114" s="26"/>
      <c r="B114" s="49">
        <v>3</v>
      </c>
      <c r="C114" s="44"/>
      <c r="D114" s="201"/>
      <c r="E114" s="49"/>
      <c r="F114" s="201"/>
      <c r="G114" s="49"/>
      <c r="H114" s="44"/>
      <c r="I114" s="48" t="s">
        <v>123</v>
      </c>
      <c r="J114" s="220">
        <f>D114*F114*H114</f>
        <v>0</v>
      </c>
      <c r="K114" s="49"/>
      <c r="L114" s="26"/>
    </row>
    <row r="115" spans="1:12" ht="15.75">
      <c r="A115" s="26"/>
      <c r="B115" s="49">
        <v>4</v>
      </c>
      <c r="C115" s="45"/>
      <c r="D115" s="42"/>
      <c r="E115" s="39"/>
      <c r="F115" s="42"/>
      <c r="G115" s="39"/>
      <c r="H115" s="45"/>
      <c r="I115" s="37" t="s">
        <v>123</v>
      </c>
      <c r="J115" s="38">
        <f>D115*F115*H115</f>
        <v>0</v>
      </c>
      <c r="K115" s="49"/>
      <c r="L115" s="26"/>
    </row>
    <row r="116" spans="1:12" ht="15.75">
      <c r="A116" s="26"/>
      <c r="B116" s="49"/>
      <c r="C116" s="49"/>
      <c r="D116" s="49"/>
      <c r="E116" s="49"/>
      <c r="F116" s="49"/>
      <c r="G116" s="49"/>
      <c r="H116" s="49"/>
      <c r="I116" s="48" t="s">
        <v>106</v>
      </c>
      <c r="J116" s="221">
        <f>SUM(J112:J115)</f>
        <v>10</v>
      </c>
      <c r="K116" s="49"/>
      <c r="L116" s="26"/>
    </row>
    <row r="117" spans="1:12" ht="15">
      <c r="A117" s="26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26"/>
    </row>
    <row r="118" spans="1:12" ht="15.75" thickBot="1">
      <c r="A118" s="26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26"/>
    </row>
    <row r="119" spans="1:12" ht="15">
      <c r="A119" s="26"/>
      <c r="B119" s="49"/>
      <c r="C119" s="23"/>
      <c r="D119" s="23"/>
      <c r="E119" s="23"/>
      <c r="F119" s="23"/>
      <c r="G119" s="23"/>
      <c r="H119" s="23"/>
      <c r="I119" s="49"/>
      <c r="J119" s="49"/>
      <c r="K119" s="49"/>
      <c r="L119" s="26"/>
    </row>
    <row r="120" spans="1:12" ht="15">
      <c r="A120" s="26"/>
      <c r="B120" s="49"/>
      <c r="C120" s="48" t="s">
        <v>107</v>
      </c>
      <c r="D120" s="49"/>
      <c r="E120" s="49"/>
      <c r="F120" s="49"/>
      <c r="G120" s="49"/>
      <c r="H120" s="49"/>
      <c r="I120" s="49"/>
      <c r="J120" s="49"/>
      <c r="K120" s="49"/>
      <c r="L120" s="26"/>
    </row>
    <row r="121" spans="1:12" ht="15">
      <c r="A121" s="26"/>
      <c r="B121" s="49"/>
      <c r="C121" s="49"/>
      <c r="D121" s="48" t="s">
        <v>131</v>
      </c>
      <c r="E121" s="49"/>
      <c r="F121" s="49"/>
      <c r="G121" s="49"/>
      <c r="H121" s="49"/>
      <c r="I121" s="49"/>
      <c r="J121" s="49"/>
      <c r="K121" s="49"/>
      <c r="L121" s="26"/>
    </row>
    <row r="122" spans="1:12" ht="15">
      <c r="A122" s="26"/>
      <c r="B122" s="49"/>
      <c r="C122" s="49"/>
      <c r="D122" s="48" t="s">
        <v>132</v>
      </c>
      <c r="E122" s="49"/>
      <c r="F122" s="49"/>
      <c r="G122" s="49"/>
      <c r="H122" s="49"/>
      <c r="I122" s="49"/>
      <c r="J122" s="49"/>
      <c r="K122" s="49"/>
      <c r="L122" s="26"/>
    </row>
    <row r="123" spans="1:12" ht="15.75" thickBot="1">
      <c r="A123" s="26"/>
      <c r="B123" s="49"/>
      <c r="C123" s="25"/>
      <c r="D123" s="25"/>
      <c r="E123" s="25"/>
      <c r="F123" s="25"/>
      <c r="G123" s="25"/>
      <c r="H123" s="25"/>
      <c r="I123" s="49"/>
      <c r="J123" s="49"/>
      <c r="K123" s="49"/>
      <c r="L123" s="26"/>
    </row>
    <row r="124" spans="1:12" ht="15">
      <c r="A124" s="26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26"/>
    </row>
    <row r="125" spans="1:12" ht="15">
      <c r="A125" s="26"/>
      <c r="B125" s="200"/>
      <c r="C125" s="200"/>
      <c r="D125" s="200"/>
      <c r="E125" s="200"/>
      <c r="F125" s="200"/>
      <c r="G125" s="200"/>
      <c r="H125" s="200"/>
      <c r="I125" s="200"/>
      <c r="J125" s="200"/>
      <c r="K125" s="200"/>
      <c r="L125" s="26"/>
    </row>
    <row r="126" spans="1:12" ht="15">
      <c r="A126" s="26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26"/>
    </row>
    <row r="127" spans="1:12" ht="15.75">
      <c r="A127" s="26"/>
      <c r="B127" s="49"/>
      <c r="C127" s="281" t="s">
        <v>133</v>
      </c>
      <c r="D127" s="282"/>
      <c r="E127" s="282"/>
      <c r="F127" s="282"/>
      <c r="G127" s="282"/>
      <c r="H127" s="282"/>
      <c r="I127" s="282"/>
      <c r="J127" s="282"/>
      <c r="K127" s="49"/>
      <c r="L127" s="26"/>
    </row>
    <row r="128" spans="1:12" ht="15">
      <c r="A128" s="26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26"/>
    </row>
    <row r="129" spans="1:12" ht="15">
      <c r="A129" s="26"/>
      <c r="B129" s="49"/>
      <c r="C129" s="244" t="s">
        <v>464</v>
      </c>
      <c r="D129" s="136"/>
      <c r="E129" s="136"/>
      <c r="F129" s="136"/>
      <c r="G129" s="136"/>
      <c r="H129" s="136"/>
      <c r="I129" s="136"/>
      <c r="J129" s="136"/>
      <c r="K129" s="49"/>
      <c r="L129" s="26"/>
    </row>
    <row r="130" spans="1:12" ht="15.75">
      <c r="A130" s="26"/>
      <c r="B130" s="49"/>
      <c r="C130" s="48" t="s">
        <v>134</v>
      </c>
      <c r="D130" s="49"/>
      <c r="E130" s="287">
        <v>0</v>
      </c>
      <c r="F130" s="49"/>
      <c r="G130" s="49"/>
      <c r="H130" s="49"/>
      <c r="I130" s="49"/>
      <c r="J130" s="49"/>
      <c r="K130" s="49"/>
      <c r="L130" s="26"/>
    </row>
    <row r="131" spans="1:12" ht="15.75">
      <c r="A131" s="26"/>
      <c r="B131" s="49"/>
      <c r="C131" s="48" t="s">
        <v>135</v>
      </c>
      <c r="D131" s="49"/>
      <c r="E131" s="288">
        <v>35</v>
      </c>
      <c r="F131" s="48" t="s">
        <v>136</v>
      </c>
      <c r="G131" s="49"/>
      <c r="H131" s="49"/>
      <c r="I131" s="49"/>
      <c r="J131" s="49"/>
      <c r="K131" s="49"/>
      <c r="L131" s="26"/>
    </row>
    <row r="132" spans="1:12" ht="15.75">
      <c r="A132" s="26"/>
      <c r="B132" s="49"/>
      <c r="C132" s="48" t="s">
        <v>137</v>
      </c>
      <c r="D132" s="49"/>
      <c r="E132" s="288"/>
      <c r="F132" s="49"/>
      <c r="G132" s="49"/>
      <c r="H132" s="49"/>
      <c r="I132" s="49"/>
      <c r="J132" s="49"/>
      <c r="K132" s="49"/>
      <c r="L132" s="26"/>
    </row>
    <row r="133" spans="1:12" ht="15.75">
      <c r="A133" s="26"/>
      <c r="B133" s="49"/>
      <c r="C133" s="48" t="s">
        <v>465</v>
      </c>
      <c r="D133" s="49"/>
      <c r="E133" s="306">
        <v>0.5</v>
      </c>
      <c r="F133" s="49"/>
      <c r="G133" s="49"/>
      <c r="H133" s="48" t="s">
        <v>466</v>
      </c>
      <c r="I133" s="291">
        <v>0.3</v>
      </c>
      <c r="J133" s="82"/>
      <c r="K133" s="49"/>
      <c r="L133" s="26"/>
    </row>
    <row r="134" spans="1:12" ht="15">
      <c r="A134" s="26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26"/>
    </row>
    <row r="135" spans="1:12" ht="15.75">
      <c r="A135" s="26"/>
      <c r="B135" s="49"/>
      <c r="C135" s="48" t="s">
        <v>467</v>
      </c>
      <c r="D135" s="49"/>
      <c r="E135" s="290" t="s">
        <v>480</v>
      </c>
      <c r="F135" s="82"/>
      <c r="G135" s="49"/>
      <c r="H135" s="49"/>
      <c r="I135" s="49"/>
      <c r="J135" s="49"/>
      <c r="K135" s="49"/>
      <c r="L135" s="26"/>
    </row>
    <row r="136" spans="1:12" ht="15">
      <c r="A136" s="26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26"/>
    </row>
    <row r="137" spans="1:12" ht="15">
      <c r="A137" s="26"/>
      <c r="B137" s="49"/>
      <c r="C137" s="244" t="s">
        <v>468</v>
      </c>
      <c r="D137" s="136"/>
      <c r="E137" s="136"/>
      <c r="F137" s="136"/>
      <c r="G137" s="136"/>
      <c r="H137" s="136"/>
      <c r="I137" s="136"/>
      <c r="J137" s="136"/>
      <c r="K137" s="49"/>
      <c r="L137" s="26"/>
    </row>
    <row r="138" spans="1:12" ht="15.75">
      <c r="A138" s="26"/>
      <c r="B138" s="49"/>
      <c r="C138" s="48" t="s">
        <v>134</v>
      </c>
      <c r="D138" s="49"/>
      <c r="E138" s="287">
        <v>0</v>
      </c>
      <c r="F138" s="49"/>
      <c r="G138" s="49"/>
      <c r="H138" s="49"/>
      <c r="I138" s="49"/>
      <c r="J138" s="49"/>
      <c r="K138" s="49"/>
      <c r="L138" s="26"/>
    </row>
    <row r="139" spans="1:12" ht="15.75">
      <c r="A139" s="26"/>
      <c r="B139" s="49"/>
      <c r="C139" s="48" t="s">
        <v>135</v>
      </c>
      <c r="D139" s="49"/>
      <c r="E139" s="289" t="s">
        <v>480</v>
      </c>
      <c r="F139" s="49" t="s">
        <v>136</v>
      </c>
      <c r="G139" s="49"/>
      <c r="H139" s="49"/>
      <c r="I139" s="49"/>
      <c r="J139" s="49"/>
      <c r="K139" s="49"/>
      <c r="L139" s="26"/>
    </row>
    <row r="140" spans="1:12" ht="15">
      <c r="A140" s="26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26"/>
    </row>
    <row r="141" spans="1:12" ht="15">
      <c r="A141" s="26"/>
      <c r="B141" s="49"/>
      <c r="C141" s="244" t="s">
        <v>469</v>
      </c>
      <c r="D141" s="136"/>
      <c r="E141" s="136"/>
      <c r="F141" s="136"/>
      <c r="G141" s="136"/>
      <c r="H141" s="136"/>
      <c r="I141" s="136"/>
      <c r="J141" s="136"/>
      <c r="K141" s="49"/>
      <c r="L141" s="26"/>
    </row>
    <row r="142" spans="1:12" ht="15.75">
      <c r="A142" s="26"/>
      <c r="B142" s="49"/>
      <c r="C142" s="48" t="s">
        <v>470</v>
      </c>
      <c r="D142" s="49"/>
      <c r="E142" s="290" t="s">
        <v>480</v>
      </c>
      <c r="F142" s="49"/>
      <c r="G142" s="49"/>
      <c r="H142" s="49"/>
      <c r="I142" s="49"/>
      <c r="J142" s="49"/>
      <c r="K142" s="49"/>
      <c r="L142" s="26"/>
    </row>
    <row r="143" spans="1:12" ht="15">
      <c r="A143" s="26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26"/>
    </row>
    <row r="144" spans="1:12" ht="15">
      <c r="A144" s="26"/>
      <c r="B144" s="49"/>
      <c r="C144" s="244" t="s">
        <v>471</v>
      </c>
      <c r="D144" s="136"/>
      <c r="E144" s="136"/>
      <c r="F144" s="136"/>
      <c r="G144" s="136"/>
      <c r="H144" s="136"/>
      <c r="I144" s="136"/>
      <c r="J144" s="136"/>
      <c r="K144" s="49"/>
      <c r="L144" s="26"/>
    </row>
    <row r="145" spans="1:12" ht="15.75">
      <c r="A145" s="26"/>
      <c r="B145" s="49"/>
      <c r="C145" s="48" t="s">
        <v>470</v>
      </c>
      <c r="D145" s="49"/>
      <c r="E145" s="290" t="s">
        <v>480</v>
      </c>
      <c r="F145" s="49"/>
      <c r="G145" s="49"/>
      <c r="H145" s="49"/>
      <c r="I145" s="49"/>
      <c r="J145" s="49"/>
      <c r="K145" s="49"/>
      <c r="L145" s="26"/>
    </row>
    <row r="146" spans="1:12" ht="15">
      <c r="A146" s="26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26"/>
    </row>
    <row r="147" spans="1:12" ht="15">
      <c r="A147" s="26"/>
      <c r="B147" s="49"/>
      <c r="C147" s="244" t="s">
        <v>138</v>
      </c>
      <c r="D147" s="136"/>
      <c r="E147" s="136"/>
      <c r="F147" s="136"/>
      <c r="G147" s="136"/>
      <c r="H147" s="136"/>
      <c r="I147" s="136"/>
      <c r="J147" s="136"/>
      <c r="K147" s="49"/>
      <c r="L147" s="26"/>
    </row>
    <row r="148" spans="1:12" ht="15.75">
      <c r="A148" s="26"/>
      <c r="B148" s="49"/>
      <c r="C148" s="48" t="s">
        <v>134</v>
      </c>
      <c r="D148" s="49"/>
      <c r="E148" s="43">
        <v>1</v>
      </c>
      <c r="F148" s="49"/>
      <c r="G148" s="49"/>
      <c r="H148" s="49"/>
      <c r="I148" s="49"/>
      <c r="J148" s="49"/>
      <c r="K148" s="49"/>
      <c r="L148" s="26"/>
    </row>
    <row r="149" spans="1:12" ht="15.75">
      <c r="A149" s="26"/>
      <c r="B149" s="49"/>
      <c r="C149" s="48" t="s">
        <v>135</v>
      </c>
      <c r="D149" s="49"/>
      <c r="E149" s="44">
        <v>21</v>
      </c>
      <c r="F149" s="49" t="s">
        <v>136</v>
      </c>
      <c r="G149" s="236" t="s">
        <v>139</v>
      </c>
      <c r="H149" s="27">
        <v>1</v>
      </c>
      <c r="I149" s="28"/>
      <c r="J149" s="29" t="s">
        <v>51</v>
      </c>
      <c r="K149" s="49"/>
      <c r="L149" s="26"/>
    </row>
    <row r="150" spans="1:12" ht="15.75">
      <c r="A150" s="26"/>
      <c r="B150" s="49"/>
      <c r="C150" s="48" t="s">
        <v>140</v>
      </c>
      <c r="D150" s="49"/>
      <c r="E150" s="44">
        <v>2</v>
      </c>
      <c r="F150" s="237" t="s">
        <v>141</v>
      </c>
      <c r="G150" s="236" t="s">
        <v>142</v>
      </c>
      <c r="H150" s="30">
        <v>2</v>
      </c>
      <c r="I150" s="238" t="s">
        <v>143</v>
      </c>
      <c r="J150" s="31" t="s">
        <v>144</v>
      </c>
      <c r="K150" s="24"/>
      <c r="L150" s="26"/>
    </row>
    <row r="151" spans="1:12" ht="15.75">
      <c r="A151" s="26"/>
      <c r="B151" s="49"/>
      <c r="C151" s="48" t="s">
        <v>137</v>
      </c>
      <c r="D151" s="49"/>
      <c r="E151" s="45">
        <v>0</v>
      </c>
      <c r="F151" s="49"/>
      <c r="G151" s="236" t="s">
        <v>145</v>
      </c>
      <c r="H151" s="32">
        <v>3</v>
      </c>
      <c r="I151" s="33"/>
      <c r="J151" s="34" t="s">
        <v>72</v>
      </c>
      <c r="K151" s="49"/>
      <c r="L151" s="26"/>
    </row>
    <row r="152" spans="1:12" ht="15">
      <c r="A152" s="26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26"/>
    </row>
    <row r="153" spans="1:12" ht="15.75">
      <c r="A153" s="26"/>
      <c r="B153" s="49"/>
      <c r="C153" s="48" t="s">
        <v>146</v>
      </c>
      <c r="D153" s="49"/>
      <c r="E153" s="43">
        <v>500</v>
      </c>
      <c r="F153" s="49"/>
      <c r="G153" s="49"/>
      <c r="H153" s="49"/>
      <c r="I153" s="49"/>
      <c r="J153" s="49"/>
      <c r="K153" s="49"/>
      <c r="L153" s="26"/>
    </row>
    <row r="154" spans="1:12" ht="15.75">
      <c r="A154" s="26"/>
      <c r="B154" s="49"/>
      <c r="C154" s="48" t="s">
        <v>147</v>
      </c>
      <c r="D154" s="49"/>
      <c r="E154" s="44">
        <v>200</v>
      </c>
      <c r="F154" s="49" t="s">
        <v>508</v>
      </c>
      <c r="G154" s="49"/>
      <c r="H154" s="49"/>
      <c r="I154" s="49"/>
      <c r="J154" s="49"/>
      <c r="K154" s="49"/>
      <c r="L154" s="26"/>
    </row>
    <row r="155" spans="1:12" ht="15.75">
      <c r="A155" s="26"/>
      <c r="B155" s="49"/>
      <c r="C155" s="48" t="s">
        <v>148</v>
      </c>
      <c r="D155" s="49"/>
      <c r="E155" s="273">
        <v>1</v>
      </c>
      <c r="F155" s="49"/>
      <c r="G155" s="49"/>
      <c r="H155" s="48" t="s">
        <v>149</v>
      </c>
      <c r="I155" s="49"/>
      <c r="J155" s="274">
        <v>0.02</v>
      </c>
      <c r="K155" s="49"/>
      <c r="L155" s="26"/>
    </row>
    <row r="156" spans="1:12" ht="15">
      <c r="A156" s="26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26"/>
    </row>
    <row r="157" spans="1:12" ht="15">
      <c r="A157" s="26"/>
      <c r="B157" s="49"/>
      <c r="C157" s="244" t="s">
        <v>472</v>
      </c>
      <c r="D157" s="136"/>
      <c r="E157" s="136"/>
      <c r="F157" s="136"/>
      <c r="G157" s="136"/>
      <c r="H157" s="136"/>
      <c r="I157" s="136"/>
      <c r="J157" s="136"/>
      <c r="K157" s="49"/>
      <c r="L157" s="26"/>
    </row>
    <row r="158" spans="1:12" ht="15.75">
      <c r="A158" s="26"/>
      <c r="B158" s="49"/>
      <c r="C158" s="48" t="s">
        <v>134</v>
      </c>
      <c r="D158" s="49"/>
      <c r="E158" s="287">
        <v>2</v>
      </c>
      <c r="F158" s="49"/>
      <c r="G158" s="49"/>
      <c r="H158" s="49"/>
      <c r="I158" s="49"/>
      <c r="J158" s="49"/>
      <c r="K158" s="49"/>
      <c r="L158" s="26"/>
    </row>
    <row r="159" spans="1:12" ht="15.75">
      <c r="A159" s="26"/>
      <c r="B159" s="49"/>
      <c r="C159" s="48" t="s">
        <v>135</v>
      </c>
      <c r="D159" s="49"/>
      <c r="E159" s="288">
        <v>4</v>
      </c>
      <c r="F159" s="49" t="s">
        <v>136</v>
      </c>
      <c r="G159" s="49"/>
      <c r="H159" s="49"/>
      <c r="I159" s="49"/>
      <c r="J159" s="49"/>
      <c r="K159" s="49"/>
      <c r="L159" s="26"/>
    </row>
    <row r="160" spans="1:12" ht="15.75">
      <c r="A160" s="26"/>
      <c r="B160" s="49"/>
      <c r="C160" s="48" t="s">
        <v>137</v>
      </c>
      <c r="D160" s="49"/>
      <c r="E160" s="289">
        <v>3</v>
      </c>
      <c r="F160" s="49" t="s">
        <v>473</v>
      </c>
      <c r="G160" s="49"/>
      <c r="H160" s="49"/>
      <c r="I160" s="49"/>
      <c r="J160" s="49"/>
      <c r="K160" s="49"/>
      <c r="L160" s="26"/>
    </row>
    <row r="161" spans="1:12" ht="15">
      <c r="A161" s="26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26"/>
    </row>
    <row r="162" spans="1:12" ht="15">
      <c r="A162" s="26"/>
      <c r="B162" s="49"/>
      <c r="C162" s="24"/>
      <c r="D162" s="24"/>
      <c r="E162" s="24"/>
      <c r="F162" s="24"/>
      <c r="G162" s="24"/>
      <c r="H162" s="24"/>
      <c r="I162" s="24"/>
      <c r="J162" s="24"/>
      <c r="K162" s="49"/>
      <c r="L162" s="26"/>
    </row>
    <row r="163" spans="1:12" ht="15">
      <c r="A163" s="26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26"/>
    </row>
    <row r="164" spans="1:12" ht="15.75">
      <c r="A164" s="26"/>
      <c r="B164" s="24"/>
      <c r="C164" s="281" t="s">
        <v>474</v>
      </c>
      <c r="D164" s="282"/>
      <c r="E164" s="282"/>
      <c r="F164" s="282"/>
      <c r="G164" s="282"/>
      <c r="H164" s="282"/>
      <c r="I164" s="282"/>
      <c r="J164" s="282"/>
      <c r="K164" s="49"/>
      <c r="L164" s="26"/>
    </row>
    <row r="165" spans="1:12" ht="15">
      <c r="A165" s="26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26"/>
    </row>
    <row r="166" spans="1:12" ht="15">
      <c r="A166" s="26"/>
      <c r="B166" s="49"/>
      <c r="C166" s="244" t="s">
        <v>475</v>
      </c>
      <c r="D166" s="136"/>
      <c r="E166" s="136"/>
      <c r="F166" s="136"/>
      <c r="G166" s="136"/>
      <c r="H166" s="136"/>
      <c r="I166" s="136"/>
      <c r="J166" s="136"/>
      <c r="K166" s="49"/>
      <c r="L166" s="26"/>
    </row>
    <row r="167" spans="1:12" ht="15.75">
      <c r="A167" s="26"/>
      <c r="B167" s="49"/>
      <c r="C167" s="48" t="s">
        <v>476</v>
      </c>
      <c r="D167" s="49"/>
      <c r="E167" s="287">
        <v>0</v>
      </c>
      <c r="F167" s="49"/>
      <c r="G167" s="49"/>
      <c r="H167" s="49"/>
      <c r="I167" s="49"/>
      <c r="J167" s="49"/>
      <c r="K167" s="49"/>
      <c r="L167" s="26"/>
    </row>
    <row r="168" spans="1:12" ht="15.75">
      <c r="A168" s="26"/>
      <c r="B168" s="49"/>
      <c r="C168" s="48" t="s">
        <v>135</v>
      </c>
      <c r="D168" s="49"/>
      <c r="E168" s="288" t="s">
        <v>480</v>
      </c>
      <c r="F168" s="49" t="s">
        <v>136</v>
      </c>
      <c r="G168" s="49"/>
      <c r="H168" s="49"/>
      <c r="I168" s="49"/>
      <c r="J168" s="49"/>
      <c r="K168" s="49"/>
      <c r="L168" s="26"/>
    </row>
    <row r="169" spans="1:12" ht="15.75">
      <c r="A169" s="26"/>
      <c r="B169" s="49"/>
      <c r="C169" s="48" t="s">
        <v>137</v>
      </c>
      <c r="D169" s="49"/>
      <c r="E169" s="289">
        <v>0</v>
      </c>
      <c r="F169" s="48" t="s">
        <v>477</v>
      </c>
      <c r="G169" s="54">
        <f>E167*E169*2000/8.34</f>
        <v>0</v>
      </c>
      <c r="H169" s="48" t="s">
        <v>478</v>
      </c>
      <c r="I169" s="49"/>
      <c r="J169" s="49"/>
      <c r="K169" s="49"/>
      <c r="L169" s="26"/>
    </row>
    <row r="170" spans="1:12" ht="15">
      <c r="A170" s="26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26"/>
    </row>
    <row r="171" spans="1:12" ht="15.75">
      <c r="A171" s="26"/>
      <c r="B171" s="49"/>
      <c r="C171" s="244" t="s">
        <v>479</v>
      </c>
      <c r="D171" s="136"/>
      <c r="E171" s="290">
        <v>0</v>
      </c>
      <c r="F171" s="49"/>
      <c r="G171" s="49"/>
      <c r="H171" s="49"/>
      <c r="I171" s="49"/>
      <c r="J171" s="49"/>
      <c r="K171" s="49"/>
      <c r="L171" s="26"/>
    </row>
    <row r="172" spans="1:12" ht="15">
      <c r="A172" s="26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26"/>
    </row>
    <row r="173" spans="1:12" ht="15">
      <c r="A173" s="26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26"/>
    </row>
    <row r="174" spans="1:12" ht="15.75">
      <c r="A174" s="26"/>
      <c r="B174" s="49"/>
      <c r="C174" s="281" t="s">
        <v>443</v>
      </c>
      <c r="D174" s="282"/>
      <c r="E174" s="282"/>
      <c r="F174" s="282"/>
      <c r="G174" s="282"/>
      <c r="H174" s="282"/>
      <c r="I174" s="282"/>
      <c r="J174" s="282"/>
      <c r="K174" s="49"/>
      <c r="L174" s="26"/>
    </row>
    <row r="175" spans="1:12" ht="15">
      <c r="A175" s="26"/>
      <c r="B175" s="49"/>
      <c r="C175" s="82"/>
      <c r="D175" s="82"/>
      <c r="E175" s="82"/>
      <c r="F175" s="82"/>
      <c r="G175" s="82"/>
      <c r="H175" s="82"/>
      <c r="I175" s="82"/>
      <c r="J175" s="82"/>
      <c r="K175" s="49"/>
      <c r="L175" s="26"/>
    </row>
    <row r="176" spans="1:12" ht="15.75">
      <c r="A176" s="26"/>
      <c r="B176" s="49"/>
      <c r="C176" s="209"/>
      <c r="D176" s="49"/>
      <c r="E176" s="36" t="s">
        <v>150</v>
      </c>
      <c r="F176" s="36" t="s">
        <v>151</v>
      </c>
      <c r="G176" s="36" t="s">
        <v>152</v>
      </c>
      <c r="H176" s="39"/>
      <c r="I176" s="316" t="s">
        <v>153</v>
      </c>
      <c r="J176" s="316"/>
      <c r="K176" s="49"/>
      <c r="L176" s="26"/>
    </row>
    <row r="177" spans="1:12" ht="15.75">
      <c r="A177" s="26"/>
      <c r="B177" s="49"/>
      <c r="C177" s="204" t="s">
        <v>154</v>
      </c>
      <c r="D177" s="49"/>
      <c r="E177" s="201">
        <v>1</v>
      </c>
      <c r="F177" s="201">
        <v>0.2</v>
      </c>
      <c r="G177" s="201">
        <v>4</v>
      </c>
      <c r="H177" s="49"/>
      <c r="I177" s="54">
        <f>E177*F177*G177</f>
        <v>0.8</v>
      </c>
      <c r="J177" s="48" t="s">
        <v>155</v>
      </c>
      <c r="K177" s="49"/>
      <c r="L177" s="26"/>
    </row>
    <row r="178" spans="1:12" ht="15.75">
      <c r="A178" s="26"/>
      <c r="B178" s="49"/>
      <c r="C178" s="204" t="s">
        <v>156</v>
      </c>
      <c r="D178" s="49"/>
      <c r="E178" s="42">
        <v>0</v>
      </c>
      <c r="F178" s="42"/>
      <c r="G178" s="42"/>
      <c r="H178" s="39"/>
      <c r="I178" s="41">
        <f>E178*F178*G178</f>
        <v>0</v>
      </c>
      <c r="J178" s="37" t="s">
        <v>155</v>
      </c>
      <c r="K178" s="49"/>
      <c r="L178" s="26"/>
    </row>
    <row r="179" spans="1:12" ht="15.75">
      <c r="A179" s="26"/>
      <c r="B179" s="49"/>
      <c r="C179" s="204"/>
      <c r="D179" s="49"/>
      <c r="E179" s="55"/>
      <c r="F179" s="55"/>
      <c r="G179" s="55"/>
      <c r="H179" s="49"/>
      <c r="I179" s="54">
        <f>SUM(I177:I178)</f>
        <v>0.8</v>
      </c>
      <c r="J179" s="48" t="s">
        <v>155</v>
      </c>
      <c r="K179" s="49"/>
      <c r="L179" s="26"/>
    </row>
    <row r="180" spans="1:12" ht="15.75">
      <c r="A180" s="26"/>
      <c r="B180" s="49"/>
      <c r="C180" s="204"/>
      <c r="D180" s="49"/>
      <c r="E180" s="55"/>
      <c r="F180" s="55"/>
      <c r="G180" s="55"/>
      <c r="H180" s="49"/>
      <c r="I180" s="54"/>
      <c r="J180" s="48"/>
      <c r="K180" s="49"/>
      <c r="L180" s="26"/>
    </row>
    <row r="181" spans="1:12" ht="15">
      <c r="A181" s="26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26"/>
    </row>
    <row r="182" spans="1:12" ht="15.75">
      <c r="A182" s="26"/>
      <c r="B182" s="49"/>
      <c r="C182" s="283" t="s">
        <v>444</v>
      </c>
      <c r="D182" s="284"/>
      <c r="E182" s="284"/>
      <c r="F182" s="284"/>
      <c r="G182" s="284"/>
      <c r="H182" s="284"/>
      <c r="I182" s="284"/>
      <c r="J182" s="284"/>
      <c r="K182" s="49"/>
      <c r="L182" s="26"/>
    </row>
    <row r="183" spans="1:12" ht="15.75">
      <c r="A183" s="26"/>
      <c r="B183" s="49"/>
      <c r="C183" s="209"/>
      <c r="D183" s="49"/>
      <c r="E183" s="49"/>
      <c r="F183" s="49"/>
      <c r="G183" s="39" t="s">
        <v>378</v>
      </c>
      <c r="H183" s="36" t="s">
        <v>157</v>
      </c>
      <c r="I183" s="37" t="s">
        <v>423</v>
      </c>
      <c r="J183" s="36" t="s">
        <v>158</v>
      </c>
      <c r="K183" s="49"/>
      <c r="L183" s="26"/>
    </row>
    <row r="184" spans="1:12" ht="15.75">
      <c r="A184" s="26"/>
      <c r="B184" s="49"/>
      <c r="C184" s="204" t="s">
        <v>159</v>
      </c>
      <c r="D184" s="49"/>
      <c r="E184" s="49"/>
      <c r="F184" s="49"/>
      <c r="G184" s="201">
        <v>50</v>
      </c>
      <c r="H184" s="239">
        <f>G184/44000</f>
        <v>0.0011363636363636363</v>
      </c>
      <c r="I184" s="201">
        <v>10</v>
      </c>
      <c r="J184" s="239">
        <f>H184*I184</f>
        <v>0.011363636363636364</v>
      </c>
      <c r="K184" s="49"/>
      <c r="L184" s="26"/>
    </row>
    <row r="185" spans="1:12" ht="15.75">
      <c r="A185" s="26"/>
      <c r="B185" s="49"/>
      <c r="C185" s="204" t="s">
        <v>160</v>
      </c>
      <c r="D185" s="49"/>
      <c r="E185" s="49"/>
      <c r="F185" s="49"/>
      <c r="G185" s="42">
        <v>0</v>
      </c>
      <c r="H185" s="40">
        <f>G185/44000</f>
        <v>0</v>
      </c>
      <c r="I185" s="42">
        <v>10</v>
      </c>
      <c r="J185" s="40">
        <f>H185*I185</f>
        <v>0</v>
      </c>
      <c r="K185" s="49"/>
      <c r="L185" s="26"/>
    </row>
    <row r="186" spans="1:12" ht="15.75">
      <c r="A186" s="26"/>
      <c r="B186" s="49"/>
      <c r="C186" s="204"/>
      <c r="D186" s="49"/>
      <c r="E186" s="49"/>
      <c r="F186" s="49"/>
      <c r="G186" s="220"/>
      <c r="H186" s="239"/>
      <c r="I186" s="277"/>
      <c r="J186" s="239"/>
      <c r="K186" s="49"/>
      <c r="L186" s="26"/>
    </row>
    <row r="187" spans="1:12" ht="15.75">
      <c r="A187" s="26"/>
      <c r="B187" s="49"/>
      <c r="C187" s="204"/>
      <c r="D187" s="49"/>
      <c r="E187" s="49"/>
      <c r="F187" s="49"/>
      <c r="G187" s="220"/>
      <c r="H187" s="239"/>
      <c r="I187" s="277"/>
      <c r="J187" s="239"/>
      <c r="K187" s="49"/>
      <c r="L187" s="26"/>
    </row>
    <row r="188" spans="1:12" ht="15.75">
      <c r="A188" s="26"/>
      <c r="B188" s="49"/>
      <c r="C188" s="204"/>
      <c r="D188" s="49"/>
      <c r="E188" s="49"/>
      <c r="F188" s="49"/>
      <c r="G188" s="220"/>
      <c r="H188" s="239"/>
      <c r="I188" s="277"/>
      <c r="J188" s="239"/>
      <c r="K188" s="49"/>
      <c r="L188" s="26"/>
    </row>
    <row r="189" spans="1:12" ht="15.75">
      <c r="A189" s="26"/>
      <c r="B189" s="49"/>
      <c r="C189" s="204"/>
      <c r="D189" s="49"/>
      <c r="E189" s="49"/>
      <c r="F189" s="49"/>
      <c r="G189" s="220"/>
      <c r="H189" s="239"/>
      <c r="I189" s="277"/>
      <c r="J189" s="239"/>
      <c r="K189" s="49"/>
      <c r="L189" s="26"/>
    </row>
    <row r="190" spans="1:12" ht="15.75">
      <c r="A190" s="26"/>
      <c r="B190" s="49"/>
      <c r="C190" s="204"/>
      <c r="D190" s="49"/>
      <c r="E190" s="49"/>
      <c r="F190" s="49"/>
      <c r="G190" s="220"/>
      <c r="H190" s="239"/>
      <c r="I190" s="277"/>
      <c r="J190" s="239"/>
      <c r="K190" s="49"/>
      <c r="L190" s="26"/>
    </row>
    <row r="191" spans="1:12" ht="15.75">
      <c r="A191" s="26"/>
      <c r="B191" s="49"/>
      <c r="C191" s="204"/>
      <c r="D191" s="49"/>
      <c r="E191" s="49"/>
      <c r="F191" s="49"/>
      <c r="G191" s="220"/>
      <c r="H191" s="239"/>
      <c r="I191" s="277"/>
      <c r="J191" s="239"/>
      <c r="K191" s="49"/>
      <c r="L191" s="26"/>
    </row>
    <row r="192" spans="1:12" ht="15.75">
      <c r="A192" s="26"/>
      <c r="B192" s="49"/>
      <c r="C192" s="204"/>
      <c r="D192" s="49"/>
      <c r="E192" s="49"/>
      <c r="F192" s="49"/>
      <c r="G192" s="220"/>
      <c r="H192" s="239"/>
      <c r="I192" s="277"/>
      <c r="J192" s="239"/>
      <c r="K192" s="24"/>
      <c r="L192" s="26"/>
    </row>
    <row r="193" spans="1:12" ht="15.75">
      <c r="A193" s="26"/>
      <c r="B193" s="49"/>
      <c r="C193" s="204"/>
      <c r="D193" s="49"/>
      <c r="E193" s="49"/>
      <c r="F193" s="49"/>
      <c r="G193" s="220"/>
      <c r="H193" s="239"/>
      <c r="I193" s="277"/>
      <c r="J193" s="239"/>
      <c r="K193" s="24"/>
      <c r="L193" s="26"/>
    </row>
    <row r="194" spans="1:12" ht="15.75">
      <c r="A194" s="26"/>
      <c r="B194" s="49"/>
      <c r="C194" s="285" t="s">
        <v>445</v>
      </c>
      <c r="D194" s="286"/>
      <c r="E194" s="286"/>
      <c r="F194" s="286"/>
      <c r="G194" s="286"/>
      <c r="H194" s="286"/>
      <c r="I194" s="286"/>
      <c r="J194" s="286"/>
      <c r="K194" s="24"/>
      <c r="L194" s="26"/>
    </row>
    <row r="195" spans="1:12" ht="15">
      <c r="A195" s="26"/>
      <c r="B195" s="49"/>
      <c r="C195" s="77"/>
      <c r="D195" s="77"/>
      <c r="E195" s="77"/>
      <c r="F195" s="77"/>
      <c r="G195" s="77"/>
      <c r="H195" s="77"/>
      <c r="I195" s="77"/>
      <c r="J195" s="77"/>
      <c r="K195" s="24"/>
      <c r="L195" s="26"/>
    </row>
    <row r="196" spans="1:12" ht="15.75">
      <c r="A196" s="26"/>
      <c r="B196" s="49"/>
      <c r="C196" s="82"/>
      <c r="D196" s="77"/>
      <c r="F196" s="78" t="s">
        <v>446</v>
      </c>
      <c r="G196" s="79">
        <f>I177+I178+J116+J107+J91+J71+J53+J33</f>
        <v>871.22</v>
      </c>
      <c r="H196" s="83" t="s">
        <v>380</v>
      </c>
      <c r="I196" s="278" t="s">
        <v>450</v>
      </c>
      <c r="J196" s="77"/>
      <c r="K196" s="24"/>
      <c r="L196" s="26"/>
    </row>
    <row r="197" spans="1:12" ht="15.75">
      <c r="A197" s="26"/>
      <c r="B197" s="49"/>
      <c r="C197" s="82"/>
      <c r="D197" s="77"/>
      <c r="F197" s="78"/>
      <c r="G197" s="79"/>
      <c r="H197" s="83"/>
      <c r="I197" s="278" t="s">
        <v>449</v>
      </c>
      <c r="J197" s="77"/>
      <c r="K197" s="24"/>
      <c r="L197" s="26"/>
    </row>
    <row r="198" spans="1:12" ht="15">
      <c r="A198" s="26"/>
      <c r="B198" s="49"/>
      <c r="C198" s="84"/>
      <c r="D198" s="77"/>
      <c r="F198" s="77"/>
      <c r="G198" s="77"/>
      <c r="H198" s="77"/>
      <c r="J198" s="77"/>
      <c r="K198" s="24"/>
      <c r="L198" s="26"/>
    </row>
    <row r="199" spans="1:12" ht="15.75">
      <c r="A199" s="26"/>
      <c r="B199" s="49"/>
      <c r="C199" s="82"/>
      <c r="D199" s="77"/>
      <c r="F199" s="78" t="s">
        <v>447</v>
      </c>
      <c r="G199" s="80">
        <f>G196*('Inputs &amp; Assumptions'!$C$47)</f>
        <v>226517.2</v>
      </c>
      <c r="H199" s="83" t="s">
        <v>379</v>
      </c>
      <c r="I199" s="278" t="s">
        <v>448</v>
      </c>
      <c r="J199" s="77"/>
      <c r="K199" s="24"/>
      <c r="L199" s="26"/>
    </row>
    <row r="200" spans="1:12" ht="15.75">
      <c r="A200" s="26"/>
      <c r="B200" s="24"/>
      <c r="C200" s="82"/>
      <c r="D200" s="77"/>
      <c r="F200" s="78"/>
      <c r="G200" s="80"/>
      <c r="H200" s="83"/>
      <c r="I200" s="278" t="s">
        <v>520</v>
      </c>
      <c r="J200" s="77"/>
      <c r="K200" s="24"/>
      <c r="L200" s="26"/>
    </row>
    <row r="201" spans="1:12" ht="15">
      <c r="A201" s="26"/>
      <c r="B201" s="24"/>
      <c r="C201" s="39"/>
      <c r="D201" s="81"/>
      <c r="E201" s="81"/>
      <c r="F201" s="81"/>
      <c r="G201" s="81"/>
      <c r="H201" s="81"/>
      <c r="I201" s="313" t="s">
        <v>521</v>
      </c>
      <c r="J201" s="81"/>
      <c r="K201" s="24"/>
      <c r="L201" s="26"/>
    </row>
    <row r="202" spans="1:12" ht="15">
      <c r="A202" s="26"/>
      <c r="B202" s="24"/>
      <c r="C202" s="49"/>
      <c r="D202" s="240"/>
      <c r="E202" s="49"/>
      <c r="F202" s="49"/>
      <c r="G202" s="49"/>
      <c r="H202" s="49"/>
      <c r="I202" s="49"/>
      <c r="J202" s="49"/>
      <c r="K202" s="24"/>
      <c r="L202" s="26"/>
    </row>
    <row r="203" spans="1:12" ht="15">
      <c r="A203" s="26"/>
      <c r="B203" s="24"/>
      <c r="C203" s="49"/>
      <c r="D203" s="49"/>
      <c r="E203" s="49"/>
      <c r="F203" s="49"/>
      <c r="G203" s="49"/>
      <c r="H203" s="49"/>
      <c r="I203" s="49"/>
      <c r="J203" s="49"/>
      <c r="K203" s="24"/>
      <c r="L203" s="26"/>
    </row>
    <row r="204" spans="1:12" ht="15">
      <c r="A204" s="26"/>
      <c r="B204" s="24"/>
      <c r="C204" s="49"/>
      <c r="D204" s="49"/>
      <c r="E204" s="49"/>
      <c r="F204" s="49"/>
      <c r="G204" s="49"/>
      <c r="H204" s="49"/>
      <c r="I204" s="49"/>
      <c r="J204" s="49"/>
      <c r="K204" s="24"/>
      <c r="L204" s="26"/>
    </row>
    <row r="205" spans="1:12" ht="15">
      <c r="A205" s="26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6"/>
    </row>
    <row r="206" spans="1:12" ht="1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</row>
    <row r="207" spans="1:12" ht="1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</row>
    <row r="208" spans="1:12" ht="1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</row>
    <row r="209" spans="1:12" ht="1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</row>
    <row r="210" spans="1:12" ht="1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</row>
    <row r="211" spans="1:12" ht="1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</row>
    <row r="212" spans="1:12" ht="1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</row>
    <row r="213" spans="1:12" ht="1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</row>
    <row r="214" spans="1:12" ht="1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</row>
    <row r="215" spans="1:12" ht="1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</row>
    <row r="216" spans="1:12" ht="1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</row>
    <row r="217" spans="1:12" ht="1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</row>
    <row r="218" spans="1:12" ht="1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</row>
    <row r="219" spans="1:12" ht="1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</row>
    <row r="220" spans="1:12" ht="1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</row>
    <row r="221" spans="1:12" ht="1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</row>
    <row r="222" spans="1:12" ht="1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</row>
    <row r="223" spans="1:12" ht="1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</row>
    <row r="224" spans="1:12" ht="1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</row>
    <row r="225" spans="1:12" ht="1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</row>
    <row r="226" spans="2:11" ht="15">
      <c r="B226" s="26"/>
      <c r="C226" s="26"/>
      <c r="D226" s="26"/>
      <c r="E226" s="26"/>
      <c r="F226" s="26"/>
      <c r="G226" s="26"/>
      <c r="H226" s="26"/>
      <c r="I226" s="26"/>
      <c r="J226" s="26"/>
      <c r="K226" s="26"/>
    </row>
    <row r="227" spans="2:11" ht="15">
      <c r="B227" s="26"/>
      <c r="C227" s="26"/>
      <c r="D227" s="26"/>
      <c r="E227" s="26"/>
      <c r="F227" s="26"/>
      <c r="G227" s="26"/>
      <c r="H227" s="26"/>
      <c r="I227" s="26"/>
      <c r="J227" s="26"/>
      <c r="K227" s="26"/>
    </row>
    <row r="228" ht="15">
      <c r="C228" s="24"/>
    </row>
    <row r="229" ht="15">
      <c r="C229" s="24"/>
    </row>
    <row r="230" ht="15">
      <c r="C230" s="24"/>
    </row>
    <row r="231" ht="15">
      <c r="C231" s="24"/>
    </row>
    <row r="232" ht="15">
      <c r="C232" s="24"/>
    </row>
    <row r="233" ht="15">
      <c r="C233" s="24"/>
    </row>
    <row r="234" ht="15">
      <c r="C234" s="24"/>
    </row>
    <row r="235" ht="15">
      <c r="C235" s="24"/>
    </row>
    <row r="236" ht="15">
      <c r="C236" s="24"/>
    </row>
    <row r="237" ht="15">
      <c r="C237" s="24"/>
    </row>
    <row r="238" ht="15">
      <c r="C238" s="24"/>
    </row>
    <row r="239" ht="15">
      <c r="C239" s="24"/>
    </row>
    <row r="240" ht="15">
      <c r="C240" s="24"/>
    </row>
    <row r="241" ht="15">
      <c r="C241" s="24"/>
    </row>
    <row r="242" ht="15">
      <c r="C242" s="24"/>
    </row>
    <row r="243" ht="15">
      <c r="C243" s="24"/>
    </row>
    <row r="244" ht="15">
      <c r="C244" s="24"/>
    </row>
    <row r="245" ht="15">
      <c r="C245" s="24"/>
    </row>
    <row r="246" ht="15">
      <c r="C246" s="24"/>
    </row>
    <row r="247" ht="15">
      <c r="C247" s="24"/>
    </row>
    <row r="248" ht="15">
      <c r="C248" s="24"/>
    </row>
    <row r="249" ht="15">
      <c r="C249" s="24"/>
    </row>
    <row r="250" ht="15">
      <c r="C250" s="24"/>
    </row>
    <row r="251" ht="15">
      <c r="C251" s="24"/>
    </row>
    <row r="252" ht="15">
      <c r="C252" s="24"/>
    </row>
    <row r="253" ht="15">
      <c r="C253" s="24"/>
    </row>
    <row r="254" ht="15">
      <c r="C254" s="24"/>
    </row>
  </sheetData>
  <mergeCells count="7">
    <mergeCell ref="H111:I111"/>
    <mergeCell ref="I176:J176"/>
    <mergeCell ref="G25:H25"/>
    <mergeCell ref="G64:H64"/>
    <mergeCell ref="G86:H86"/>
    <mergeCell ref="H102:I102"/>
    <mergeCell ref="G46:H46"/>
  </mergeCells>
  <printOptions/>
  <pageMargins left="1" right="1" top="1" bottom="0.84" header="0.5" footer="0.5"/>
  <pageSetup horizontalDpi="300" verticalDpi="300" orientation="portrait" scale="70" r:id="rId1"/>
  <headerFooter alignWithMargins="0">
    <oddHeader>&amp;L&amp;"Arial MT,Bold"WATERGY:&amp;"Arial MT,Regular" Attachment A&amp;R&amp;D</oddHeader>
    <oddFooter>&amp;CPage &amp;P</oddFooter>
  </headerFooter>
  <rowBreaks count="4" manualBreakCount="4">
    <brk id="18" max="255" man="1"/>
    <brk id="81" min="1" max="10" man="1"/>
    <brk id="171" max="255" man="1"/>
    <brk id="20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Z78"/>
  <sheetViews>
    <sheetView showGridLines="0" tabSelected="1" workbookViewId="0" topLeftCell="A1">
      <selection activeCell="C14" sqref="C14"/>
    </sheetView>
  </sheetViews>
  <sheetFormatPr defaultColWidth="9.77734375" defaultRowHeight="15"/>
  <cols>
    <col min="1" max="1" width="2.77734375" style="0" customWidth="1"/>
    <col min="2" max="2" width="16.77734375" style="0" customWidth="1"/>
    <col min="4" max="4" width="11.77734375" style="0" customWidth="1"/>
  </cols>
  <sheetData>
    <row r="1" spans="1:26" ht="1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spans="1:26" ht="15">
      <c r="A2" s="35"/>
      <c r="B2" s="82"/>
      <c r="C2" s="82"/>
      <c r="D2" s="82"/>
      <c r="E2" s="82"/>
      <c r="F2" s="82"/>
      <c r="G2" s="82"/>
      <c r="H2" s="82"/>
      <c r="I2" s="82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26" ht="15.75">
      <c r="A3" s="35"/>
      <c r="B3" s="249" t="s">
        <v>161</v>
      </c>
      <c r="C3" s="250"/>
      <c r="D3" s="250"/>
      <c r="E3" s="250"/>
      <c r="F3" s="250"/>
      <c r="G3" s="250"/>
      <c r="H3" s="250"/>
      <c r="I3" s="250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</row>
    <row r="4" spans="1:26" ht="15">
      <c r="A4" s="35"/>
      <c r="B4" s="250"/>
      <c r="C4" s="250"/>
      <c r="D4" s="250"/>
      <c r="E4" s="250"/>
      <c r="F4" s="250"/>
      <c r="G4" s="250"/>
      <c r="H4" s="250"/>
      <c r="I4" s="250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spans="1:26" ht="15">
      <c r="A5" s="35"/>
      <c r="B5" s="251" t="s">
        <v>162</v>
      </c>
      <c r="C5" s="250"/>
      <c r="D5" s="250"/>
      <c r="E5" s="250"/>
      <c r="F5" s="250"/>
      <c r="G5" s="250"/>
      <c r="H5" s="250"/>
      <c r="I5" s="250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1:26" ht="15.75">
      <c r="A6" s="35"/>
      <c r="B6" s="250"/>
      <c r="C6" s="250"/>
      <c r="D6" s="250"/>
      <c r="E6" s="250"/>
      <c r="F6" s="252">
        <v>1</v>
      </c>
      <c r="G6" s="253" t="s">
        <v>163</v>
      </c>
      <c r="H6" s="254"/>
      <c r="I6" s="250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spans="1:26" ht="15.75">
      <c r="A7" s="35"/>
      <c r="B7" s="250"/>
      <c r="C7" s="250"/>
      <c r="D7" s="250"/>
      <c r="E7" s="250"/>
      <c r="F7" s="250"/>
      <c r="G7" s="253" t="s">
        <v>164</v>
      </c>
      <c r="H7" s="254"/>
      <c r="I7" s="250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</row>
    <row r="8" spans="1:26" ht="15">
      <c r="A8" s="35"/>
      <c r="B8" s="251" t="s">
        <v>463</v>
      </c>
      <c r="C8" s="250"/>
      <c r="D8" s="250"/>
      <c r="E8" s="250"/>
      <c r="F8" s="250"/>
      <c r="G8" s="250"/>
      <c r="H8" s="250"/>
      <c r="I8" s="250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spans="1:26" ht="15.75">
      <c r="A9" s="35"/>
      <c r="B9" s="250"/>
      <c r="C9" s="250"/>
      <c r="D9" s="250"/>
      <c r="E9" s="250"/>
      <c r="F9" s="252">
        <v>2</v>
      </c>
      <c r="G9" s="253" t="s">
        <v>165</v>
      </c>
      <c r="H9" s="254"/>
      <c r="I9" s="25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 spans="1:26" ht="15.75">
      <c r="A10" s="35"/>
      <c r="B10" s="250"/>
      <c r="C10" s="250"/>
      <c r="D10" s="250"/>
      <c r="E10" s="250"/>
      <c r="F10" s="250"/>
      <c r="G10" s="253" t="s">
        <v>166</v>
      </c>
      <c r="H10" s="254"/>
      <c r="I10" s="25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spans="1:26" ht="15">
      <c r="A11" s="35"/>
      <c r="B11" s="82"/>
      <c r="C11" s="82"/>
      <c r="D11" s="82"/>
      <c r="E11" s="82"/>
      <c r="F11" s="82"/>
      <c r="G11" s="82"/>
      <c r="H11" s="82"/>
      <c r="I11" s="82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spans="1:26" ht="15.75">
      <c r="A12" s="35"/>
      <c r="B12" s="249" t="s">
        <v>167</v>
      </c>
      <c r="C12" s="250"/>
      <c r="D12" s="250"/>
      <c r="E12" s="250"/>
      <c r="F12" s="250"/>
      <c r="G12" s="250"/>
      <c r="H12" s="250"/>
      <c r="I12" s="82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spans="1:26" ht="15">
      <c r="A13" s="35"/>
      <c r="B13" s="250"/>
      <c r="C13" s="250"/>
      <c r="D13" s="250"/>
      <c r="E13" s="250"/>
      <c r="F13" s="250"/>
      <c r="G13" s="250"/>
      <c r="H13" s="250"/>
      <c r="I13" s="82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spans="1:26" ht="15.75">
      <c r="A14" s="35"/>
      <c r="B14" s="251" t="s">
        <v>430</v>
      </c>
      <c r="C14" s="256">
        <v>1.6</v>
      </c>
      <c r="D14" s="251" t="s">
        <v>168</v>
      </c>
      <c r="E14" s="250"/>
      <c r="F14" s="250"/>
      <c r="G14" s="250"/>
      <c r="H14" s="250"/>
      <c r="I14" s="82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spans="1:26" ht="15.75">
      <c r="A15" s="35"/>
      <c r="B15" s="251" t="s">
        <v>431</v>
      </c>
      <c r="C15" s="256">
        <v>1</v>
      </c>
      <c r="D15" s="251" t="s">
        <v>168</v>
      </c>
      <c r="E15" s="250"/>
      <c r="F15" s="250"/>
      <c r="G15" s="250"/>
      <c r="H15" s="250"/>
      <c r="I15" s="82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spans="1:26" ht="15.75">
      <c r="A16" s="35"/>
      <c r="B16" s="251" t="s">
        <v>432</v>
      </c>
      <c r="C16" s="257">
        <v>0.001</v>
      </c>
      <c r="D16" s="251" t="s">
        <v>437</v>
      </c>
      <c r="E16" s="250"/>
      <c r="F16" s="250"/>
      <c r="G16" s="250"/>
      <c r="H16" s="250"/>
      <c r="I16" s="82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spans="1:26" ht="15.75">
      <c r="A17" s="35"/>
      <c r="B17" s="251" t="s">
        <v>169</v>
      </c>
      <c r="C17" s="256">
        <v>0.5</v>
      </c>
      <c r="D17" s="251" t="s">
        <v>170</v>
      </c>
      <c r="E17" s="250"/>
      <c r="F17" s="250"/>
      <c r="G17" s="250"/>
      <c r="H17" s="250"/>
      <c r="I17" s="82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spans="1:26" ht="15.75">
      <c r="A18" s="35"/>
      <c r="B18" s="251" t="s">
        <v>171</v>
      </c>
      <c r="C18" s="256">
        <v>2.5</v>
      </c>
      <c r="D18" s="251" t="s">
        <v>170</v>
      </c>
      <c r="E18" s="250"/>
      <c r="F18" s="250"/>
      <c r="G18" s="250"/>
      <c r="H18" s="250"/>
      <c r="I18" s="82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spans="1:26" ht="15.75">
      <c r="A19" s="35"/>
      <c r="B19" s="251" t="s">
        <v>172</v>
      </c>
      <c r="C19" s="256">
        <v>8.5</v>
      </c>
      <c r="D19" s="251" t="s">
        <v>173</v>
      </c>
      <c r="E19" s="250"/>
      <c r="F19" s="250"/>
      <c r="G19" s="250"/>
      <c r="H19" s="250"/>
      <c r="I19" s="82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spans="1:26" ht="15.75">
      <c r="A20" s="35"/>
      <c r="B20" s="251" t="s">
        <v>174</v>
      </c>
      <c r="C20" s="256">
        <v>42</v>
      </c>
      <c r="D20" s="251" t="s">
        <v>173</v>
      </c>
      <c r="E20" s="250"/>
      <c r="F20" s="250"/>
      <c r="G20" s="250"/>
      <c r="H20" s="250"/>
      <c r="I20" s="82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spans="1:26" ht="15.75">
      <c r="A21" s="35"/>
      <c r="B21" s="251" t="s">
        <v>175</v>
      </c>
      <c r="C21" s="256">
        <v>2.5</v>
      </c>
      <c r="D21" s="251" t="s">
        <v>170</v>
      </c>
      <c r="E21" s="250"/>
      <c r="F21" s="250"/>
      <c r="G21" s="250"/>
      <c r="H21" s="250"/>
      <c r="I21" s="82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spans="1:26" ht="15">
      <c r="A22" s="35"/>
      <c r="B22" s="250"/>
      <c r="C22" s="250"/>
      <c r="D22" s="250"/>
      <c r="E22" s="250"/>
      <c r="F22" s="250"/>
      <c r="G22" s="250"/>
      <c r="H22" s="250"/>
      <c r="I22" s="82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1:26" ht="15">
      <c r="A23" s="35"/>
      <c r="B23" s="250"/>
      <c r="C23" s="250"/>
      <c r="D23" s="250"/>
      <c r="E23" s="250"/>
      <c r="F23" s="250"/>
      <c r="G23" s="250"/>
      <c r="H23" s="250"/>
      <c r="I23" s="82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spans="1:26" ht="15.75">
      <c r="A24" s="35"/>
      <c r="B24" s="249" t="s">
        <v>176</v>
      </c>
      <c r="C24" s="250"/>
      <c r="D24" s="250"/>
      <c r="E24" s="250"/>
      <c r="F24" s="250"/>
      <c r="G24" s="250"/>
      <c r="H24" s="250"/>
      <c r="I24" s="82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spans="1:26" ht="15">
      <c r="A25" s="35"/>
      <c r="B25" s="250"/>
      <c r="C25" s="250"/>
      <c r="D25" s="250"/>
      <c r="E25" s="250"/>
      <c r="F25" s="250"/>
      <c r="G25" s="250"/>
      <c r="H25" s="250"/>
      <c r="I25" s="82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spans="1:26" ht="15.75">
      <c r="A26" s="35"/>
      <c r="B26" s="251" t="s">
        <v>433</v>
      </c>
      <c r="C26" s="256">
        <v>0.2</v>
      </c>
      <c r="D26" s="251" t="s">
        <v>177</v>
      </c>
      <c r="E26" s="250"/>
      <c r="F26" s="250"/>
      <c r="G26" s="250"/>
      <c r="H26" s="250"/>
      <c r="I26" s="82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spans="1:26" ht="15.75">
      <c r="A27" s="35"/>
      <c r="B27" s="251"/>
      <c r="C27" s="256">
        <v>0.5</v>
      </c>
      <c r="D27" s="251" t="s">
        <v>178</v>
      </c>
      <c r="E27" s="250"/>
      <c r="F27" s="250"/>
      <c r="G27" s="250"/>
      <c r="H27" s="250"/>
      <c r="I27" s="82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6" ht="15.75">
      <c r="A28" s="35"/>
      <c r="B28" s="251" t="s">
        <v>179</v>
      </c>
      <c r="C28" s="258">
        <v>0.5</v>
      </c>
      <c r="D28" s="251" t="s">
        <v>180</v>
      </c>
      <c r="E28" s="250"/>
      <c r="F28" s="250"/>
      <c r="G28" s="250"/>
      <c r="H28" s="250"/>
      <c r="I28" s="82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:26" ht="15.75">
      <c r="A29" s="35"/>
      <c r="B29" s="251" t="s">
        <v>181</v>
      </c>
      <c r="C29" s="258">
        <v>0.6</v>
      </c>
      <c r="D29" s="251" t="s">
        <v>180</v>
      </c>
      <c r="E29" s="250"/>
      <c r="F29" s="250"/>
      <c r="G29" s="250"/>
      <c r="H29" s="250"/>
      <c r="I29" s="82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 ht="15.75">
      <c r="A30" s="35"/>
      <c r="B30" s="251" t="s">
        <v>172</v>
      </c>
      <c r="C30" s="258">
        <v>1</v>
      </c>
      <c r="D30" s="251" t="s">
        <v>180</v>
      </c>
      <c r="E30" s="250"/>
      <c r="F30" s="250"/>
      <c r="G30" s="250"/>
      <c r="H30" s="250"/>
      <c r="I30" s="82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 ht="15.75">
      <c r="A31" s="35"/>
      <c r="B31" s="251" t="s">
        <v>182</v>
      </c>
      <c r="C31" s="258">
        <v>0.25</v>
      </c>
      <c r="D31" s="251" t="s">
        <v>180</v>
      </c>
      <c r="E31" s="250"/>
      <c r="F31" s="250"/>
      <c r="G31" s="250"/>
      <c r="H31" s="250"/>
      <c r="I31" s="82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ht="15.75">
      <c r="A32" s="35"/>
      <c r="B32" s="251" t="s">
        <v>183</v>
      </c>
      <c r="C32" s="258">
        <v>0.1</v>
      </c>
      <c r="D32" s="251" t="s">
        <v>180</v>
      </c>
      <c r="E32" s="250"/>
      <c r="F32" s="250"/>
      <c r="G32" s="250"/>
      <c r="H32" s="250"/>
      <c r="I32" s="82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1:26" ht="15.75">
      <c r="A33" s="35"/>
      <c r="B33" s="251" t="s">
        <v>184</v>
      </c>
      <c r="C33" s="259">
        <f>VLOOKUP(STATE,WH_PER_GALLON,2)</f>
        <v>1.099072322088006</v>
      </c>
      <c r="D33" s="251" t="s">
        <v>185</v>
      </c>
      <c r="E33" s="250"/>
      <c r="F33" s="250"/>
      <c r="G33" s="250"/>
      <c r="H33" s="250"/>
      <c r="I33" s="82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1:26" ht="15.75">
      <c r="A34" s="35"/>
      <c r="B34" s="251" t="s">
        <v>440</v>
      </c>
      <c r="C34" s="260">
        <v>0.021</v>
      </c>
      <c r="D34" s="251" t="s">
        <v>186</v>
      </c>
      <c r="E34" s="250"/>
      <c r="F34" s="250"/>
      <c r="G34" s="250"/>
      <c r="H34" s="250"/>
      <c r="I34" s="82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spans="1:26" ht="15.75">
      <c r="A35" s="35"/>
      <c r="B35" s="251" t="s">
        <v>187</v>
      </c>
      <c r="C35" s="259">
        <v>2.85</v>
      </c>
      <c r="D35" s="251" t="s">
        <v>185</v>
      </c>
      <c r="E35" s="250"/>
      <c r="F35" s="250"/>
      <c r="G35" s="250"/>
      <c r="H35" s="250"/>
      <c r="I35" s="82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spans="1:26" ht="15.75">
      <c r="A36" s="35"/>
      <c r="B36" s="251" t="s">
        <v>439</v>
      </c>
      <c r="C36" s="258">
        <v>0.14</v>
      </c>
      <c r="D36" s="251" t="s">
        <v>188</v>
      </c>
      <c r="E36" s="250"/>
      <c r="F36" s="250"/>
      <c r="G36" s="250"/>
      <c r="H36" s="250"/>
      <c r="I36" s="82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1:26" ht="15.75">
      <c r="A37" s="35"/>
      <c r="B37" s="251" t="s">
        <v>441</v>
      </c>
      <c r="C37" s="261">
        <v>0.17</v>
      </c>
      <c r="D37" s="251" t="s">
        <v>189</v>
      </c>
      <c r="E37" s="250"/>
      <c r="F37" s="250"/>
      <c r="G37" s="250"/>
      <c r="H37" s="250"/>
      <c r="I37" s="82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spans="1:26" ht="15.75">
      <c r="A38" s="35"/>
      <c r="B38" s="251" t="s">
        <v>438</v>
      </c>
      <c r="C38" s="262">
        <f>362+113/400*(BOILER_PRESSURE-200)</f>
        <v>362</v>
      </c>
      <c r="D38" s="251" t="s">
        <v>190</v>
      </c>
      <c r="E38" s="250"/>
      <c r="F38" s="250"/>
      <c r="G38" s="250"/>
      <c r="H38" s="250"/>
      <c r="I38" s="82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</row>
    <row r="39" spans="1:26" ht="15.75">
      <c r="A39" s="35"/>
      <c r="B39" s="251" t="s">
        <v>191</v>
      </c>
      <c r="C39" s="262">
        <v>1040</v>
      </c>
      <c r="D39" s="251" t="s">
        <v>192</v>
      </c>
      <c r="E39" s="250"/>
      <c r="F39" s="250"/>
      <c r="G39" s="250"/>
      <c r="H39" s="250"/>
      <c r="I39" s="82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spans="1:26" ht="15.75">
      <c r="A40" s="35"/>
      <c r="B40" s="251" t="s">
        <v>193</v>
      </c>
      <c r="C40" s="262">
        <v>145000</v>
      </c>
      <c r="D40" s="251" t="s">
        <v>194</v>
      </c>
      <c r="E40" s="250"/>
      <c r="F40" s="250"/>
      <c r="G40" s="250"/>
      <c r="H40" s="250"/>
      <c r="I40" s="82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1:26" ht="15.75">
      <c r="A41" s="35"/>
      <c r="B41" s="251" t="s">
        <v>436</v>
      </c>
      <c r="C41" s="258">
        <f>IF(BOILER_FUEL=1,0.95,IF(BOILER_AGE&lt;21,0.8,0.7))</f>
        <v>0.7000000000000001</v>
      </c>
      <c r="D41" s="251" t="s">
        <v>195</v>
      </c>
      <c r="E41" s="250"/>
      <c r="F41" s="250"/>
      <c r="G41" s="250"/>
      <c r="H41" s="250"/>
      <c r="I41" s="82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1:26" ht="15.75">
      <c r="A42" s="35"/>
      <c r="B42" s="251" t="s">
        <v>434</v>
      </c>
      <c r="C42" s="258">
        <v>0.5</v>
      </c>
      <c r="D42" s="251" t="s">
        <v>196</v>
      </c>
      <c r="E42" s="250"/>
      <c r="F42" s="250"/>
      <c r="G42" s="250"/>
      <c r="H42" s="250"/>
      <c r="I42" s="82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spans="1:26" ht="15">
      <c r="A43" s="35"/>
      <c r="B43" s="250"/>
      <c r="C43" s="250"/>
      <c r="D43" s="251" t="s">
        <v>197</v>
      </c>
      <c r="E43" s="250"/>
      <c r="F43" s="250"/>
      <c r="G43" s="250"/>
      <c r="H43" s="250"/>
      <c r="I43" s="82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</row>
    <row r="44" spans="1:26" ht="15.75">
      <c r="A44" s="35"/>
      <c r="B44" s="251" t="s">
        <v>435</v>
      </c>
      <c r="C44" s="258">
        <v>0.5</v>
      </c>
      <c r="D44" s="251" t="s">
        <v>198</v>
      </c>
      <c r="E44" s="250"/>
      <c r="F44" s="250"/>
      <c r="G44" s="250"/>
      <c r="H44" s="250"/>
      <c r="I44" s="82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 spans="1:26" ht="15.75">
      <c r="A45" s="35"/>
      <c r="B45" s="251" t="s">
        <v>199</v>
      </c>
      <c r="C45" s="258">
        <v>0.2</v>
      </c>
      <c r="D45" s="251" t="s">
        <v>200</v>
      </c>
      <c r="E45" s="250"/>
      <c r="F45" s="250"/>
      <c r="G45" s="250"/>
      <c r="H45" s="250"/>
      <c r="I45" s="82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</row>
    <row r="46" spans="1:26" ht="15.75">
      <c r="A46" s="35"/>
      <c r="B46" s="251" t="s">
        <v>201</v>
      </c>
      <c r="C46" s="261">
        <v>3412</v>
      </c>
      <c r="D46" s="251" t="s">
        <v>202</v>
      </c>
      <c r="E46" s="250"/>
      <c r="F46" s="250"/>
      <c r="G46" s="250"/>
      <c r="H46" s="250"/>
      <c r="I46" s="82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spans="1:26" ht="15.75">
      <c r="A47" s="35"/>
      <c r="B47" s="251" t="s">
        <v>513</v>
      </c>
      <c r="C47" s="261">
        <v>260</v>
      </c>
      <c r="D47" s="251" t="s">
        <v>514</v>
      </c>
      <c r="E47" s="250"/>
      <c r="F47" s="250"/>
      <c r="G47" s="250"/>
      <c r="H47" s="250"/>
      <c r="I47" s="82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</row>
    <row r="48" spans="1:26" ht="15">
      <c r="A48" s="35"/>
      <c r="B48" s="250"/>
      <c r="C48" s="250"/>
      <c r="D48" s="250"/>
      <c r="E48" s="250"/>
      <c r="F48" s="250"/>
      <c r="G48" s="250"/>
      <c r="H48" s="250"/>
      <c r="I48" s="82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</row>
    <row r="49" spans="1:26" ht="15.75">
      <c r="A49" s="35"/>
      <c r="B49" s="249" t="s">
        <v>203</v>
      </c>
      <c r="C49" s="250"/>
      <c r="D49" s="250"/>
      <c r="E49" s="250"/>
      <c r="F49" s="250"/>
      <c r="G49" s="250"/>
      <c r="H49" s="250"/>
      <c r="I49" s="82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</row>
    <row r="50" spans="1:26" ht="15.75">
      <c r="A50" s="35"/>
      <c r="B50" s="250"/>
      <c r="C50" s="250"/>
      <c r="D50" s="263" t="s">
        <v>204</v>
      </c>
      <c r="E50" s="263" t="s">
        <v>205</v>
      </c>
      <c r="F50" s="263" t="s">
        <v>52</v>
      </c>
      <c r="G50" s="250"/>
      <c r="H50" s="250"/>
      <c r="I50" s="82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</row>
    <row r="51" spans="1:26" ht="15.75">
      <c r="A51" s="35"/>
      <c r="B51" s="251" t="s">
        <v>429</v>
      </c>
      <c r="C51" s="250"/>
      <c r="D51" s="264">
        <v>220</v>
      </c>
      <c r="E51" s="264">
        <v>75</v>
      </c>
      <c r="F51" s="265">
        <f aca="true" t="shared" si="0" ref="F51:F60">D51+E51</f>
        <v>295</v>
      </c>
      <c r="G51" s="250"/>
      <c r="H51" s="250"/>
      <c r="I51" s="82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</row>
    <row r="52" spans="1:26" ht="15.75">
      <c r="A52" s="35"/>
      <c r="B52" s="251" t="s">
        <v>428</v>
      </c>
      <c r="C52" s="250"/>
      <c r="D52" s="264">
        <v>350</v>
      </c>
      <c r="E52" s="264">
        <v>125</v>
      </c>
      <c r="F52" s="265">
        <f t="shared" si="0"/>
        <v>475</v>
      </c>
      <c r="G52" s="250"/>
      <c r="H52" s="250"/>
      <c r="I52" s="82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</row>
    <row r="53" spans="1:26" ht="15.75">
      <c r="A53" s="35"/>
      <c r="B53" s="251" t="s">
        <v>427</v>
      </c>
      <c r="C53" s="250"/>
      <c r="D53" s="264">
        <v>500</v>
      </c>
      <c r="E53" s="264">
        <v>125</v>
      </c>
      <c r="F53" s="265">
        <f>D53+E53</f>
        <v>625</v>
      </c>
      <c r="G53" s="250"/>
      <c r="H53" s="250"/>
      <c r="I53" s="82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</row>
    <row r="54" spans="1:26" ht="15.75">
      <c r="A54" s="35"/>
      <c r="B54" s="251" t="s">
        <v>206</v>
      </c>
      <c r="C54" s="250"/>
      <c r="D54" s="264">
        <v>8</v>
      </c>
      <c r="E54" s="264">
        <v>5</v>
      </c>
      <c r="F54" s="265">
        <f t="shared" si="0"/>
        <v>13</v>
      </c>
      <c r="G54" s="250"/>
      <c r="H54" s="250"/>
      <c r="I54" s="82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</row>
    <row r="55" spans="1:26" ht="15.75">
      <c r="A55" s="35"/>
      <c r="B55" s="251" t="s">
        <v>207</v>
      </c>
      <c r="C55" s="250"/>
      <c r="D55" s="264">
        <v>280</v>
      </c>
      <c r="E55" s="264">
        <v>50</v>
      </c>
      <c r="F55" s="265">
        <f t="shared" si="0"/>
        <v>330</v>
      </c>
      <c r="G55" s="250"/>
      <c r="H55" s="250"/>
      <c r="I55" s="82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</row>
    <row r="56" spans="1:26" ht="15.75">
      <c r="A56" s="35"/>
      <c r="B56" s="251" t="s">
        <v>208</v>
      </c>
      <c r="C56" s="250"/>
      <c r="D56" s="264">
        <v>21</v>
      </c>
      <c r="E56" s="264">
        <v>10</v>
      </c>
      <c r="F56" s="265">
        <f t="shared" si="0"/>
        <v>31</v>
      </c>
      <c r="G56" s="250"/>
      <c r="H56" s="250"/>
      <c r="I56" s="82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</row>
    <row r="57" spans="1:26" ht="15.75">
      <c r="A57" s="35"/>
      <c r="B57" s="251" t="s">
        <v>209</v>
      </c>
      <c r="C57" s="250"/>
      <c r="D57" s="264"/>
      <c r="E57" s="264"/>
      <c r="F57" s="265">
        <f t="shared" si="0"/>
        <v>0</v>
      </c>
      <c r="G57" s="250"/>
      <c r="H57" s="250"/>
      <c r="I57" s="82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</row>
    <row r="58" spans="1:26" ht="15.75">
      <c r="A58" s="35"/>
      <c r="B58" s="251" t="s">
        <v>210</v>
      </c>
      <c r="C58" s="250"/>
      <c r="D58" s="264"/>
      <c r="E58" s="264"/>
      <c r="F58" s="265">
        <f t="shared" si="0"/>
        <v>0</v>
      </c>
      <c r="G58" s="250"/>
      <c r="H58" s="250"/>
      <c r="I58" s="82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</row>
    <row r="59" spans="1:26" ht="15.75">
      <c r="A59" s="35"/>
      <c r="B59" s="251" t="s">
        <v>211</v>
      </c>
      <c r="C59" s="250"/>
      <c r="D59" s="264"/>
      <c r="E59" s="264"/>
      <c r="F59" s="265">
        <f t="shared" si="0"/>
        <v>0</v>
      </c>
      <c r="G59" s="250"/>
      <c r="H59" s="250"/>
      <c r="I59" s="82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</row>
    <row r="60" spans="1:26" ht="15.75">
      <c r="A60" s="35"/>
      <c r="B60" s="251" t="s">
        <v>199</v>
      </c>
      <c r="C60" s="250"/>
      <c r="D60" s="264"/>
      <c r="E60" s="264"/>
      <c r="F60" s="265">
        <f t="shared" si="0"/>
        <v>0</v>
      </c>
      <c r="G60" s="250"/>
      <c r="H60" s="250"/>
      <c r="I60" s="82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</row>
    <row r="61" spans="1:26" ht="15.75">
      <c r="A61" s="35"/>
      <c r="B61" s="251" t="s">
        <v>212</v>
      </c>
      <c r="C61" s="250"/>
      <c r="D61" s="266"/>
      <c r="E61" s="266"/>
      <c r="F61" s="267">
        <v>0.5</v>
      </c>
      <c r="G61" s="251" t="s">
        <v>213</v>
      </c>
      <c r="H61" s="250"/>
      <c r="I61" s="82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</row>
    <row r="62" spans="1:26" ht="15.75">
      <c r="A62" s="35"/>
      <c r="B62" s="251" t="s">
        <v>174</v>
      </c>
      <c r="C62" s="250"/>
      <c r="D62" s="264">
        <v>400</v>
      </c>
      <c r="E62" s="264">
        <v>25</v>
      </c>
      <c r="F62" s="265">
        <f>D62+E62</f>
        <v>425</v>
      </c>
      <c r="G62" s="250"/>
      <c r="H62" s="250"/>
      <c r="I62" s="82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</row>
    <row r="63" spans="1:26" ht="15.75">
      <c r="A63" s="35"/>
      <c r="B63" s="251" t="s">
        <v>172</v>
      </c>
      <c r="C63" s="250"/>
      <c r="D63" s="264">
        <v>250</v>
      </c>
      <c r="E63" s="264">
        <v>75</v>
      </c>
      <c r="F63" s="265">
        <f>D63+E63</f>
        <v>325</v>
      </c>
      <c r="G63" s="250"/>
      <c r="H63" s="250"/>
      <c r="I63" s="82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</row>
    <row r="64" spans="1:26" ht="15">
      <c r="A64" s="35"/>
      <c r="B64" s="250"/>
      <c r="C64" s="250"/>
      <c r="D64" s="250"/>
      <c r="E64" s="250"/>
      <c r="F64" s="250"/>
      <c r="G64" s="250"/>
      <c r="H64" s="250"/>
      <c r="I64" s="82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</row>
    <row r="65" spans="1:26" ht="15">
      <c r="A65" s="35"/>
      <c r="B65" s="250"/>
      <c r="C65" s="250"/>
      <c r="D65" s="250"/>
      <c r="E65" s="250"/>
      <c r="F65" s="250"/>
      <c r="G65" s="250"/>
      <c r="H65" s="250"/>
      <c r="I65" s="82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</row>
    <row r="66" spans="1:26" ht="15">
      <c r="A66" s="35"/>
      <c r="B66" s="250"/>
      <c r="C66" s="250"/>
      <c r="D66" s="250"/>
      <c r="E66" s="250"/>
      <c r="F66" s="250"/>
      <c r="G66" s="250"/>
      <c r="H66" s="250"/>
      <c r="I66" s="82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</row>
    <row r="67" spans="1:26" ht="1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</row>
    <row r="68" spans="1:26" ht="1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</row>
    <row r="69" spans="1:26" ht="1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</row>
    <row r="70" spans="1:26" ht="1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</row>
    <row r="71" spans="1:26" ht="1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</row>
    <row r="72" spans="1:26" ht="1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</row>
    <row r="73" spans="1:26" ht="1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</row>
    <row r="74" spans="1:26" ht="1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</row>
    <row r="75" spans="1:26" ht="1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</row>
    <row r="76" spans="1:26" ht="1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</row>
    <row r="77" spans="1:26" ht="1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</row>
    <row r="78" spans="1:26" ht="1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</row>
  </sheetData>
  <printOptions/>
  <pageMargins left="1" right="0.5" top="1" bottom="0.84" header="0.5" footer="0.5"/>
  <pageSetup fitToHeight="1" fitToWidth="1" horizontalDpi="300" verticalDpi="300" orientation="portrait" scale="64" r:id="rId1"/>
  <headerFooter alignWithMargins="0">
    <oddHeader>&amp;L&amp;"Arial MT,Bold"WATERGY: &amp;"Arial MT,Regular"Inputs and Assumptions&amp;R&amp;D</oddHeader>
  </headerFooter>
  <rowBreaks count="1" manualBreakCount="1">
    <brk id="4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S137"/>
  <sheetViews>
    <sheetView showGridLines="0" zoomScale="75" zoomScaleNormal="75" workbookViewId="0" topLeftCell="A76">
      <selection activeCell="I110" sqref="I110"/>
    </sheetView>
  </sheetViews>
  <sheetFormatPr defaultColWidth="9.77734375" defaultRowHeight="15"/>
  <cols>
    <col min="1" max="1" width="5.21484375" style="0" customWidth="1"/>
    <col min="2" max="2" width="7.3359375" style="0" customWidth="1"/>
    <col min="3" max="3" width="13.10546875" style="0" customWidth="1"/>
    <col min="4" max="4" width="9.99609375" style="0" customWidth="1"/>
    <col min="5" max="5" width="13.21484375" style="0" customWidth="1"/>
    <col min="6" max="6" width="8.6640625" style="0" customWidth="1"/>
    <col min="7" max="7" width="8.3359375" style="0" customWidth="1"/>
    <col min="8" max="8" width="14.21484375" style="0" customWidth="1"/>
    <col min="9" max="9" width="10.6640625" style="0" customWidth="1"/>
    <col min="10" max="10" width="13.21484375" style="0" customWidth="1"/>
    <col min="11" max="11" width="11.77734375" style="0" customWidth="1"/>
    <col min="12" max="12" width="11.10546875" style="0" customWidth="1"/>
    <col min="13" max="13" width="10.88671875" style="0" customWidth="1"/>
    <col min="14" max="14" width="10.21484375" style="0" customWidth="1"/>
    <col min="15" max="15" width="9.99609375" style="0" customWidth="1"/>
    <col min="16" max="16" width="14.21484375" style="0" customWidth="1"/>
    <col min="17" max="17" width="14.6640625" style="0" customWidth="1"/>
    <col min="18" max="18" width="12.88671875" style="0" customWidth="1"/>
    <col min="19" max="19" width="11.3359375" style="0" customWidth="1"/>
  </cols>
  <sheetData>
    <row r="1" spans="1:9" ht="15">
      <c r="A1" s="87"/>
      <c r="B1" s="120" t="s">
        <v>388</v>
      </c>
      <c r="C1" s="87"/>
      <c r="D1" s="87"/>
      <c r="E1" s="87"/>
      <c r="F1" s="87"/>
      <c r="G1" s="87"/>
      <c r="H1" s="87"/>
      <c r="I1" s="87"/>
    </row>
    <row r="2" spans="1:9" ht="15">
      <c r="A2" s="87"/>
      <c r="B2" s="120" t="s">
        <v>74</v>
      </c>
      <c r="C2" s="87"/>
      <c r="D2" s="87"/>
      <c r="E2" s="87"/>
      <c r="F2" s="87"/>
      <c r="G2" s="87"/>
      <c r="H2" s="87"/>
      <c r="I2" s="87"/>
    </row>
    <row r="3" spans="1:9" ht="15">
      <c r="A3" s="151" t="s">
        <v>214</v>
      </c>
      <c r="B3" s="152">
        <v>0.577420546932742</v>
      </c>
      <c r="C3" s="87"/>
      <c r="D3" s="153" t="s">
        <v>215</v>
      </c>
      <c r="E3" s="154"/>
      <c r="F3" s="154"/>
      <c r="G3" s="154"/>
      <c r="H3" s="154"/>
      <c r="I3" s="154"/>
    </row>
    <row r="4" spans="1:9" ht="15">
      <c r="A4" s="155" t="s">
        <v>216</v>
      </c>
      <c r="B4" s="156">
        <v>0.577420546932742</v>
      </c>
      <c r="C4" s="87"/>
      <c r="D4" s="157"/>
      <c r="E4" s="158"/>
      <c r="F4" s="158"/>
      <c r="G4" s="158"/>
      <c r="H4" s="158"/>
      <c r="I4" s="158"/>
    </row>
    <row r="5" spans="1:9" ht="15">
      <c r="A5" s="155" t="s">
        <v>218</v>
      </c>
      <c r="B5" s="156">
        <v>0.577420546932742</v>
      </c>
      <c r="C5" s="87"/>
      <c r="D5" s="153" t="s">
        <v>217</v>
      </c>
      <c r="E5" s="154"/>
      <c r="F5" s="154"/>
      <c r="G5" s="154"/>
      <c r="H5" s="154"/>
      <c r="I5" s="154"/>
    </row>
    <row r="6" spans="1:9" ht="15.75" thickBot="1">
      <c r="A6" s="155" t="s">
        <v>219</v>
      </c>
      <c r="B6" s="156">
        <v>0.577420546932742</v>
      </c>
      <c r="C6" s="87"/>
      <c r="D6" s="159"/>
      <c r="E6" s="159"/>
      <c r="F6" s="159"/>
      <c r="G6" s="159"/>
      <c r="H6" s="159"/>
      <c r="I6" s="159"/>
    </row>
    <row r="7" spans="1:9" ht="15">
      <c r="A7" s="155" t="s">
        <v>223</v>
      </c>
      <c r="B7" s="156">
        <v>0.577420546932742</v>
      </c>
      <c r="C7" s="87"/>
      <c r="D7" s="160"/>
      <c r="E7" s="161"/>
      <c r="F7" s="162" t="s">
        <v>220</v>
      </c>
      <c r="G7" s="162" t="s">
        <v>51</v>
      </c>
      <c r="H7" s="162" t="s">
        <v>221</v>
      </c>
      <c r="I7" s="163" t="s">
        <v>222</v>
      </c>
    </row>
    <row r="8" spans="1:9" ht="15">
      <c r="A8" s="155" t="s">
        <v>229</v>
      </c>
      <c r="B8" s="156">
        <v>0.577420546932742</v>
      </c>
      <c r="C8" s="87"/>
      <c r="D8" s="164" t="s">
        <v>224</v>
      </c>
      <c r="E8" s="165" t="s">
        <v>225</v>
      </c>
      <c r="F8" s="165" t="s">
        <v>74</v>
      </c>
      <c r="G8" s="165" t="s">
        <v>226</v>
      </c>
      <c r="H8" s="165" t="s">
        <v>227</v>
      </c>
      <c r="I8" s="166" t="s">
        <v>228</v>
      </c>
    </row>
    <row r="9" spans="1:9" ht="15.75" thickBot="1">
      <c r="A9" s="155" t="s">
        <v>234</v>
      </c>
      <c r="B9" s="156">
        <v>0.4321836074962542</v>
      </c>
      <c r="C9" s="87"/>
      <c r="D9" s="167"/>
      <c r="E9" s="168"/>
      <c r="F9" s="165" t="s">
        <v>230</v>
      </c>
      <c r="G9" s="165" t="s">
        <v>231</v>
      </c>
      <c r="H9" s="165" t="s">
        <v>232</v>
      </c>
      <c r="I9" s="166" t="s">
        <v>233</v>
      </c>
    </row>
    <row r="10" spans="1:9" ht="15">
      <c r="A10" s="155" t="s">
        <v>236</v>
      </c>
      <c r="B10" s="156">
        <v>0.4321836074962542</v>
      </c>
      <c r="C10" s="87"/>
      <c r="D10" s="169">
        <v>1</v>
      </c>
      <c r="E10" s="170" t="s">
        <v>235</v>
      </c>
      <c r="F10" s="171">
        <f>(+G10/H10)/(1-I10)</f>
        <v>0.577420546932742</v>
      </c>
      <c r="G10" s="172">
        <v>0.05</v>
      </c>
      <c r="H10" s="173">
        <v>0.096</v>
      </c>
      <c r="I10" s="174">
        <v>0.098</v>
      </c>
    </row>
    <row r="11" spans="1:9" ht="15">
      <c r="A11" s="155" t="s">
        <v>238</v>
      </c>
      <c r="B11" s="156">
        <v>1.4362167084491448</v>
      </c>
      <c r="C11" s="87"/>
      <c r="D11" s="175"/>
      <c r="E11" s="176" t="s">
        <v>237</v>
      </c>
      <c r="F11" s="177">
        <f aca="true" t="shared" si="0" ref="F11:I15">F10</f>
        <v>0.577420546932742</v>
      </c>
      <c r="G11" s="177">
        <f t="shared" si="0"/>
        <v>0.05</v>
      </c>
      <c r="H11" s="177">
        <f t="shared" si="0"/>
        <v>0.096</v>
      </c>
      <c r="I11" s="178">
        <f t="shared" si="0"/>
        <v>0.098</v>
      </c>
    </row>
    <row r="12" spans="1:9" ht="15">
      <c r="A12" s="155" t="s">
        <v>240</v>
      </c>
      <c r="B12" s="156">
        <v>1.4362167084491448</v>
      </c>
      <c r="C12" s="87"/>
      <c r="D12" s="175"/>
      <c r="E12" s="176" t="s">
        <v>239</v>
      </c>
      <c r="F12" s="177">
        <f t="shared" si="0"/>
        <v>0.577420546932742</v>
      </c>
      <c r="G12" s="177">
        <f t="shared" si="0"/>
        <v>0.05</v>
      </c>
      <c r="H12" s="177">
        <f t="shared" si="0"/>
        <v>0.096</v>
      </c>
      <c r="I12" s="178">
        <f t="shared" si="0"/>
        <v>0.098</v>
      </c>
    </row>
    <row r="13" spans="1:9" ht="15">
      <c r="A13" s="155" t="s">
        <v>242</v>
      </c>
      <c r="B13" s="156">
        <v>1.4362167084491448</v>
      </c>
      <c r="C13" s="87"/>
      <c r="D13" s="175"/>
      <c r="E13" s="176" t="s">
        <v>241</v>
      </c>
      <c r="F13" s="177">
        <f t="shared" si="0"/>
        <v>0.577420546932742</v>
      </c>
      <c r="G13" s="177">
        <f t="shared" si="0"/>
        <v>0.05</v>
      </c>
      <c r="H13" s="177">
        <f t="shared" si="0"/>
        <v>0.096</v>
      </c>
      <c r="I13" s="178">
        <f t="shared" si="0"/>
        <v>0.098</v>
      </c>
    </row>
    <row r="14" spans="1:9" ht="15">
      <c r="A14" s="155" t="s">
        <v>244</v>
      </c>
      <c r="B14" s="156">
        <v>1.4362167084491448</v>
      </c>
      <c r="C14" s="87"/>
      <c r="D14" s="175"/>
      <c r="E14" s="176" t="s">
        <v>243</v>
      </c>
      <c r="F14" s="177">
        <f t="shared" si="0"/>
        <v>0.577420546932742</v>
      </c>
      <c r="G14" s="177">
        <f t="shared" si="0"/>
        <v>0.05</v>
      </c>
      <c r="H14" s="177">
        <f t="shared" si="0"/>
        <v>0.096</v>
      </c>
      <c r="I14" s="178">
        <f t="shared" si="0"/>
        <v>0.098</v>
      </c>
    </row>
    <row r="15" spans="1:9" ht="15">
      <c r="A15" s="155" t="s">
        <v>246</v>
      </c>
      <c r="B15" s="156">
        <v>1.4362167084491448</v>
      </c>
      <c r="C15" s="87"/>
      <c r="D15" s="175"/>
      <c r="E15" s="176" t="s">
        <v>245</v>
      </c>
      <c r="F15" s="177">
        <f t="shared" si="0"/>
        <v>0.577420546932742</v>
      </c>
      <c r="G15" s="177">
        <f t="shared" si="0"/>
        <v>0.05</v>
      </c>
      <c r="H15" s="177">
        <f t="shared" si="0"/>
        <v>0.096</v>
      </c>
      <c r="I15" s="178">
        <f t="shared" si="0"/>
        <v>0.098</v>
      </c>
    </row>
    <row r="16" spans="1:9" ht="15">
      <c r="A16" s="155" t="s">
        <v>248</v>
      </c>
      <c r="B16" s="156">
        <v>1.4362167084491448</v>
      </c>
      <c r="C16" s="87"/>
      <c r="D16" s="179">
        <v>2</v>
      </c>
      <c r="E16" s="180" t="s">
        <v>247</v>
      </c>
      <c r="F16" s="181">
        <f>(+G16/H16)/(1-I16)</f>
        <v>0.4321836074962542</v>
      </c>
      <c r="G16" s="182">
        <v>0.04</v>
      </c>
      <c r="H16" s="183">
        <v>0.1049356642322339</v>
      </c>
      <c r="I16" s="184">
        <v>0.11800000000000001</v>
      </c>
    </row>
    <row r="17" spans="1:9" ht="15">
      <c r="A17" s="155" t="s">
        <v>250</v>
      </c>
      <c r="B17" s="156">
        <v>1.659529088155515</v>
      </c>
      <c r="C17" s="87"/>
      <c r="D17" s="175"/>
      <c r="E17" s="176" t="s">
        <v>249</v>
      </c>
      <c r="F17" s="177">
        <f>F16</f>
        <v>0.4321836074962542</v>
      </c>
      <c r="G17" s="177">
        <f>G16</f>
        <v>0.04</v>
      </c>
      <c r="H17" s="177">
        <f>H16</f>
        <v>0.1049356642322339</v>
      </c>
      <c r="I17" s="178">
        <f>I16</f>
        <v>0.11800000000000001</v>
      </c>
    </row>
    <row r="18" spans="1:9" ht="15">
      <c r="A18" s="155" t="s">
        <v>86</v>
      </c>
      <c r="B18" s="156">
        <v>1.659529088155515</v>
      </c>
      <c r="C18" s="87"/>
      <c r="D18" s="179">
        <v>3</v>
      </c>
      <c r="E18" s="180" t="s">
        <v>251</v>
      </c>
      <c r="F18" s="181">
        <f aca="true" t="shared" si="1" ref="F18:F55">(+G18/H18)/(1-I18)</f>
        <v>1.4362167084491448</v>
      </c>
      <c r="G18" s="182">
        <v>0.09</v>
      </c>
      <c r="H18" s="183">
        <v>0.07286585803872318</v>
      </c>
      <c r="I18" s="184">
        <v>0.14</v>
      </c>
    </row>
    <row r="19" spans="1:9" ht="15">
      <c r="A19" s="155" t="s">
        <v>253</v>
      </c>
      <c r="B19" s="156">
        <v>1.659529088155515</v>
      </c>
      <c r="C19" s="87"/>
      <c r="D19" s="175"/>
      <c r="E19" s="176" t="s">
        <v>252</v>
      </c>
      <c r="F19" s="177">
        <f t="shared" si="1"/>
        <v>1.4362167084491448</v>
      </c>
      <c r="G19" s="177">
        <v>0.09</v>
      </c>
      <c r="H19" s="177">
        <v>0.07286585803872318</v>
      </c>
      <c r="I19" s="178">
        <v>0.14</v>
      </c>
    </row>
    <row r="20" spans="1:9" ht="15">
      <c r="A20" s="155" t="s">
        <v>255</v>
      </c>
      <c r="B20" s="156">
        <v>1.659529088155515</v>
      </c>
      <c r="C20" s="87"/>
      <c r="D20" s="175"/>
      <c r="E20" s="176" t="s">
        <v>254</v>
      </c>
      <c r="F20" s="177">
        <f t="shared" si="1"/>
        <v>1.4362167084491448</v>
      </c>
      <c r="G20" s="177">
        <v>0.09</v>
      </c>
      <c r="H20" s="177">
        <v>0.07286585803872318</v>
      </c>
      <c r="I20" s="178">
        <v>0.14</v>
      </c>
    </row>
    <row r="21" spans="1:9" ht="15">
      <c r="A21" s="155" t="s">
        <v>257</v>
      </c>
      <c r="B21" s="156">
        <v>1.659529088155515</v>
      </c>
      <c r="C21" s="87"/>
      <c r="D21" s="175"/>
      <c r="E21" s="176" t="s">
        <v>256</v>
      </c>
      <c r="F21" s="177">
        <f t="shared" si="1"/>
        <v>1.4362167084491448</v>
      </c>
      <c r="G21" s="177">
        <v>0.09</v>
      </c>
      <c r="H21" s="177">
        <v>0.07286585803872318</v>
      </c>
      <c r="I21" s="178">
        <v>0.14</v>
      </c>
    </row>
    <row r="22" spans="1:9" ht="15">
      <c r="A22" s="155" t="s">
        <v>259</v>
      </c>
      <c r="B22" s="156">
        <v>1.659529088155515</v>
      </c>
      <c r="C22" s="87"/>
      <c r="D22" s="175"/>
      <c r="E22" s="176" t="s">
        <v>258</v>
      </c>
      <c r="F22" s="177">
        <f t="shared" si="1"/>
        <v>1.4362167084491448</v>
      </c>
      <c r="G22" s="177">
        <v>0.09</v>
      </c>
      <c r="H22" s="177">
        <v>0.07286585803872318</v>
      </c>
      <c r="I22" s="178">
        <v>0.14</v>
      </c>
    </row>
    <row r="23" spans="1:9" ht="15">
      <c r="A23" s="155" t="s">
        <v>261</v>
      </c>
      <c r="B23" s="156">
        <v>1.659529088155515</v>
      </c>
      <c r="C23" s="87"/>
      <c r="D23" s="175"/>
      <c r="E23" s="176" t="s">
        <v>260</v>
      </c>
      <c r="F23" s="177">
        <f t="shared" si="1"/>
        <v>1.4362167084491448</v>
      </c>
      <c r="G23" s="177">
        <v>0.09</v>
      </c>
      <c r="H23" s="177">
        <v>0.07286585803872318</v>
      </c>
      <c r="I23" s="178">
        <v>0.14</v>
      </c>
    </row>
    <row r="24" spans="1:9" ht="15">
      <c r="A24" s="155" t="s">
        <v>263</v>
      </c>
      <c r="B24" s="156">
        <v>1.659529088155515</v>
      </c>
      <c r="C24" s="87"/>
      <c r="D24" s="179">
        <v>4</v>
      </c>
      <c r="E24" s="180" t="s">
        <v>262</v>
      </c>
      <c r="F24" s="181">
        <f t="shared" si="1"/>
        <v>1.6595290881555147</v>
      </c>
      <c r="G24" s="182">
        <v>0.1</v>
      </c>
      <c r="H24" s="183">
        <v>0.06687908764908108</v>
      </c>
      <c r="I24" s="184">
        <v>0.099</v>
      </c>
    </row>
    <row r="25" spans="1:9" ht="15">
      <c r="A25" s="155" t="s">
        <v>265</v>
      </c>
      <c r="B25" s="156">
        <v>1.1093732841980624</v>
      </c>
      <c r="C25" s="87"/>
      <c r="D25" s="175"/>
      <c r="E25" s="176" t="s">
        <v>264</v>
      </c>
      <c r="F25" s="177">
        <f t="shared" si="1"/>
        <v>1.6595290881555147</v>
      </c>
      <c r="G25" s="177">
        <v>0.1</v>
      </c>
      <c r="H25" s="177">
        <v>0.06687908764908108</v>
      </c>
      <c r="I25" s="178">
        <v>0.099</v>
      </c>
    </row>
    <row r="26" spans="1:9" ht="15">
      <c r="A26" s="155" t="s">
        <v>267</v>
      </c>
      <c r="B26" s="156">
        <v>1.1093732841980624</v>
      </c>
      <c r="C26" s="87"/>
      <c r="D26" s="175"/>
      <c r="E26" s="176" t="s">
        <v>266</v>
      </c>
      <c r="F26" s="177">
        <f t="shared" si="1"/>
        <v>1.6595290881555147</v>
      </c>
      <c r="G26" s="177">
        <v>0.1</v>
      </c>
      <c r="H26" s="177">
        <v>0.06687908764908108</v>
      </c>
      <c r="I26" s="178">
        <v>0.099</v>
      </c>
    </row>
    <row r="27" spans="1:9" ht="15">
      <c r="A27" s="155" t="s">
        <v>269</v>
      </c>
      <c r="B27" s="156">
        <v>1.1093732841980624</v>
      </c>
      <c r="C27" s="87"/>
      <c r="D27" s="175"/>
      <c r="E27" s="176" t="s">
        <v>268</v>
      </c>
      <c r="F27" s="177">
        <f t="shared" si="1"/>
        <v>1.6595290881555147</v>
      </c>
      <c r="G27" s="177">
        <v>0.1</v>
      </c>
      <c r="H27" s="177">
        <v>0.06687908764908108</v>
      </c>
      <c r="I27" s="178">
        <v>0.099</v>
      </c>
    </row>
    <row r="28" spans="1:9" ht="15">
      <c r="A28" s="155" t="s">
        <v>271</v>
      </c>
      <c r="B28" s="156">
        <v>1.1093732841980624</v>
      </c>
      <c r="C28" s="87"/>
      <c r="D28" s="175"/>
      <c r="E28" s="176" t="s">
        <v>270</v>
      </c>
      <c r="F28" s="177">
        <f t="shared" si="1"/>
        <v>1.6595290881555147</v>
      </c>
      <c r="G28" s="177">
        <v>0.1</v>
      </c>
      <c r="H28" s="177">
        <v>0.06687908764908108</v>
      </c>
      <c r="I28" s="178">
        <v>0.099</v>
      </c>
    </row>
    <row r="29" spans="1:9" ht="15">
      <c r="A29" s="155" t="s">
        <v>273</v>
      </c>
      <c r="B29" s="156">
        <v>1.1093732841980624</v>
      </c>
      <c r="C29" s="87"/>
      <c r="D29" s="175"/>
      <c r="E29" s="176" t="s">
        <v>272</v>
      </c>
      <c r="F29" s="177">
        <f t="shared" si="1"/>
        <v>1.6595290881555147</v>
      </c>
      <c r="G29" s="177">
        <v>0.1</v>
      </c>
      <c r="H29" s="177">
        <v>0.06687908764908108</v>
      </c>
      <c r="I29" s="178">
        <v>0.099</v>
      </c>
    </row>
    <row r="30" spans="1:9" ht="15">
      <c r="A30" s="155" t="s">
        <v>275</v>
      </c>
      <c r="B30" s="156">
        <v>1.1093732841980624</v>
      </c>
      <c r="C30" s="87"/>
      <c r="D30" s="175"/>
      <c r="E30" s="176" t="s">
        <v>274</v>
      </c>
      <c r="F30" s="177">
        <f t="shared" si="1"/>
        <v>1.6595290881555147</v>
      </c>
      <c r="G30" s="177">
        <v>0.1</v>
      </c>
      <c r="H30" s="177">
        <v>0.06687908764908108</v>
      </c>
      <c r="I30" s="178">
        <v>0.099</v>
      </c>
    </row>
    <row r="31" spans="1:9" ht="15">
      <c r="A31" s="155" t="s">
        <v>277</v>
      </c>
      <c r="B31" s="156">
        <v>1.1093732841980624</v>
      </c>
      <c r="C31" s="87"/>
      <c r="D31" s="175"/>
      <c r="E31" s="176" t="s">
        <v>276</v>
      </c>
      <c r="F31" s="177">
        <f t="shared" si="1"/>
        <v>1.6595290881555147</v>
      </c>
      <c r="G31" s="177">
        <v>0.1</v>
      </c>
      <c r="H31" s="177">
        <v>0.06687908764908108</v>
      </c>
      <c r="I31" s="178">
        <v>0.099</v>
      </c>
    </row>
    <row r="32" spans="1:9" ht="15">
      <c r="A32" s="155" t="s">
        <v>279</v>
      </c>
      <c r="B32" s="156">
        <v>1.6300342646128938</v>
      </c>
      <c r="C32" s="87"/>
      <c r="D32" s="179">
        <v>5</v>
      </c>
      <c r="E32" s="180" t="s">
        <v>278</v>
      </c>
      <c r="F32" s="181">
        <f t="shared" si="1"/>
        <v>1.1093732841980626</v>
      </c>
      <c r="G32" s="182">
        <v>0.07</v>
      </c>
      <c r="H32" s="183">
        <v>0.07303089020850609</v>
      </c>
      <c r="I32" s="184">
        <v>0.136</v>
      </c>
    </row>
    <row r="33" spans="1:9" ht="15">
      <c r="A33" s="155" t="s">
        <v>281</v>
      </c>
      <c r="B33" s="156">
        <v>1.6300342646128938</v>
      </c>
      <c r="C33" s="87"/>
      <c r="D33" s="175"/>
      <c r="E33" s="176" t="s">
        <v>280</v>
      </c>
      <c r="F33" s="177">
        <f t="shared" si="1"/>
        <v>1.1093732841980626</v>
      </c>
      <c r="G33" s="177">
        <v>0.07</v>
      </c>
      <c r="H33" s="177">
        <v>0.07303089020850609</v>
      </c>
      <c r="I33" s="178">
        <v>0.136</v>
      </c>
    </row>
    <row r="34" spans="1:9" ht="15">
      <c r="A34" s="155" t="s">
        <v>283</v>
      </c>
      <c r="B34" s="156">
        <v>1.6300342646128938</v>
      </c>
      <c r="C34" s="87"/>
      <c r="D34" s="175"/>
      <c r="E34" s="176" t="s">
        <v>282</v>
      </c>
      <c r="F34" s="177">
        <f t="shared" si="1"/>
        <v>1.1093732841980626</v>
      </c>
      <c r="G34" s="177">
        <v>0.07</v>
      </c>
      <c r="H34" s="177">
        <v>0.07303089020850609</v>
      </c>
      <c r="I34" s="178">
        <v>0.136</v>
      </c>
    </row>
    <row r="35" spans="1:9" ht="15">
      <c r="A35" s="155" t="s">
        <v>285</v>
      </c>
      <c r="B35" s="156">
        <v>1.6300342646128938</v>
      </c>
      <c r="C35" s="87"/>
      <c r="D35" s="175"/>
      <c r="E35" s="176" t="s">
        <v>284</v>
      </c>
      <c r="F35" s="177">
        <f t="shared" si="1"/>
        <v>1.1093732841980626</v>
      </c>
      <c r="G35" s="177">
        <v>0.07</v>
      </c>
      <c r="H35" s="177">
        <v>0.07303089020850609</v>
      </c>
      <c r="I35" s="178">
        <v>0.136</v>
      </c>
    </row>
    <row r="36" spans="1:9" ht="15">
      <c r="A36" s="155" t="s">
        <v>287</v>
      </c>
      <c r="B36" s="156">
        <v>1.6300342646128938</v>
      </c>
      <c r="C36" s="87"/>
      <c r="D36" s="175"/>
      <c r="E36" s="176" t="s">
        <v>286</v>
      </c>
      <c r="F36" s="177">
        <f t="shared" si="1"/>
        <v>1.1093732841980626</v>
      </c>
      <c r="G36" s="177">
        <v>0.07</v>
      </c>
      <c r="H36" s="177">
        <v>0.07303089020850609</v>
      </c>
      <c r="I36" s="178">
        <v>0.136</v>
      </c>
    </row>
    <row r="37" spans="1:9" ht="15">
      <c r="A37" s="155" t="s">
        <v>289</v>
      </c>
      <c r="B37" s="156">
        <v>1.7266235732252329</v>
      </c>
      <c r="C37" s="87"/>
      <c r="D37" s="175"/>
      <c r="E37" s="176" t="s">
        <v>288</v>
      </c>
      <c r="F37" s="177">
        <f t="shared" si="1"/>
        <v>1.1093732841980626</v>
      </c>
      <c r="G37" s="177">
        <v>0.07</v>
      </c>
      <c r="H37" s="177">
        <v>0.07303089020850609</v>
      </c>
      <c r="I37" s="178">
        <v>0.136</v>
      </c>
    </row>
    <row r="38" spans="1:9" ht="15">
      <c r="A38" s="155" t="s">
        <v>291</v>
      </c>
      <c r="B38" s="156">
        <v>1.7266235732252329</v>
      </c>
      <c r="C38" s="87"/>
      <c r="D38" s="175"/>
      <c r="E38" s="176" t="s">
        <v>290</v>
      </c>
      <c r="F38" s="177">
        <f t="shared" si="1"/>
        <v>1.1093732841980626</v>
      </c>
      <c r="G38" s="177">
        <v>0.07</v>
      </c>
      <c r="H38" s="177">
        <v>0.07303089020850609</v>
      </c>
      <c r="I38" s="178">
        <v>0.136</v>
      </c>
    </row>
    <row r="39" spans="1:9" ht="15">
      <c r="A39" s="155" t="s">
        <v>293</v>
      </c>
      <c r="B39" s="156">
        <v>1.7266235732252329</v>
      </c>
      <c r="C39" s="87"/>
      <c r="D39" s="179">
        <v>6</v>
      </c>
      <c r="E39" s="180" t="s">
        <v>292</v>
      </c>
      <c r="F39" s="181">
        <f t="shared" si="1"/>
        <v>1.6300342646128938</v>
      </c>
      <c r="G39" s="182">
        <v>0.1</v>
      </c>
      <c r="H39" s="183">
        <v>0.06808923821568257</v>
      </c>
      <c r="I39" s="184">
        <v>0.099</v>
      </c>
    </row>
    <row r="40" spans="1:9" ht="15">
      <c r="A40" s="155" t="s">
        <v>295</v>
      </c>
      <c r="B40" s="156">
        <v>1.7266235732252329</v>
      </c>
      <c r="C40" s="87"/>
      <c r="D40" s="175"/>
      <c r="E40" s="176" t="s">
        <v>294</v>
      </c>
      <c r="F40" s="177">
        <f t="shared" si="1"/>
        <v>1.6300342646128938</v>
      </c>
      <c r="G40" s="177">
        <v>0.1</v>
      </c>
      <c r="H40" s="177">
        <v>0.06808923821568257</v>
      </c>
      <c r="I40" s="178">
        <v>0.099</v>
      </c>
    </row>
    <row r="41" spans="1:9" ht="15">
      <c r="A41" s="155" t="s">
        <v>297</v>
      </c>
      <c r="B41" s="156">
        <v>1.099072322088006</v>
      </c>
      <c r="C41" s="87"/>
      <c r="D41" s="175"/>
      <c r="E41" s="176" t="s">
        <v>296</v>
      </c>
      <c r="F41" s="177">
        <f t="shared" si="1"/>
        <v>1.6300342646128938</v>
      </c>
      <c r="G41" s="177">
        <v>0.1</v>
      </c>
      <c r="H41" s="177">
        <v>0.06808923821568257</v>
      </c>
      <c r="I41" s="178">
        <v>0.099</v>
      </c>
    </row>
    <row r="42" spans="1:9" ht="15">
      <c r="A42" s="155" t="s">
        <v>299</v>
      </c>
      <c r="B42" s="156">
        <v>1.099072322088006</v>
      </c>
      <c r="C42" s="87"/>
      <c r="D42" s="175"/>
      <c r="E42" s="176" t="s">
        <v>298</v>
      </c>
      <c r="F42" s="177">
        <f t="shared" si="1"/>
        <v>1.6300342646128938</v>
      </c>
      <c r="G42" s="177">
        <v>0.1</v>
      </c>
      <c r="H42" s="177">
        <v>0.06808923821568257</v>
      </c>
      <c r="I42" s="178">
        <v>0.099</v>
      </c>
    </row>
    <row r="43" spans="1:9" ht="15">
      <c r="A43" s="155" t="s">
        <v>301</v>
      </c>
      <c r="B43" s="156">
        <v>1.099072322088006</v>
      </c>
      <c r="C43" s="87"/>
      <c r="D43" s="175"/>
      <c r="E43" s="176" t="s">
        <v>300</v>
      </c>
      <c r="F43" s="177">
        <f t="shared" si="1"/>
        <v>1.6300342646128938</v>
      </c>
      <c r="G43" s="177">
        <v>0.1</v>
      </c>
      <c r="H43" s="177">
        <v>0.06808923821568257</v>
      </c>
      <c r="I43" s="178">
        <v>0.099</v>
      </c>
    </row>
    <row r="44" spans="1:9" ht="15">
      <c r="A44" s="155" t="s">
        <v>303</v>
      </c>
      <c r="B44" s="156">
        <v>1.099072322088006</v>
      </c>
      <c r="C44" s="87"/>
      <c r="D44" s="179">
        <v>7</v>
      </c>
      <c r="E44" s="180" t="s">
        <v>302</v>
      </c>
      <c r="F44" s="181">
        <f t="shared" si="1"/>
        <v>1.7266235732252326</v>
      </c>
      <c r="G44" s="182">
        <v>0.1</v>
      </c>
      <c r="H44" s="183">
        <v>0.06364450919944382</v>
      </c>
      <c r="I44" s="184">
        <v>0.09</v>
      </c>
    </row>
    <row r="45" spans="1:9" ht="15">
      <c r="A45" s="155" t="s">
        <v>305</v>
      </c>
      <c r="B45" s="156">
        <v>1.099072322088006</v>
      </c>
      <c r="C45" s="87"/>
      <c r="D45" s="175"/>
      <c r="E45" s="176" t="s">
        <v>304</v>
      </c>
      <c r="F45" s="177">
        <f t="shared" si="1"/>
        <v>1.7266235732252326</v>
      </c>
      <c r="G45" s="177">
        <v>0.1</v>
      </c>
      <c r="H45" s="177">
        <v>0.06364450919944382</v>
      </c>
      <c r="I45" s="178">
        <v>0.09</v>
      </c>
    </row>
    <row r="46" spans="1:9" ht="15">
      <c r="A46" s="155" t="s">
        <v>307</v>
      </c>
      <c r="B46" s="156">
        <v>0.860902112714048</v>
      </c>
      <c r="C46" s="87"/>
      <c r="D46" s="175"/>
      <c r="E46" s="176" t="s">
        <v>306</v>
      </c>
      <c r="F46" s="177">
        <f t="shared" si="1"/>
        <v>1.7266235732252326</v>
      </c>
      <c r="G46" s="177">
        <v>0.1</v>
      </c>
      <c r="H46" s="177">
        <v>0.06364450919944382</v>
      </c>
      <c r="I46" s="178">
        <v>0.09</v>
      </c>
    </row>
    <row r="47" spans="1:9" ht="15">
      <c r="A47" s="155" t="s">
        <v>309</v>
      </c>
      <c r="B47" s="156">
        <v>0.860902112714048</v>
      </c>
      <c r="C47" s="87"/>
      <c r="D47" s="175"/>
      <c r="E47" s="176" t="s">
        <v>308</v>
      </c>
      <c r="F47" s="177">
        <f t="shared" si="1"/>
        <v>1.7266235732252326</v>
      </c>
      <c r="G47" s="177">
        <v>0.1</v>
      </c>
      <c r="H47" s="177">
        <v>0.06364450919944382</v>
      </c>
      <c r="I47" s="178">
        <v>0.09</v>
      </c>
    </row>
    <row r="48" spans="1:9" ht="15">
      <c r="A48" s="155" t="s">
        <v>311</v>
      </c>
      <c r="B48" s="156">
        <v>0.860902112714048</v>
      </c>
      <c r="C48" s="87"/>
      <c r="D48" s="179">
        <v>8</v>
      </c>
      <c r="E48" s="180" t="s">
        <v>310</v>
      </c>
      <c r="F48" s="181">
        <f t="shared" si="1"/>
        <v>1.099072322088006</v>
      </c>
      <c r="G48" s="182">
        <v>0.06</v>
      </c>
      <c r="H48" s="183">
        <v>0.05895409711673051</v>
      </c>
      <c r="I48" s="184">
        <v>0.074</v>
      </c>
    </row>
    <row r="49" spans="1:9" ht="15">
      <c r="A49" s="155" t="s">
        <v>313</v>
      </c>
      <c r="B49" s="156">
        <v>0.860902112714048</v>
      </c>
      <c r="C49" s="87"/>
      <c r="D49" s="175"/>
      <c r="E49" s="176" t="s">
        <v>312</v>
      </c>
      <c r="F49" s="177">
        <f t="shared" si="1"/>
        <v>1.099072322088006</v>
      </c>
      <c r="G49" s="177">
        <v>0.06</v>
      </c>
      <c r="H49" s="177">
        <v>0.05895409711673051</v>
      </c>
      <c r="I49" s="178">
        <v>0.074</v>
      </c>
    </row>
    <row r="50" spans="1:9" ht="15">
      <c r="A50" s="155" t="s">
        <v>315</v>
      </c>
      <c r="B50" s="156">
        <v>0.9551904927010306</v>
      </c>
      <c r="C50" s="87"/>
      <c r="D50" s="175"/>
      <c r="E50" s="176" t="s">
        <v>314</v>
      </c>
      <c r="F50" s="177">
        <f t="shared" si="1"/>
        <v>1.099072322088006</v>
      </c>
      <c r="G50" s="177">
        <v>0.06</v>
      </c>
      <c r="H50" s="177">
        <v>0.05895409711673051</v>
      </c>
      <c r="I50" s="178">
        <v>0.074</v>
      </c>
    </row>
    <row r="51" spans="1:9" ht="15">
      <c r="A51" s="155" t="s">
        <v>317</v>
      </c>
      <c r="B51" s="156">
        <v>0.9551904927010306</v>
      </c>
      <c r="C51" s="87"/>
      <c r="D51" s="175"/>
      <c r="E51" s="176" t="s">
        <v>316</v>
      </c>
      <c r="F51" s="177">
        <f t="shared" si="1"/>
        <v>1.099072322088006</v>
      </c>
      <c r="G51" s="177">
        <v>0.06</v>
      </c>
      <c r="H51" s="177">
        <v>0.05895409711673051</v>
      </c>
      <c r="I51" s="178">
        <v>0.074</v>
      </c>
    </row>
    <row r="52" spans="1:9" ht="15">
      <c r="A52" s="155" t="s">
        <v>319</v>
      </c>
      <c r="B52" s="156">
        <v>0.9551904927010306</v>
      </c>
      <c r="C52" s="87"/>
      <c r="D52" s="175"/>
      <c r="E52" s="176" t="s">
        <v>318</v>
      </c>
      <c r="F52" s="177">
        <f t="shared" si="1"/>
        <v>1.099072322088006</v>
      </c>
      <c r="G52" s="177">
        <v>0.06</v>
      </c>
      <c r="H52" s="177">
        <v>0.05895409711673051</v>
      </c>
      <c r="I52" s="178">
        <v>0.074</v>
      </c>
    </row>
    <row r="53" spans="1:9" ht="15">
      <c r="A53" s="185" t="s">
        <v>321</v>
      </c>
      <c r="B53" s="186">
        <v>0.9551904927010306</v>
      </c>
      <c r="C53" s="87"/>
      <c r="D53" s="179">
        <v>9</v>
      </c>
      <c r="E53" s="180" t="s">
        <v>320</v>
      </c>
      <c r="F53" s="181">
        <f t="shared" si="1"/>
        <v>0.860902112714048</v>
      </c>
      <c r="G53" s="182">
        <v>0.08</v>
      </c>
      <c r="H53" s="183">
        <v>0.09896249160752713</v>
      </c>
      <c r="I53" s="184">
        <v>0.061</v>
      </c>
    </row>
    <row r="54" spans="1:9" ht="15">
      <c r="A54" s="87"/>
      <c r="B54" s="87"/>
      <c r="C54" s="87"/>
      <c r="D54" s="175"/>
      <c r="E54" s="176" t="s">
        <v>322</v>
      </c>
      <c r="F54" s="177">
        <f t="shared" si="1"/>
        <v>0.860902112714048</v>
      </c>
      <c r="G54" s="177">
        <v>0.08</v>
      </c>
      <c r="H54" s="177">
        <v>0.09896249160752713</v>
      </c>
      <c r="I54" s="178">
        <v>0.061</v>
      </c>
    </row>
    <row r="55" spans="1:9" ht="15">
      <c r="A55" s="87"/>
      <c r="B55" s="87"/>
      <c r="C55" s="87"/>
      <c r="D55" s="175"/>
      <c r="E55" s="176" t="s">
        <v>323</v>
      </c>
      <c r="F55" s="177">
        <f t="shared" si="1"/>
        <v>0.860902112714048</v>
      </c>
      <c r="G55" s="177">
        <v>0.08</v>
      </c>
      <c r="H55" s="177">
        <v>0.09896249160752713</v>
      </c>
      <c r="I55" s="178">
        <v>0.061</v>
      </c>
    </row>
    <row r="56" spans="1:9" ht="15">
      <c r="A56" s="87"/>
      <c r="B56" s="87"/>
      <c r="C56" s="87"/>
      <c r="D56" s="175"/>
      <c r="E56" s="176" t="s">
        <v>324</v>
      </c>
      <c r="F56" s="177"/>
      <c r="G56" s="177"/>
      <c r="H56" s="177"/>
      <c r="I56" s="178"/>
    </row>
    <row r="57" spans="1:9" ht="15">
      <c r="A57" s="87"/>
      <c r="B57" s="87"/>
      <c r="C57" s="87"/>
      <c r="D57" s="179">
        <v>10</v>
      </c>
      <c r="E57" s="180" t="s">
        <v>325</v>
      </c>
      <c r="F57" s="181">
        <f>(+G57/H57)/(1-I57)</f>
        <v>0.9551904927010307</v>
      </c>
      <c r="G57" s="182">
        <v>0.04</v>
      </c>
      <c r="H57" s="183">
        <v>0.04764102810704574</v>
      </c>
      <c r="I57" s="184">
        <v>0.121</v>
      </c>
    </row>
    <row r="58" spans="1:9" ht="15">
      <c r="A58" s="87"/>
      <c r="B58" s="87"/>
      <c r="C58" s="87"/>
      <c r="D58" s="175"/>
      <c r="E58" s="176" t="s">
        <v>326</v>
      </c>
      <c r="F58" s="177">
        <f>(+G58/H58)/(1-I58)</f>
        <v>0.9551904927010307</v>
      </c>
      <c r="G58" s="177">
        <v>0.04</v>
      </c>
      <c r="H58" s="177">
        <v>0.04764102810704574</v>
      </c>
      <c r="I58" s="178">
        <v>0.121</v>
      </c>
    </row>
    <row r="59" spans="1:9" ht="15">
      <c r="A59" s="87"/>
      <c r="B59" s="87"/>
      <c r="C59" s="87"/>
      <c r="D59" s="175"/>
      <c r="E59" s="176" t="s">
        <v>327</v>
      </c>
      <c r="F59" s="177">
        <f>(+G59/H59)/(1-I59)</f>
        <v>0.9551904927010307</v>
      </c>
      <c r="G59" s="177">
        <v>0.04</v>
      </c>
      <c r="H59" s="177">
        <v>0.04764102810704574</v>
      </c>
      <c r="I59" s="178">
        <v>0.121</v>
      </c>
    </row>
    <row r="60" spans="1:9" ht="15.75" thickBot="1">
      <c r="A60" s="87"/>
      <c r="B60" s="87"/>
      <c r="C60" s="87"/>
      <c r="D60" s="187"/>
      <c r="E60" s="188" t="s">
        <v>328</v>
      </c>
      <c r="F60" s="189">
        <f>(+G60/H60)/(1-I60)</f>
        <v>0.9551904927010307</v>
      </c>
      <c r="G60" s="189">
        <v>0.04</v>
      </c>
      <c r="H60" s="189">
        <v>0.04764102810704574</v>
      </c>
      <c r="I60" s="190">
        <v>0.121</v>
      </c>
    </row>
    <row r="61" spans="1:9" ht="15">
      <c r="A61" s="87"/>
      <c r="B61" s="87"/>
      <c r="C61" s="87"/>
      <c r="D61" s="87"/>
      <c r="E61" s="87"/>
      <c r="F61" s="87"/>
      <c r="G61" s="87"/>
      <c r="H61" s="87"/>
      <c r="I61" s="87"/>
    </row>
    <row r="62" spans="1:9" ht="15">
      <c r="A62" s="87"/>
      <c r="B62" s="87"/>
      <c r="C62" s="87"/>
      <c r="D62" s="191" t="s">
        <v>329</v>
      </c>
      <c r="E62" s="158"/>
      <c r="F62" s="158"/>
      <c r="G62" s="158"/>
      <c r="H62" s="158"/>
      <c r="I62" s="158"/>
    </row>
    <row r="63" spans="1:9" ht="15">
      <c r="A63" s="87"/>
      <c r="B63" s="87"/>
      <c r="C63" s="87"/>
      <c r="D63" s="191" t="s">
        <v>330</v>
      </c>
      <c r="E63" s="158"/>
      <c r="F63" s="158"/>
      <c r="G63" s="158"/>
      <c r="H63" s="158"/>
      <c r="I63" s="158"/>
    </row>
    <row r="71" spans="1:19" ht="15">
      <c r="A71" s="127"/>
      <c r="B71" s="119"/>
      <c r="C71" s="317" t="s">
        <v>517</v>
      </c>
      <c r="D71" s="318"/>
      <c r="E71" s="318"/>
      <c r="F71" s="318"/>
      <c r="G71" s="318"/>
      <c r="H71" s="318"/>
      <c r="I71" s="319"/>
      <c r="J71" s="317" t="s">
        <v>518</v>
      </c>
      <c r="K71" s="318"/>
      <c r="L71" s="318"/>
      <c r="M71" s="318"/>
      <c r="N71" s="318"/>
      <c r="O71" s="319"/>
      <c r="P71" s="317" t="s">
        <v>519</v>
      </c>
      <c r="Q71" s="318"/>
      <c r="R71" s="318"/>
      <c r="S71" s="319"/>
    </row>
    <row r="72" spans="1:19" ht="15">
      <c r="A72" s="123" t="s">
        <v>334</v>
      </c>
      <c r="B72" s="123" t="s">
        <v>150</v>
      </c>
      <c r="C72" s="123" t="s">
        <v>389</v>
      </c>
      <c r="D72" s="123" t="s">
        <v>335</v>
      </c>
      <c r="E72" s="123" t="s">
        <v>387</v>
      </c>
      <c r="F72" s="123" t="s">
        <v>336</v>
      </c>
      <c r="G72" s="123" t="s">
        <v>337</v>
      </c>
      <c r="H72" s="123" t="s">
        <v>392</v>
      </c>
      <c r="I72" s="123" t="s">
        <v>394</v>
      </c>
      <c r="J72" s="123" t="s">
        <v>399</v>
      </c>
      <c r="K72" s="123" t="s">
        <v>400</v>
      </c>
      <c r="L72" s="123" t="s">
        <v>397</v>
      </c>
      <c r="M72" s="123" t="s">
        <v>402</v>
      </c>
      <c r="N72" s="123" t="s">
        <v>425</v>
      </c>
      <c r="O72" s="123" t="s">
        <v>426</v>
      </c>
      <c r="P72" s="123" t="s">
        <v>403</v>
      </c>
      <c r="Q72" s="123" t="s">
        <v>404</v>
      </c>
      <c r="R72" s="123" t="s">
        <v>406</v>
      </c>
      <c r="S72" s="123" t="s">
        <v>407</v>
      </c>
    </row>
    <row r="73" spans="1:19" ht="15.75" thickBot="1">
      <c r="A73" s="150"/>
      <c r="B73" s="150"/>
      <c r="C73" s="150" t="s">
        <v>391</v>
      </c>
      <c r="D73" s="150" t="s">
        <v>390</v>
      </c>
      <c r="E73" s="150" t="s">
        <v>391</v>
      </c>
      <c r="F73" s="150" t="s">
        <v>390</v>
      </c>
      <c r="G73" s="150" t="s">
        <v>390</v>
      </c>
      <c r="H73" s="150" t="s">
        <v>393</v>
      </c>
      <c r="I73" s="150" t="s">
        <v>395</v>
      </c>
      <c r="J73" s="150" t="s">
        <v>396</v>
      </c>
      <c r="K73" s="150" t="s">
        <v>401</v>
      </c>
      <c r="L73" s="150" t="s">
        <v>398</v>
      </c>
      <c r="M73" s="150" t="s">
        <v>401</v>
      </c>
      <c r="N73" s="150" t="s">
        <v>390</v>
      </c>
      <c r="O73" s="150" t="s">
        <v>401</v>
      </c>
      <c r="P73" s="150" t="s">
        <v>401</v>
      </c>
      <c r="Q73" s="150" t="s">
        <v>405</v>
      </c>
      <c r="R73" s="150" t="s">
        <v>401</v>
      </c>
      <c r="S73" s="150" t="s">
        <v>401</v>
      </c>
    </row>
    <row r="74" spans="1:19" ht="15">
      <c r="A74" s="142" t="s">
        <v>94</v>
      </c>
      <c r="B74" s="132"/>
      <c r="C74" s="135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6"/>
      <c r="O74" s="149"/>
      <c r="P74" s="136"/>
      <c r="Q74" s="136"/>
      <c r="R74" s="136"/>
      <c r="S74" s="247"/>
    </row>
    <row r="75" spans="1:19" ht="15">
      <c r="A75" s="121">
        <f aca="true" t="shared" si="2" ref="A75:A80">IF(E75&lt;C75,B75,0)</f>
        <v>6</v>
      </c>
      <c r="B75" s="121">
        <f>'Attachment A'!F27</f>
        <v>6</v>
      </c>
      <c r="C75" s="121">
        <f>'Attachment A'!E27</f>
        <v>3</v>
      </c>
      <c r="D75" s="121">
        <f>'Attachment A'!J27</f>
        <v>297</v>
      </c>
      <c r="E75" s="121">
        <f aca="true" t="shared" si="3" ref="E75:E80">TOILET_TARGET</f>
        <v>1.6</v>
      </c>
      <c r="F75" s="121">
        <f aca="true" t="shared" si="4" ref="F75:F80">IF(B75=0,0,+D75*E75/C75)</f>
        <v>158.4</v>
      </c>
      <c r="G75" s="121">
        <f aca="true" t="shared" si="5" ref="G75:G80">IF(F75&gt;=D75,0,+D75-F75)</f>
        <v>138.6</v>
      </c>
      <c r="H75" s="121">
        <f aca="true" t="shared" si="6" ref="H75:H80">G75*(WATER_RATE+SEWER_RATE)</f>
        <v>2.4255</v>
      </c>
      <c r="I75" s="128">
        <f aca="true" t="shared" si="7" ref="I75:I80">IF(F75&gt;=D75,0,+TOILET_COST*B75)</f>
        <v>1770</v>
      </c>
      <c r="J75" s="121">
        <v>0</v>
      </c>
      <c r="K75" s="130">
        <f aca="true" t="shared" si="8" ref="K75:K80">ELECTRICITY_RAT*J75</f>
        <v>0</v>
      </c>
      <c r="L75" s="121">
        <v>0</v>
      </c>
      <c r="M75" s="130">
        <f aca="true" t="shared" si="9" ref="M75:M80">NATURAL_GAS_RAT*L75</f>
        <v>0</v>
      </c>
      <c r="N75" s="121">
        <v>0</v>
      </c>
      <c r="O75" s="128">
        <f aca="true" t="shared" si="10" ref="O75:O80">FUEL_OIL_RATE*N75</f>
        <v>0</v>
      </c>
      <c r="P75" s="130">
        <f aca="true" t="shared" si="11" ref="P75:P80">G75*WATER_ELECTRIC*ELECTRICITY_RAT/1000</f>
        <v>0.007665892189613349</v>
      </c>
      <c r="Q75" s="130">
        <f aca="true" t="shared" si="12" ref="Q75:Q80">G75*WW_ELECTRICITY*ELECTRICITY_RAT/1000</f>
        <v>0.019878394079555963</v>
      </c>
      <c r="R75" s="130">
        <f aca="true" t="shared" si="13" ref="R75:R80">ELECTRICITY_RAT*(1/(1-LINE_LOSS)-1)*((G75*(WATER_ELECTRIC+WW_ELECTRICITY))/1000+J75)</f>
        <v>0.004483953578701983</v>
      </c>
      <c r="S75" s="130">
        <f aca="true" t="shared" si="14" ref="S75:S80">L75*(1/(1-UAF_GAS)-1)*NATURAL_GAS_RAT</f>
        <v>0</v>
      </c>
    </row>
    <row r="76" spans="1:19" ht="15">
      <c r="A76" s="121">
        <f t="shared" si="2"/>
        <v>4</v>
      </c>
      <c r="B76" s="121">
        <f>'Attachment A'!F28</f>
        <v>4</v>
      </c>
      <c r="C76" s="121">
        <f>'Attachment A'!E28</f>
        <v>3.5</v>
      </c>
      <c r="D76" s="121">
        <f>'Attachment A'!J28</f>
        <v>94.5</v>
      </c>
      <c r="E76" s="121">
        <f t="shared" si="3"/>
        <v>1.6</v>
      </c>
      <c r="F76" s="121">
        <f t="shared" si="4"/>
        <v>43.2</v>
      </c>
      <c r="G76" s="121">
        <f t="shared" si="5"/>
        <v>51.3</v>
      </c>
      <c r="H76" s="121">
        <f t="shared" si="6"/>
        <v>0.89775</v>
      </c>
      <c r="I76" s="128">
        <f t="shared" si="7"/>
        <v>1180</v>
      </c>
      <c r="J76" s="121">
        <v>0</v>
      </c>
      <c r="K76" s="130">
        <f t="shared" si="8"/>
        <v>0</v>
      </c>
      <c r="L76" s="121">
        <v>0</v>
      </c>
      <c r="M76" s="130">
        <f t="shared" si="9"/>
        <v>0</v>
      </c>
      <c r="N76" s="121">
        <v>0</v>
      </c>
      <c r="O76" s="128">
        <f t="shared" si="10"/>
        <v>0</v>
      </c>
      <c r="P76" s="130">
        <f t="shared" si="11"/>
        <v>0.002837375680571174</v>
      </c>
      <c r="Q76" s="130">
        <f t="shared" si="12"/>
        <v>0.007357587419056427</v>
      </c>
      <c r="R76" s="130">
        <f t="shared" si="13"/>
        <v>0.001659645155753331</v>
      </c>
      <c r="S76" s="130">
        <f t="shared" si="14"/>
        <v>0</v>
      </c>
    </row>
    <row r="77" spans="1:19" ht="15">
      <c r="A77" s="121">
        <f t="shared" si="2"/>
        <v>0</v>
      </c>
      <c r="B77" s="121">
        <f>'Attachment A'!F29</f>
        <v>0</v>
      </c>
      <c r="C77" s="121">
        <f>'Attachment A'!E29</f>
        <v>0</v>
      </c>
      <c r="D77" s="121">
        <f>'Attachment A'!J29</f>
        <v>0</v>
      </c>
      <c r="E77" s="121">
        <f t="shared" si="3"/>
        <v>1.6</v>
      </c>
      <c r="F77" s="121">
        <f t="shared" si="4"/>
        <v>0</v>
      </c>
      <c r="G77" s="121">
        <f t="shared" si="5"/>
        <v>0</v>
      </c>
      <c r="H77" s="121">
        <f t="shared" si="6"/>
        <v>0</v>
      </c>
      <c r="I77" s="128">
        <f t="shared" si="7"/>
        <v>0</v>
      </c>
      <c r="J77" s="121">
        <v>0</v>
      </c>
      <c r="K77" s="130">
        <f t="shared" si="8"/>
        <v>0</v>
      </c>
      <c r="L77" s="121">
        <v>0</v>
      </c>
      <c r="M77" s="130">
        <f t="shared" si="9"/>
        <v>0</v>
      </c>
      <c r="N77" s="121">
        <v>0</v>
      </c>
      <c r="O77" s="128">
        <f t="shared" si="10"/>
        <v>0</v>
      </c>
      <c r="P77" s="130">
        <f t="shared" si="11"/>
        <v>0</v>
      </c>
      <c r="Q77" s="130">
        <f t="shared" si="12"/>
        <v>0</v>
      </c>
      <c r="R77" s="130">
        <f t="shared" si="13"/>
        <v>0</v>
      </c>
      <c r="S77" s="130">
        <f t="shared" si="14"/>
        <v>0</v>
      </c>
    </row>
    <row r="78" spans="1:19" ht="15">
      <c r="A78" s="121">
        <f t="shared" si="2"/>
        <v>0</v>
      </c>
      <c r="B78" s="121">
        <f>'Attachment A'!F30</f>
        <v>0</v>
      </c>
      <c r="C78" s="121">
        <f>'Attachment A'!E30</f>
        <v>0</v>
      </c>
      <c r="D78" s="121">
        <f>'Attachment A'!J30</f>
        <v>0</v>
      </c>
      <c r="E78" s="121">
        <f t="shared" si="3"/>
        <v>1.6</v>
      </c>
      <c r="F78" s="121">
        <f t="shared" si="4"/>
        <v>0</v>
      </c>
      <c r="G78" s="121">
        <f t="shared" si="5"/>
        <v>0</v>
      </c>
      <c r="H78" s="121">
        <f t="shared" si="6"/>
        <v>0</v>
      </c>
      <c r="I78" s="128">
        <f t="shared" si="7"/>
        <v>0</v>
      </c>
      <c r="J78" s="121">
        <v>0</v>
      </c>
      <c r="K78" s="130">
        <f t="shared" si="8"/>
        <v>0</v>
      </c>
      <c r="L78" s="121">
        <v>0</v>
      </c>
      <c r="M78" s="130">
        <f t="shared" si="9"/>
        <v>0</v>
      </c>
      <c r="N78" s="121">
        <v>0</v>
      </c>
      <c r="O78" s="128">
        <f t="shared" si="10"/>
        <v>0</v>
      </c>
      <c r="P78" s="130">
        <f t="shared" si="11"/>
        <v>0</v>
      </c>
      <c r="Q78" s="130">
        <f t="shared" si="12"/>
        <v>0</v>
      </c>
      <c r="R78" s="130">
        <f t="shared" si="13"/>
        <v>0</v>
      </c>
      <c r="S78" s="130">
        <f t="shared" si="14"/>
        <v>0</v>
      </c>
    </row>
    <row r="79" spans="1:19" ht="15">
      <c r="A79" s="121">
        <f t="shared" si="2"/>
        <v>0</v>
      </c>
      <c r="B79" s="121">
        <f>'Attachment A'!F31</f>
        <v>0</v>
      </c>
      <c r="C79" s="121">
        <f>'Attachment A'!E31</f>
        <v>0</v>
      </c>
      <c r="D79" s="121">
        <f>'Attachment A'!J31</f>
        <v>0</v>
      </c>
      <c r="E79" s="121">
        <f t="shared" si="3"/>
        <v>1.6</v>
      </c>
      <c r="F79" s="121">
        <f t="shared" si="4"/>
        <v>0</v>
      </c>
      <c r="G79" s="121">
        <f t="shared" si="5"/>
        <v>0</v>
      </c>
      <c r="H79" s="121">
        <f t="shared" si="6"/>
        <v>0</v>
      </c>
      <c r="I79" s="128">
        <f t="shared" si="7"/>
        <v>0</v>
      </c>
      <c r="J79" s="121">
        <v>0</v>
      </c>
      <c r="K79" s="130">
        <f t="shared" si="8"/>
        <v>0</v>
      </c>
      <c r="L79" s="121">
        <v>0</v>
      </c>
      <c r="M79" s="130">
        <f t="shared" si="9"/>
        <v>0</v>
      </c>
      <c r="N79" s="121">
        <v>0</v>
      </c>
      <c r="O79" s="128">
        <f t="shared" si="10"/>
        <v>0</v>
      </c>
      <c r="P79" s="130">
        <f t="shared" si="11"/>
        <v>0</v>
      </c>
      <c r="Q79" s="130">
        <f t="shared" si="12"/>
        <v>0</v>
      </c>
      <c r="R79" s="130">
        <f t="shared" si="13"/>
        <v>0</v>
      </c>
      <c r="S79" s="130">
        <f t="shared" si="14"/>
        <v>0</v>
      </c>
    </row>
    <row r="80" spans="1:19" ht="15">
      <c r="A80" s="121">
        <f t="shared" si="2"/>
        <v>0</v>
      </c>
      <c r="B80" s="121">
        <f>'Attachment A'!F32</f>
        <v>0</v>
      </c>
      <c r="C80" s="121">
        <f>'Attachment A'!E32</f>
        <v>0</v>
      </c>
      <c r="D80" s="121">
        <f>'Attachment A'!J32</f>
        <v>0</v>
      </c>
      <c r="E80" s="121">
        <f t="shared" si="3"/>
        <v>1.6</v>
      </c>
      <c r="F80" s="121">
        <f t="shared" si="4"/>
        <v>0</v>
      </c>
      <c r="G80" s="121">
        <f t="shared" si="5"/>
        <v>0</v>
      </c>
      <c r="H80" s="121">
        <f t="shared" si="6"/>
        <v>0</v>
      </c>
      <c r="I80" s="128">
        <f t="shared" si="7"/>
        <v>0</v>
      </c>
      <c r="J80" s="121">
        <v>0</v>
      </c>
      <c r="K80" s="130">
        <f t="shared" si="8"/>
        <v>0</v>
      </c>
      <c r="L80" s="121">
        <v>0</v>
      </c>
      <c r="M80" s="130">
        <f t="shared" si="9"/>
        <v>0</v>
      </c>
      <c r="N80" s="121">
        <v>0</v>
      </c>
      <c r="O80" s="128">
        <f t="shared" si="10"/>
        <v>0</v>
      </c>
      <c r="P80" s="130">
        <f t="shared" si="11"/>
        <v>0</v>
      </c>
      <c r="Q80" s="130">
        <f t="shared" si="12"/>
        <v>0</v>
      </c>
      <c r="R80" s="130">
        <f t="shared" si="13"/>
        <v>0</v>
      </c>
      <c r="S80" s="130">
        <f t="shared" si="14"/>
        <v>0</v>
      </c>
    </row>
    <row r="81" spans="1:19" ht="15">
      <c r="A81" s="142" t="s">
        <v>113</v>
      </c>
      <c r="B81" s="132"/>
      <c r="C81" s="132"/>
      <c r="D81" s="132"/>
      <c r="E81" s="132"/>
      <c r="F81" s="132"/>
      <c r="G81" s="132"/>
      <c r="H81" s="132"/>
      <c r="I81" s="133"/>
      <c r="J81" s="132"/>
      <c r="K81" s="134"/>
      <c r="L81" s="132"/>
      <c r="M81" s="134"/>
      <c r="N81" s="132"/>
      <c r="O81" s="148"/>
      <c r="P81" s="134"/>
      <c r="Q81" s="134"/>
      <c r="R81" s="134"/>
      <c r="S81" s="248"/>
    </row>
    <row r="82" spans="1:19" ht="15">
      <c r="A82" s="121">
        <f>IF(E82&lt;C82,B82,0)</f>
        <v>2</v>
      </c>
      <c r="B82" s="121">
        <f>'Attachment A'!F48</f>
        <v>2</v>
      </c>
      <c r="C82" s="121">
        <f>'Attachment A'!E48</f>
        <v>1.5</v>
      </c>
      <c r="D82" s="121">
        <f>'Attachment A'!J48</f>
        <v>99</v>
      </c>
      <c r="E82" s="121">
        <f>IF(WATERLESS=1,WATERLESS_TARGET,+URINAL_TARGET)</f>
        <v>0.001</v>
      </c>
      <c r="F82" s="121">
        <f>IF(B82=0,0,+D82*E82/C82)</f>
        <v>0.066</v>
      </c>
      <c r="G82" s="121">
        <f>IF(F82&gt;=D82,0,+D82-F82)</f>
        <v>98.934</v>
      </c>
      <c r="H82" s="121">
        <f>G82*(WATER_RATE+SEWER_RATE)</f>
        <v>1.7313450000000001</v>
      </c>
      <c r="I82" s="128">
        <f>IF(F82&gt;=D82,0,IF(WATERLESS=1,WATERLESS_COST*B82,+URINAL_COST*B82))</f>
        <v>1250</v>
      </c>
      <c r="J82" s="121">
        <f>IF(WATERLESS=2,0,IF(HOT_WATER_FUEL=1,ELECTRIC_HEAT*F82*(-1),0))</f>
        <v>0</v>
      </c>
      <c r="K82" s="268">
        <f>ELECTRICITY_RAT*J82</f>
        <v>0</v>
      </c>
      <c r="L82" s="121">
        <f>IF(WATERLESS=2,0,IF(HOT_WATER_FUEL=2,GAS_HEAT*F82*(-1),0))</f>
        <v>-0.033</v>
      </c>
      <c r="M82" s="268">
        <f>NATURAL_GAS_RAT*L82</f>
        <v>-0.005346</v>
      </c>
      <c r="N82" s="121">
        <v>0</v>
      </c>
      <c r="O82" s="128">
        <f>FUEL_OIL_RATE*N82</f>
        <v>0</v>
      </c>
      <c r="P82" s="130">
        <f>G82*WATER_ELECTRIC*ELECTRICITY_RAT/1000</f>
        <v>0.005471986853443052</v>
      </c>
      <c r="Q82" s="130">
        <f>G82*WW_ELECTRICITY*ELECTRICITY_RAT/1000</f>
        <v>0.0141893870120259</v>
      </c>
      <c r="R82" s="130">
        <f>ELECTRICITY_RAT*(1/(1-LINE_LOSS)-1)*((G82*(WATER_ELECTRIC+WW_ELECTRICITY))/1000+J82)</f>
        <v>0.0032006887687972725</v>
      </c>
      <c r="S82" s="130">
        <f>L82*(1/(1-UAF_GAS)-1)*NATURAL_GAS_RAT</f>
        <v>-0.00011467415730337031</v>
      </c>
    </row>
    <row r="83" spans="1:19" ht="15">
      <c r="A83" s="121">
        <f>IF(E83&lt;C83,B83,0)</f>
        <v>1</v>
      </c>
      <c r="B83" s="121">
        <f>'Attachment A'!F49</f>
        <v>1</v>
      </c>
      <c r="C83" s="121">
        <f>'Attachment A'!E49</f>
        <v>1</v>
      </c>
      <c r="D83" s="121">
        <f>'Attachment A'!J49</f>
        <v>18</v>
      </c>
      <c r="E83" s="121">
        <f>IF(WATERLESS=1,WATERLESS_TARGET,+URINAL_TARGET)</f>
        <v>0.001</v>
      </c>
      <c r="F83" s="121">
        <f>IF(B83=0,0,+D83*E83/C83)</f>
        <v>0.018000000000000002</v>
      </c>
      <c r="G83" s="121">
        <f>IF(F83&gt;=D83,0,+D83-F83)</f>
        <v>17.982</v>
      </c>
      <c r="H83" s="121">
        <f>G83*(WATER_RATE+SEWER_RATE)</f>
        <v>0.314685</v>
      </c>
      <c r="I83" s="128">
        <f>IF(F83&gt;=D83,0,IF(WATERLESS=1,WATERLESS_COST*B83,+URINAL_COST*B83))</f>
        <v>625</v>
      </c>
      <c r="J83" s="121">
        <f>IF(WATERLESS=2,0,IF(HOT_WATER_FUEL=1,ELECTRIC_HEAT*F83*(-1),0))</f>
        <v>0</v>
      </c>
      <c r="K83" s="268">
        <f>ELECTRICITY_RAT*J83</f>
        <v>0</v>
      </c>
      <c r="L83" s="121">
        <f>IF(WATERLESS=2,0,IF(HOT_WATER_FUEL=2,GAS_HEAT*F83*(-1),0))</f>
        <v>-0.009000000000000001</v>
      </c>
      <c r="M83" s="268">
        <f>NATURAL_GAS_RAT*L83</f>
        <v>-0.0014580000000000003</v>
      </c>
      <c r="N83" s="121">
        <v>0</v>
      </c>
      <c r="O83" s="128">
        <f aca="true" t="shared" si="15" ref="O83:O97">FUEL_OIL_RATE*N83</f>
        <v>0</v>
      </c>
      <c r="P83" s="130">
        <f>G83*WATER_ELECTRIC*ELECTRICITY_RAT/1000</f>
        <v>0.0009945748438212642</v>
      </c>
      <c r="Q83" s="130">
        <f>G83*WW_ELECTRICITY*ELECTRICITY_RAT/1000</f>
        <v>0.0025790280111008318</v>
      </c>
      <c r="R83" s="130">
        <f>ELECTRICITY_RAT*(1/(1-LINE_LOSS)-1)*((G83*(WATER_ELECTRIC+WW_ELECTRICITY))/1000+J83)</f>
        <v>0.0005817493019640625</v>
      </c>
      <c r="S83" s="130">
        <f>L83*(1/(1-UAF_GAS)-1)*NATURAL_GAS_RAT</f>
        <v>-3.1274770173646456E-05</v>
      </c>
    </row>
    <row r="84" spans="1:19" ht="15">
      <c r="A84" s="121">
        <f>IF(E84&lt;C84,B84,0)</f>
        <v>0</v>
      </c>
      <c r="B84" s="121">
        <f>'Attachment A'!F50</f>
        <v>0</v>
      </c>
      <c r="C84" s="121">
        <f>'Attachment A'!E50</f>
        <v>0</v>
      </c>
      <c r="D84" s="121">
        <f>'Attachment A'!J50</f>
        <v>0</v>
      </c>
      <c r="E84" s="121">
        <f>IF(WATERLESS=1,WATERLESS_TARGET,+URINAL_TARGET)</f>
        <v>0.001</v>
      </c>
      <c r="F84" s="121">
        <f>IF(B84=0,0,+D84*E84/C84)</f>
        <v>0</v>
      </c>
      <c r="G84" s="121">
        <f>IF(F84&gt;=D84,0,+D84-F84)</f>
        <v>0</v>
      </c>
      <c r="H84" s="121">
        <f>G84*(WATER_RATE+SEWER_RATE)</f>
        <v>0</v>
      </c>
      <c r="I84" s="128">
        <f>IF(F84&gt;=D84,0,IF(WATERLESS=1,WATERLESS_COST*B84,+URINAL_COST*B84))</f>
        <v>0</v>
      </c>
      <c r="J84" s="121">
        <f>IF(WATERLESS=2,0,IF(HOT_WATER_FUEL=1,ELECTRIC_HEAT*F84*(-1),0))</f>
        <v>0</v>
      </c>
      <c r="K84" s="268">
        <f>ELECTRICITY_RAT*J84</f>
        <v>0</v>
      </c>
      <c r="L84" s="121">
        <f>IF(WATERLESS=2,0,IF(HOT_WATER_FUEL=2,GAS_HEAT*F84*(-1),0))</f>
        <v>0</v>
      </c>
      <c r="M84" s="268">
        <f>NATURAL_GAS_RAT*L84</f>
        <v>0</v>
      </c>
      <c r="N84" s="121">
        <v>0</v>
      </c>
      <c r="O84" s="128">
        <f t="shared" si="15"/>
        <v>0</v>
      </c>
      <c r="P84" s="130">
        <f>G84*WATER_ELECTRIC*ELECTRICITY_RAT/1000</f>
        <v>0</v>
      </c>
      <c r="Q84" s="130">
        <f>G84*WW_ELECTRICITY*ELECTRICITY_RAT/1000</f>
        <v>0</v>
      </c>
      <c r="R84" s="130">
        <f>ELECTRICITY_RAT*(1/(1-LINE_LOSS)-1)*((G84*(WATER_ELECTRIC+WW_ELECTRICITY))/1000+J84)</f>
        <v>0</v>
      </c>
      <c r="S84" s="130">
        <f>L84*(1/(1-UAF_GAS)-1)*NATURAL_GAS_RAT</f>
        <v>0</v>
      </c>
    </row>
    <row r="85" spans="1:19" ht="15">
      <c r="A85" s="121">
        <f>IF(E85&lt;C85,B85,0)</f>
        <v>0</v>
      </c>
      <c r="B85" s="121">
        <f>'Attachment A'!F51</f>
        <v>0</v>
      </c>
      <c r="C85" s="121">
        <f>'Attachment A'!E51</f>
        <v>0</v>
      </c>
      <c r="D85" s="121">
        <f>'Attachment A'!J51</f>
        <v>0</v>
      </c>
      <c r="E85" s="121">
        <f>IF(WATERLESS=1,WATERLESS_TARGET,+URINAL_TARGET)</f>
        <v>0.001</v>
      </c>
      <c r="F85" s="121">
        <f>IF(B85=0,0,+D85*E85/C85)</f>
        <v>0</v>
      </c>
      <c r="G85" s="121">
        <f>IF(F85&gt;=D85,0,+D85-F85)</f>
        <v>0</v>
      </c>
      <c r="H85" s="121">
        <f>G85*(WATER_RATE+SEWER_RATE)</f>
        <v>0</v>
      </c>
      <c r="I85" s="128">
        <f>IF(F85&gt;=D85,0,IF(WATERLESS=1,WATERLESS_COST*B85,+URINAL_COST*B85))</f>
        <v>0</v>
      </c>
      <c r="J85" s="121">
        <f>IF(WATERLESS=2,0,IF(HOT_WATER_FUEL=1,ELECTRIC_HEAT*F85*(-1),0))</f>
        <v>0</v>
      </c>
      <c r="K85" s="268">
        <f>ELECTRICITY_RAT*J85</f>
        <v>0</v>
      </c>
      <c r="L85" s="121">
        <f>IF(WATERLESS=2,0,IF(HOT_WATER_FUEL=2,GAS_HEAT*F85*(-1),0))</f>
        <v>0</v>
      </c>
      <c r="M85" s="268">
        <f>NATURAL_GAS_RAT*L85</f>
        <v>0</v>
      </c>
      <c r="N85" s="121">
        <v>0</v>
      </c>
      <c r="O85" s="128">
        <f t="shared" si="15"/>
        <v>0</v>
      </c>
      <c r="P85" s="130">
        <f>G85*WATER_ELECTRIC*ELECTRICITY_RAT/1000</f>
        <v>0</v>
      </c>
      <c r="Q85" s="130">
        <f>G85*WW_ELECTRICITY*ELECTRICITY_RAT/1000</f>
        <v>0</v>
      </c>
      <c r="R85" s="130">
        <f>ELECTRICITY_RAT*(1/(1-LINE_LOSS)-1)*((G85*(WATER_ELECTRIC+WW_ELECTRICITY))/1000+J85)</f>
        <v>0</v>
      </c>
      <c r="S85" s="130">
        <f>L85*(1/(1-UAF_GAS)-1)*NATURAL_GAS_RAT</f>
        <v>0</v>
      </c>
    </row>
    <row r="86" spans="1:19" ht="15">
      <c r="A86" s="121">
        <f>IF(E86&lt;C86,B86,0)</f>
        <v>0</v>
      </c>
      <c r="B86" s="121">
        <f>'Attachment A'!F52</f>
        <v>0</v>
      </c>
      <c r="C86" s="121">
        <f>'Attachment A'!E52</f>
        <v>0</v>
      </c>
      <c r="D86" s="121">
        <f>'Attachment A'!J52</f>
        <v>0</v>
      </c>
      <c r="E86" s="121">
        <f>IF(WATERLESS=1,WATERLESS_TARGET,+URINAL_TARGET)</f>
        <v>0.001</v>
      </c>
      <c r="F86" s="121">
        <f>IF(B86=0,0,+D86*E86/C86)</f>
        <v>0</v>
      </c>
      <c r="G86" s="121">
        <f>IF(F86&gt;=D86,0,+D86-F86)</f>
        <v>0</v>
      </c>
      <c r="H86" s="121">
        <f>G86*(WATER_RATE+SEWER_RATE)</f>
        <v>0</v>
      </c>
      <c r="I86" s="128">
        <f>IF(F86&gt;=D86,0,IF(WATERLESS=1,WATERLESS_COST*B86,+URINAL_COST*B86))</f>
        <v>0</v>
      </c>
      <c r="J86" s="121">
        <f>IF(WATERLESS=2,0,IF(HOT_WATER_FUEL=1,ELECTRIC_HEAT*F86*(-1),0))</f>
        <v>0</v>
      </c>
      <c r="K86" s="268">
        <f>ELECTRICITY_RAT*J86</f>
        <v>0</v>
      </c>
      <c r="L86" s="121">
        <f>IF(WATERLESS=2,0,IF(HOT_WATER_FUEL=2,GAS_HEAT*F86*(-1),0))</f>
        <v>0</v>
      </c>
      <c r="M86" s="268">
        <f>NATURAL_GAS_RAT*L86</f>
        <v>0</v>
      </c>
      <c r="N86" s="121">
        <v>0</v>
      </c>
      <c r="O86" s="128">
        <f t="shared" si="15"/>
        <v>0</v>
      </c>
      <c r="P86" s="130">
        <f>G86*WATER_ELECTRIC*ELECTRICITY_RAT/1000</f>
        <v>0</v>
      </c>
      <c r="Q86" s="130">
        <f>G86*WW_ELECTRICITY*ELECTRICITY_RAT/1000</f>
        <v>0</v>
      </c>
      <c r="R86" s="130">
        <f>ELECTRICITY_RAT*(1/(1-LINE_LOSS)-1)*((G86*(WATER_ELECTRIC+WW_ELECTRICITY))/1000+J86)</f>
        <v>0</v>
      </c>
      <c r="S86" s="130">
        <f>L86*(1/(1-UAF_GAS)-1)*NATURAL_GAS_RAT</f>
        <v>0</v>
      </c>
    </row>
    <row r="87" spans="1:19" ht="15">
      <c r="A87" s="142" t="s">
        <v>338</v>
      </c>
      <c r="B87" s="132"/>
      <c r="C87" s="132"/>
      <c r="D87" s="132"/>
      <c r="E87" s="132"/>
      <c r="F87" s="132"/>
      <c r="G87" s="132"/>
      <c r="H87" s="132"/>
      <c r="I87" s="133"/>
      <c r="J87" s="132"/>
      <c r="K87" s="134"/>
      <c r="L87" s="132"/>
      <c r="M87" s="134"/>
      <c r="N87" s="132"/>
      <c r="O87" s="148"/>
      <c r="P87" s="134"/>
      <c r="Q87" s="134"/>
      <c r="R87" s="134"/>
      <c r="S87" s="248"/>
    </row>
    <row r="88" spans="1:19" ht="15">
      <c r="A88" s="121">
        <f>IF(E88&lt;C88,B88,0)</f>
        <v>10</v>
      </c>
      <c r="B88" s="121">
        <f>'Attachment A'!F66</f>
        <v>10</v>
      </c>
      <c r="C88" s="121">
        <f>'Attachment A'!E66</f>
        <v>2</v>
      </c>
      <c r="D88" s="121">
        <f>'Attachment A'!J66</f>
        <v>80.92</v>
      </c>
      <c r="E88" s="121">
        <f>IF(FAUCET_OR_AERAT=2,+FAUCET_TARGET,AERATOR_TARGET)</f>
        <v>0.5</v>
      </c>
      <c r="F88" s="121">
        <f>IF(B88=0,0,IF(FAUCET_OR_AERAT=1,+D88*E88/C88,D88*E88/C88*IR_USAGE/'Attachment A'!I66))</f>
        <v>20.23</v>
      </c>
      <c r="G88" s="121">
        <f>IF(F88&gt;=D88,0,+D88-F88)</f>
        <v>60.69</v>
      </c>
      <c r="H88" s="121">
        <f>G88*(WATER_RATE+SEWER_RATE)</f>
        <v>1.062075</v>
      </c>
      <c r="I88" s="128">
        <f>IF(F88&gt;=D88,0,IF(FAUCET_OR_AERAT=2,+FAUCET_COST*B88,AERATOR_COST*B88))</f>
        <v>3300</v>
      </c>
      <c r="J88" s="121">
        <f>IF(HOT_WATER_FUEL=1,ELECTRIC_HEAT*FAUCET_HOT*G88,0)</f>
        <v>0</v>
      </c>
      <c r="K88" s="130">
        <f>ELECTRICITY_RAT*J88</f>
        <v>0</v>
      </c>
      <c r="L88" s="121">
        <f>IF(HOT_WATER_FUEL=2,GAS_HEAT*FAUCET_HOT*G88,0)</f>
        <v>15.1725</v>
      </c>
      <c r="M88" s="130">
        <f>NATURAL_GAS_RAT*L88</f>
        <v>2.457945</v>
      </c>
      <c r="N88" s="121">
        <v>0</v>
      </c>
      <c r="O88" s="128">
        <f t="shared" si="15"/>
        <v>0</v>
      </c>
      <c r="P88" s="130">
        <f>G88*WATER_ELECTRIC*ELECTRICITY_RAT/1000</f>
        <v>0.003356731579997361</v>
      </c>
      <c r="Q88" s="130">
        <f>G88*WW_ELECTRICITY*ELECTRICITY_RAT/1000</f>
        <v>0.008704327104532839</v>
      </c>
      <c r="R88" s="130">
        <f>ELECTRICITY_RAT*(1/(1-LINE_LOSS)-1)*((G88*(WATER_ELECTRIC+WW_ELECTRICITY))/1000+J88)</f>
        <v>0.0019634281579467773</v>
      </c>
      <c r="S88" s="130">
        <f>L88*(1/(1-UAF_GAS)-1)*NATURAL_GAS_RAT</f>
        <v>0.0527240500510723</v>
      </c>
    </row>
    <row r="89" spans="1:19" ht="15">
      <c r="A89" s="121">
        <f>IF(E89&lt;C89,B89,0)</f>
        <v>0</v>
      </c>
      <c r="B89" s="121">
        <f>'Attachment A'!F67</f>
        <v>0</v>
      </c>
      <c r="C89" s="121">
        <f>'Attachment A'!E67</f>
        <v>0</v>
      </c>
      <c r="D89" s="121">
        <f>'Attachment A'!J67</f>
        <v>0</v>
      </c>
      <c r="E89" s="121">
        <f>IF(FAUCET_OR_AERAT=2,+FAUCET_TARGET,AERATOR_TARGET)</f>
        <v>0.5</v>
      </c>
      <c r="F89" s="121">
        <f>IF(B89=0,0,IF(FAUCET_OR_AERAT=1,+D89*E89/C89,D89*E89/C89*IR_USAGE/'Attachment A'!I67))</f>
        <v>0</v>
      </c>
      <c r="G89" s="121">
        <f>IF(F89&gt;=D89,0,+D89-F89)</f>
        <v>0</v>
      </c>
      <c r="H89" s="121">
        <f>G89*(WATER_RATE+SEWER_RATE)</f>
        <v>0</v>
      </c>
      <c r="I89" s="128">
        <f>IF(F89&gt;=D89,0,IF(FAUCET_OR_AERAT=2,+FAUCET_COST*B89,AERATOR_COST*B89))</f>
        <v>0</v>
      </c>
      <c r="J89" s="121">
        <f>IF(HOT_WATER_FUEL=1,ELECTRIC_HEAT*FAUCET_HOT*G89,0)</f>
        <v>0</v>
      </c>
      <c r="K89" s="130">
        <f>ELECTRICITY_RAT*J89</f>
        <v>0</v>
      </c>
      <c r="L89" s="121">
        <f>IF(HOT_WATER_FUEL=2,GAS_HEAT*FAUCET_HOT*G89,0)</f>
        <v>0</v>
      </c>
      <c r="M89" s="130">
        <f>NATURAL_GAS_RAT*L89</f>
        <v>0</v>
      </c>
      <c r="N89" s="121">
        <v>0</v>
      </c>
      <c r="O89" s="128">
        <f t="shared" si="15"/>
        <v>0</v>
      </c>
      <c r="P89" s="130">
        <f>G89*WATER_ELECTRIC*ELECTRICITY_RAT/1000</f>
        <v>0</v>
      </c>
      <c r="Q89" s="130">
        <f>G89*WW_ELECTRICITY*ELECTRICITY_RAT/1000</f>
        <v>0</v>
      </c>
      <c r="R89" s="130">
        <f>ELECTRICITY_RAT*(1/(1-LINE_LOSS)-1)*((G89*(WATER_ELECTRIC+WW_ELECTRICITY))/1000+J89)</f>
        <v>0</v>
      </c>
      <c r="S89" s="130">
        <f>L89*(1/(1-UAF_GAS)-1)*NATURAL_GAS_RAT</f>
        <v>0</v>
      </c>
    </row>
    <row r="90" spans="1:19" ht="15">
      <c r="A90" s="121">
        <f>IF(E90&lt;C90,B90,0)</f>
        <v>0</v>
      </c>
      <c r="B90" s="121">
        <f>'Attachment A'!F68</f>
        <v>0</v>
      </c>
      <c r="C90" s="121">
        <f>'Attachment A'!E68</f>
        <v>0</v>
      </c>
      <c r="D90" s="121">
        <f>'Attachment A'!J68</f>
        <v>0</v>
      </c>
      <c r="E90" s="121">
        <f>IF(FAUCET_OR_AERAT=2,+FAUCET_TARGET,AERATOR_TARGET)</f>
        <v>0.5</v>
      </c>
      <c r="F90" s="121">
        <f>IF(B90=0,0,IF(FAUCET_OR_AERAT=1,+D90*E90/C90,D90*E90/C90*IR_USAGE/'Attachment A'!I68))</f>
        <v>0</v>
      </c>
      <c r="G90" s="121">
        <f>IF(F90&gt;=D90,0,+D90-F90)</f>
        <v>0</v>
      </c>
      <c r="H90" s="121">
        <f>G90*(WATER_RATE+SEWER_RATE)</f>
        <v>0</v>
      </c>
      <c r="I90" s="128">
        <f>IF(F90&gt;=D90,0,IF(FAUCET_OR_AERAT=2,+FAUCET_COST*B90,AERATOR_COST*B90))</f>
        <v>0</v>
      </c>
      <c r="J90" s="121">
        <f>IF(HOT_WATER_FUEL=1,ELECTRIC_HEAT*FAUCET_HOT*G90,0)</f>
        <v>0</v>
      </c>
      <c r="K90" s="130">
        <f>ELECTRICITY_RAT*J90</f>
        <v>0</v>
      </c>
      <c r="L90" s="121">
        <f>IF(HOT_WATER_FUEL=2,GAS_HEAT*FAUCET_HOT*G90,0)</f>
        <v>0</v>
      </c>
      <c r="M90" s="130">
        <f>NATURAL_GAS_RAT*L90</f>
        <v>0</v>
      </c>
      <c r="N90" s="121">
        <v>0</v>
      </c>
      <c r="O90" s="128">
        <f t="shared" si="15"/>
        <v>0</v>
      </c>
      <c r="P90" s="130">
        <f>G90*WATER_ELECTRIC*ELECTRICITY_RAT/1000</f>
        <v>0</v>
      </c>
      <c r="Q90" s="130">
        <f>G90*WW_ELECTRICITY*ELECTRICITY_RAT/1000</f>
        <v>0</v>
      </c>
      <c r="R90" s="130">
        <f>ELECTRICITY_RAT*(1/(1-LINE_LOSS)-1)*((G90*(WATER_ELECTRIC+WW_ELECTRICITY))/1000+J90)</f>
        <v>0</v>
      </c>
      <c r="S90" s="130">
        <f>L90*(1/(1-UAF_GAS)-1)*NATURAL_GAS_RAT</f>
        <v>0</v>
      </c>
    </row>
    <row r="91" spans="1:19" ht="15">
      <c r="A91" s="121">
        <f>IF(E91&lt;C91,B91,0)</f>
        <v>0</v>
      </c>
      <c r="B91" s="121">
        <f>'Attachment A'!F69</f>
        <v>0</v>
      </c>
      <c r="C91" s="121">
        <f>'Attachment A'!E69</f>
        <v>0</v>
      </c>
      <c r="D91" s="121">
        <f>'Attachment A'!J69</f>
        <v>0</v>
      </c>
      <c r="E91" s="121">
        <f>IF(FAUCET_OR_AERAT=2,+FAUCET_TARGET,AERATOR_TARGET)</f>
        <v>0.5</v>
      </c>
      <c r="F91" s="121">
        <f>IF(B91=0,0,IF(FAUCET_OR_AERAT=1,+D91*E91/C91,D91*E91/C91*IR_USAGE/'Attachment A'!I69))</f>
        <v>0</v>
      </c>
      <c r="G91" s="121">
        <f>IF(F91&gt;=D91,0,+D91-F91)</f>
        <v>0</v>
      </c>
      <c r="H91" s="121">
        <f>G91*(WATER_RATE+SEWER_RATE)</f>
        <v>0</v>
      </c>
      <c r="I91" s="128">
        <f>IF(F91&gt;=D91,0,IF(FAUCET_OR_AERAT=2,+FAUCET_COST*B91,AERATOR_COST*B91))</f>
        <v>0</v>
      </c>
      <c r="J91" s="121">
        <f>IF(HOT_WATER_FUEL=1,ELECTRIC_HEAT*FAUCET_HOT*G91,0)</f>
        <v>0</v>
      </c>
      <c r="K91" s="130">
        <f>ELECTRICITY_RAT*J91</f>
        <v>0</v>
      </c>
      <c r="L91" s="121">
        <f>IF(HOT_WATER_FUEL=2,GAS_HEAT*FAUCET_HOT*G91,0)</f>
        <v>0</v>
      </c>
      <c r="M91" s="130">
        <f>NATURAL_GAS_RAT*L91</f>
        <v>0</v>
      </c>
      <c r="N91" s="121">
        <v>0</v>
      </c>
      <c r="O91" s="128">
        <f t="shared" si="15"/>
        <v>0</v>
      </c>
      <c r="P91" s="130">
        <f>G91*WATER_ELECTRIC*ELECTRICITY_RAT/1000</f>
        <v>0</v>
      </c>
      <c r="Q91" s="130">
        <f>G91*WW_ELECTRICITY*ELECTRICITY_RAT/1000</f>
        <v>0</v>
      </c>
      <c r="R91" s="130">
        <f>ELECTRICITY_RAT*(1/(1-LINE_LOSS)-1)*((G91*(WATER_ELECTRIC+WW_ELECTRICITY))/1000+J91)</f>
        <v>0</v>
      </c>
      <c r="S91" s="130">
        <f>L91*(1/(1-UAF_GAS)-1)*NATURAL_GAS_RAT</f>
        <v>0</v>
      </c>
    </row>
    <row r="92" spans="1:19" ht="15">
      <c r="A92" s="121">
        <f>IF(E92&lt;C92,B92,0)</f>
        <v>0</v>
      </c>
      <c r="B92" s="121">
        <f>'Attachment A'!F70</f>
        <v>0</v>
      </c>
      <c r="C92" s="121">
        <f>'Attachment A'!E70</f>
        <v>0</v>
      </c>
      <c r="D92" s="121">
        <f>'Attachment A'!J70</f>
        <v>0</v>
      </c>
      <c r="E92" s="121">
        <f>IF(FAUCET_OR_AERAT=2,+FAUCET_TARGET,AERATOR_TARGET)</f>
        <v>0.5</v>
      </c>
      <c r="F92" s="121">
        <f>IF(B92=0,0,IF(FAUCET_OR_AERAT=1,+D92*E92/C92,D92*E92/C92*IR_USAGE/'Attachment A'!I70))</f>
        <v>0</v>
      </c>
      <c r="G92" s="121">
        <f>IF(F92&gt;=D92,0,+D92-F92)</f>
        <v>0</v>
      </c>
      <c r="H92" s="121">
        <f>G92*(WATER_RATE+SEWER_RATE)</f>
        <v>0</v>
      </c>
      <c r="I92" s="128">
        <f>IF(F92&gt;=D92,0,IF(FAUCET_OR_AERAT=2,+FAUCET_COST*B92,AERATOR_COST*B92))</f>
        <v>0</v>
      </c>
      <c r="J92" s="121">
        <f>IF(HOT_WATER_FUEL=1,ELECTRIC_HEAT*FAUCET_HOT*G92,0)</f>
        <v>0</v>
      </c>
      <c r="K92" s="130">
        <f>ELECTRICITY_RAT*J92</f>
        <v>0</v>
      </c>
      <c r="L92" s="121">
        <f>IF(HOT_WATER_FUEL=2,GAS_HEAT*FAUCET_HOT*G92,0)</f>
        <v>0</v>
      </c>
      <c r="M92" s="130">
        <f>NATURAL_GAS_RAT*L92</f>
        <v>0</v>
      </c>
      <c r="N92" s="121">
        <v>0</v>
      </c>
      <c r="O92" s="128">
        <f t="shared" si="15"/>
        <v>0</v>
      </c>
      <c r="P92" s="130">
        <f>G92*WATER_ELECTRIC*ELECTRICITY_RAT/1000</f>
        <v>0</v>
      </c>
      <c r="Q92" s="130">
        <f>G92*WW_ELECTRICITY*ELECTRICITY_RAT/1000</f>
        <v>0</v>
      </c>
      <c r="R92" s="130">
        <f>ELECTRICITY_RAT*(1/(1-LINE_LOSS)-1)*((G92*(WATER_ELECTRIC+WW_ELECTRICITY))/1000+J92)</f>
        <v>0</v>
      </c>
      <c r="S92" s="130">
        <f>L92*(1/(1-UAF_GAS)-1)*NATURAL_GAS_RAT</f>
        <v>0</v>
      </c>
    </row>
    <row r="93" spans="1:19" ht="15">
      <c r="A93" s="142" t="s">
        <v>339</v>
      </c>
      <c r="B93" s="137"/>
      <c r="C93" s="137"/>
      <c r="D93" s="137"/>
      <c r="E93" s="137"/>
      <c r="F93" s="137"/>
      <c r="G93" s="137"/>
      <c r="H93" s="137"/>
      <c r="I93" s="138"/>
      <c r="J93" s="137"/>
      <c r="K93" s="139"/>
      <c r="L93" s="137"/>
      <c r="M93" s="139"/>
      <c r="N93" s="137"/>
      <c r="O93" s="146"/>
      <c r="P93" s="139"/>
      <c r="Q93" s="139"/>
      <c r="R93" s="139"/>
      <c r="S93" s="246"/>
    </row>
    <row r="94" spans="1:19" ht="15">
      <c r="A94" s="121">
        <f>IF(E94&lt;C94,B94,0)</f>
        <v>2</v>
      </c>
      <c r="B94" s="121">
        <f>'Attachment A'!F87</f>
        <v>2</v>
      </c>
      <c r="C94" s="121">
        <f>'Attachment A'!E87</f>
        <v>3</v>
      </c>
      <c r="D94" s="121">
        <f>'Attachment A'!J87</f>
        <v>48</v>
      </c>
      <c r="E94" s="121">
        <f>AERATOR_TARGET</f>
        <v>2.5</v>
      </c>
      <c r="F94" s="121">
        <f>IF(B94=0,0,+D94*E94/C94)</f>
        <v>40</v>
      </c>
      <c r="G94" s="121">
        <f>IF(F94&gt;=D94,0,(+D94-F94)*BUCKET_FILLING)</f>
        <v>4</v>
      </c>
      <c r="H94" s="121">
        <f>G94*(WATER_RATE+SEWER_RATE)</f>
        <v>0.07</v>
      </c>
      <c r="I94" s="128">
        <f>IF(F94&gt;=D94,0,+AERATOR_COST*B94)</f>
        <v>26</v>
      </c>
      <c r="J94" s="121">
        <f>IF(HOT_WATER_FUEL=1,ELECTRIC_HEAT*FAUCET_HOT*G94,0)</f>
        <v>0</v>
      </c>
      <c r="K94" s="130">
        <f>ELECTRICITY_RAT*J94</f>
        <v>0</v>
      </c>
      <c r="L94" s="121">
        <f>IF(HOT_WATER_FUEL=2,GAS_HEAT*FAUCET_HOT*G94,0)</f>
        <v>1</v>
      </c>
      <c r="M94" s="130">
        <f>NATURAL_GAS_RAT*L94</f>
        <v>0.162</v>
      </c>
      <c r="N94" s="121">
        <v>0</v>
      </c>
      <c r="O94" s="128">
        <f t="shared" si="15"/>
        <v>0</v>
      </c>
      <c r="P94" s="130">
        <f>G94*WATER_ELECTRIC*ELECTRICITY_RAT/1000</f>
        <v>0.0002212378698301111</v>
      </c>
      <c r="Q94" s="130">
        <f>G94*WW_ELECTRICITY*ELECTRICITY_RAT/1000</f>
        <v>0.0005736910268270119</v>
      </c>
      <c r="R94" s="130">
        <f>ELECTRICITY_RAT*(1/(1-LINE_LOSS)-1)*((G94*(WATER_ELECTRIC+WW_ELECTRICITY))/1000+J94)</f>
        <v>0.00012940702968836893</v>
      </c>
      <c r="S94" s="130">
        <f>L94*(1/(1-UAF_GAS)-1)*NATURAL_GAS_RAT</f>
        <v>0.0034749744637384943</v>
      </c>
    </row>
    <row r="95" spans="1:19" ht="15">
      <c r="A95" s="121">
        <f>IF(E95&lt;C95,B95,0)</f>
        <v>1</v>
      </c>
      <c r="B95" s="121">
        <f>'Attachment A'!F88</f>
        <v>1</v>
      </c>
      <c r="C95" s="121">
        <f>'Attachment A'!E88</f>
        <v>3</v>
      </c>
      <c r="D95" s="121">
        <f>'Attachment A'!J88</f>
        <v>30</v>
      </c>
      <c r="E95" s="121">
        <f>AERATOR_TARGET</f>
        <v>2.5</v>
      </c>
      <c r="F95" s="121">
        <f>IF(B95=0,0,+D95*E95/C95)</f>
        <v>25</v>
      </c>
      <c r="G95" s="121">
        <f>IF(F95&gt;=D95,0,(+D95-F95)*BUCKET_FILLING)</f>
        <v>2.5</v>
      </c>
      <c r="H95" s="121">
        <f>G95*(WATER_RATE+SEWER_RATE)</f>
        <v>0.043750000000000004</v>
      </c>
      <c r="I95" s="128">
        <f>IF(F95&gt;=D95,0,+AERATOR_COST*B95)</f>
        <v>13</v>
      </c>
      <c r="J95" s="121">
        <f>IF(HOT_WATER_FUEL=1,ELECTRIC_HEAT*FAUCET_HOT*G95,0)</f>
        <v>0</v>
      </c>
      <c r="K95" s="130">
        <f>ELECTRICITY_RAT*J95</f>
        <v>0</v>
      </c>
      <c r="L95" s="121">
        <f>IF(HOT_WATER_FUEL=2,GAS_HEAT*FAUCET_HOT*G95,0)</f>
        <v>0.625</v>
      </c>
      <c r="M95" s="130">
        <f>NATURAL_GAS_RAT*L95</f>
        <v>0.10125</v>
      </c>
      <c r="N95" s="121">
        <v>0</v>
      </c>
      <c r="O95" s="128">
        <f t="shared" si="15"/>
        <v>0</v>
      </c>
      <c r="P95" s="130">
        <f>G95*WATER_ELECTRIC*ELECTRICITY_RAT/1000</f>
        <v>0.0001382736686438194</v>
      </c>
      <c r="Q95" s="130">
        <f>G95*WW_ELECTRICITY*ELECTRICITY_RAT/1000</f>
        <v>0.00035855689176688245</v>
      </c>
      <c r="R95" s="130">
        <f>ELECTRICITY_RAT*(1/(1-LINE_LOSS)-1)*((G95*(WATER_ELECTRIC+WW_ELECTRICITY))/1000+J95)</f>
        <v>8.087939355523057E-05</v>
      </c>
      <c r="S95" s="130">
        <f>L95*(1/(1-UAF_GAS)-1)*NATURAL_GAS_RAT</f>
        <v>0.002171859039836559</v>
      </c>
    </row>
    <row r="96" spans="1:19" ht="15">
      <c r="A96" s="121">
        <f>IF(E96&lt;C96,B96,0)</f>
        <v>0</v>
      </c>
      <c r="B96" s="121">
        <f>'Attachment A'!F89</f>
        <v>1</v>
      </c>
      <c r="C96" s="121">
        <f>'Attachment A'!E89</f>
        <v>2</v>
      </c>
      <c r="D96" s="121">
        <f>'Attachment A'!J89</f>
        <v>30</v>
      </c>
      <c r="E96" s="121">
        <f>AERATOR_TARGET</f>
        <v>2.5</v>
      </c>
      <c r="F96" s="121">
        <f>IF(B96=0,0,+D96*E96/C96)</f>
        <v>37.5</v>
      </c>
      <c r="G96" s="121">
        <f>IF(F96&gt;=D96,0,(+D96-F96)*BUCKET_FILLING)</f>
        <v>0</v>
      </c>
      <c r="H96" s="121">
        <f>G96*(WATER_RATE+SEWER_RATE)</f>
        <v>0</v>
      </c>
      <c r="I96" s="128">
        <f>IF(F96&gt;=D96,0,+AERATOR_COST*B96)</f>
        <v>0</v>
      </c>
      <c r="J96" s="121">
        <f>IF(HOT_WATER_FUEL=1,ELECTRIC_HEAT*FAUCET_HOT*G96,0)</f>
        <v>0</v>
      </c>
      <c r="K96" s="130">
        <f>ELECTRICITY_RAT*J96</f>
        <v>0</v>
      </c>
      <c r="L96" s="121">
        <f>IF(HOT_WATER_FUEL=2,GAS_HEAT*FAUCET_HOT*G96,0)</f>
        <v>0</v>
      </c>
      <c r="M96" s="130">
        <f>NATURAL_GAS_RAT*L96</f>
        <v>0</v>
      </c>
      <c r="N96" s="121">
        <v>0</v>
      </c>
      <c r="O96" s="128">
        <f t="shared" si="15"/>
        <v>0</v>
      </c>
      <c r="P96" s="130">
        <f>G96*WATER_ELECTRIC*ELECTRICITY_RAT/1000</f>
        <v>0</v>
      </c>
      <c r="Q96" s="130">
        <f>G96*WW_ELECTRICITY*ELECTRICITY_RAT/1000</f>
        <v>0</v>
      </c>
      <c r="R96" s="130">
        <f>ELECTRICITY_RAT*(1/(1-LINE_LOSS)-1)*((G96*(WATER_ELECTRIC+WW_ELECTRICITY))/1000+J96)</f>
        <v>0</v>
      </c>
      <c r="S96" s="130">
        <f>L96*(1/(1-UAF_GAS)-1)*NATURAL_GAS_RAT</f>
        <v>0</v>
      </c>
    </row>
    <row r="97" spans="1:19" ht="15">
      <c r="A97" s="143">
        <f>IF(E97&lt;C97,B97,0)</f>
        <v>0</v>
      </c>
      <c r="B97" s="143">
        <f>'Attachment A'!F90</f>
        <v>0</v>
      </c>
      <c r="C97" s="143">
        <f>'Attachment A'!E90</f>
        <v>0</v>
      </c>
      <c r="D97" s="143">
        <f>'Attachment A'!J90</f>
        <v>0</v>
      </c>
      <c r="E97" s="143">
        <f>AERATOR_TARGET</f>
        <v>2.5</v>
      </c>
      <c r="F97" s="143">
        <f>IF(B97=0,0,+D97*E97/C97)</f>
        <v>0</v>
      </c>
      <c r="G97" s="143">
        <f>IF(F97&gt;=D97,0,(+D97-F97)*BUCKET_FILLING)</f>
        <v>0</v>
      </c>
      <c r="H97" s="143">
        <f>G97*(WATER_RATE+SEWER_RATE)</f>
        <v>0</v>
      </c>
      <c r="I97" s="144">
        <f>IF(F97&gt;=D97,0,+AERATOR_COST*B97)</f>
        <v>0</v>
      </c>
      <c r="J97" s="143">
        <f>IF(HOT_WATER_FUEL=1,ELECTRIC_HEAT*FAUCET_HOT*G97,0)</f>
        <v>0</v>
      </c>
      <c r="K97" s="145">
        <f>ELECTRICITY_RAT*J97</f>
        <v>0</v>
      </c>
      <c r="L97" s="143">
        <f>IF(HOT_WATER_FUEL=2,GAS_HEAT*FAUCET_HOT*G97,0)</f>
        <v>0</v>
      </c>
      <c r="M97" s="145">
        <f>NATURAL_GAS_RAT*L97</f>
        <v>0</v>
      </c>
      <c r="N97" s="143">
        <v>0</v>
      </c>
      <c r="O97" s="128">
        <f t="shared" si="15"/>
        <v>0</v>
      </c>
      <c r="P97" s="145">
        <f>G97*WATER_ELECTRIC*ELECTRICITY_RAT/1000</f>
        <v>0</v>
      </c>
      <c r="Q97" s="145">
        <f>G97*WW_ELECTRICITY*ELECTRICITY_RAT/1000</f>
        <v>0</v>
      </c>
      <c r="R97" s="145">
        <f>ELECTRICITY_RAT*(1/(1-LINE_LOSS)-1)*((G97*(WATER_ELECTRIC+WW_ELECTRICITY))/1000+J97)</f>
        <v>0</v>
      </c>
      <c r="S97" s="130">
        <f>L97*(1/(1-UAF_GAS)-1)*NATURAL_GAS_RAT</f>
        <v>0</v>
      </c>
    </row>
    <row r="98" spans="1:19" ht="15">
      <c r="A98" s="142" t="s">
        <v>127</v>
      </c>
      <c r="B98" s="137"/>
      <c r="C98" s="137"/>
      <c r="D98" s="137"/>
      <c r="E98" s="137"/>
      <c r="F98" s="137"/>
      <c r="G98" s="137"/>
      <c r="H98" s="137"/>
      <c r="I98" s="138"/>
      <c r="J98" s="137"/>
      <c r="K98" s="139"/>
      <c r="L98" s="137"/>
      <c r="M98" s="139"/>
      <c r="N98" s="137"/>
      <c r="O98" s="146"/>
      <c r="P98" s="139"/>
      <c r="Q98" s="139"/>
      <c r="R98" s="139"/>
      <c r="S98" s="246"/>
    </row>
    <row r="99" spans="1:19" ht="15">
      <c r="A99" s="121">
        <f>IF(E99&lt;C99,B99,0)</f>
        <v>0</v>
      </c>
      <c r="B99" s="121">
        <f>'Attachment A'!F103</f>
        <v>1</v>
      </c>
      <c r="C99" s="121">
        <f>'Attachment A'!D103</f>
        <v>2.5</v>
      </c>
      <c r="D99" s="121">
        <f>'Attachment A'!J103</f>
        <v>75</v>
      </c>
      <c r="E99" s="121">
        <f>SHOWER_TARGET</f>
        <v>2.5</v>
      </c>
      <c r="F99" s="121">
        <f>IF(B99=0,0,+D99*E99/C99)</f>
        <v>75</v>
      </c>
      <c r="G99" s="121">
        <f>IF(F99&gt;=D99,0,+D99-F99)</f>
        <v>0</v>
      </c>
      <c r="H99" s="121">
        <f>G99*(WATER_RATE+SEWER_RATE)</f>
        <v>0</v>
      </c>
      <c r="I99" s="128">
        <f>IF(F99&gt;=D99,0,+SHOWER_COST*B99)</f>
        <v>0</v>
      </c>
      <c r="J99" s="121">
        <f>IF(HOT_WATER_FUEL=1,ELECTRIC_HEAT*SHOWER_HOT*G99,0)</f>
        <v>0</v>
      </c>
      <c r="K99" s="130">
        <f>ELECTRICITY_RAT*J99</f>
        <v>0</v>
      </c>
      <c r="L99" s="121">
        <f>IF(HOT_WATER_FUEL=2,GAS_HEAT*SHOWER_HOT*G99,0)</f>
        <v>0</v>
      </c>
      <c r="M99" s="130">
        <f>NATURAL_GAS_RAT*L99</f>
        <v>0</v>
      </c>
      <c r="N99" s="121">
        <v>0</v>
      </c>
      <c r="O99" s="128">
        <f>FUEL_OIL_RATE*N99</f>
        <v>0</v>
      </c>
      <c r="P99" s="130">
        <f>G99*WATER_ELECTRIC*ELECTRICITY_RAT/1000</f>
        <v>0</v>
      </c>
      <c r="Q99" s="130">
        <f>G99*WW_ELECTRICITY*ELECTRICITY_RAT/1000</f>
        <v>0</v>
      </c>
      <c r="R99" s="130">
        <f>ELECTRICITY_RAT*(1/(1-LINE_LOSS)-1)*((G99*(WATER_ELECTRIC+WW_ELECTRICITY))/1000+J99)</f>
        <v>0</v>
      </c>
      <c r="S99" s="130">
        <f>L99*(1/(1-UAF_GAS)-1)*NATURAL_GAS_RAT</f>
        <v>0</v>
      </c>
    </row>
    <row r="100" spans="1:19" ht="15">
      <c r="A100" s="121">
        <f>IF(E100&lt;C100,B100,0)</f>
        <v>0</v>
      </c>
      <c r="B100" s="121">
        <f>'Attachment A'!F104</f>
        <v>1</v>
      </c>
      <c r="C100" s="121">
        <f>'Attachment A'!D104</f>
        <v>2.5</v>
      </c>
      <c r="D100" s="121">
        <f>'Attachment A'!J104</f>
        <v>60</v>
      </c>
      <c r="E100" s="121">
        <f>SHOWER_TARGET</f>
        <v>2.5</v>
      </c>
      <c r="F100" s="121">
        <f>IF(B100=0,0,+D100*E100/C100)</f>
        <v>60</v>
      </c>
      <c r="G100" s="121">
        <f>IF(F100&gt;=D100,0,+D100-F100)</f>
        <v>0</v>
      </c>
      <c r="H100" s="121">
        <f>G100*(WATER_RATE+SEWER_RATE)</f>
        <v>0</v>
      </c>
      <c r="I100" s="128">
        <f>IF(F100&gt;=D100,0,+SHOWER_COST*B100)</f>
        <v>0</v>
      </c>
      <c r="J100" s="121">
        <f>IF(HOT_WATER_FUEL=1,ELECTRIC_HEAT*SHOWER_HOT*G100,0)</f>
        <v>0</v>
      </c>
      <c r="K100" s="130">
        <f>ELECTRICITY_RAT*J100</f>
        <v>0</v>
      </c>
      <c r="L100" s="121">
        <f>IF(HOT_WATER_FUEL=2,GAS_HEAT*SHOWER_HOT*G100,0)</f>
        <v>0</v>
      </c>
      <c r="M100" s="130">
        <f>NATURAL_GAS_RAT*L100</f>
        <v>0</v>
      </c>
      <c r="N100" s="121">
        <v>0</v>
      </c>
      <c r="O100" s="128">
        <f>FUEL_OIL_RATE*N100</f>
        <v>0</v>
      </c>
      <c r="P100" s="130">
        <f>G100*WATER_ELECTRIC*ELECTRICITY_RAT/1000</f>
        <v>0</v>
      </c>
      <c r="Q100" s="130">
        <f>G100*WW_ELECTRICITY*ELECTRICITY_RAT/1000</f>
        <v>0</v>
      </c>
      <c r="R100" s="130">
        <f>ELECTRICITY_RAT*(1/(1-LINE_LOSS)-1)*((G100*(WATER_ELECTRIC+WW_ELECTRICITY))/1000+J100)</f>
        <v>0</v>
      </c>
      <c r="S100" s="130">
        <f>L100*(1/(1-UAF_GAS)-1)*NATURAL_GAS_RAT</f>
        <v>0</v>
      </c>
    </row>
    <row r="101" spans="1:19" ht="15">
      <c r="A101" s="121">
        <f>IF(E101&lt;C101,B101,0)</f>
        <v>1</v>
      </c>
      <c r="B101" s="121">
        <f>'Attachment A'!F105</f>
        <v>1</v>
      </c>
      <c r="C101" s="121">
        <f>'Attachment A'!D105</f>
        <v>3.5</v>
      </c>
      <c r="D101" s="121">
        <f>'Attachment A'!J105</f>
        <v>28</v>
      </c>
      <c r="E101" s="121">
        <f>SHOWER_TARGET</f>
        <v>2.5</v>
      </c>
      <c r="F101" s="121">
        <f>IF(B101=0,0,+D101*E101/C101)</f>
        <v>20</v>
      </c>
      <c r="G101" s="121">
        <f>IF(F101&gt;=D101,0,+D101-F101)</f>
        <v>8</v>
      </c>
      <c r="H101" s="121">
        <f>G101*(WATER_RATE+SEWER_RATE)</f>
        <v>0.14</v>
      </c>
      <c r="I101" s="128">
        <f>IF(F101&gt;=D101,0,+SHOWER_COST*B101)</f>
        <v>31</v>
      </c>
      <c r="J101" s="121">
        <f>IF(HOT_WATER_FUEL=1,ELECTRIC_HEAT*SHOWER_HOT*G101,0)</f>
        <v>0</v>
      </c>
      <c r="K101" s="130">
        <f>ELECTRICITY_RAT*J101</f>
        <v>0</v>
      </c>
      <c r="L101" s="121">
        <f>IF(HOT_WATER_FUEL=2,GAS_HEAT*SHOWER_HOT*G101,0)</f>
        <v>2.4</v>
      </c>
      <c r="M101" s="130">
        <f>NATURAL_GAS_RAT*L101</f>
        <v>0.3888</v>
      </c>
      <c r="N101" s="121">
        <v>0</v>
      </c>
      <c r="O101" s="128">
        <f>FUEL_OIL_RATE*N101</f>
        <v>0</v>
      </c>
      <c r="P101" s="130">
        <f>G101*WATER_ELECTRIC*ELECTRICITY_RAT/1000</f>
        <v>0.0004424757396602222</v>
      </c>
      <c r="Q101" s="130">
        <f>G101*WW_ELECTRICITY*ELECTRICITY_RAT/1000</f>
        <v>0.0011473820536540239</v>
      </c>
      <c r="R101" s="130">
        <f>ELECTRICITY_RAT*(1/(1-LINE_LOSS)-1)*((G101*(WATER_ELECTRIC+WW_ELECTRICITY))/1000+J101)</f>
        <v>0.00025881405937673785</v>
      </c>
      <c r="S101" s="130">
        <f>L101*(1/(1-UAF_GAS)-1)*NATURAL_GAS_RAT</f>
        <v>0.008339938712972388</v>
      </c>
    </row>
    <row r="102" spans="1:19" ht="15">
      <c r="A102" s="121">
        <f>IF(E102&lt;C102,B102,0)</f>
        <v>0</v>
      </c>
      <c r="B102" s="121">
        <f>'Attachment A'!F106</f>
        <v>0</v>
      </c>
      <c r="C102" s="121">
        <f>'Attachment A'!D106</f>
        <v>0</v>
      </c>
      <c r="D102" s="121">
        <f>'Attachment A'!J106</f>
        <v>0</v>
      </c>
      <c r="E102" s="121">
        <f>SHOWER_TARGET</f>
        <v>2.5</v>
      </c>
      <c r="F102" s="121">
        <f>IF(B102=0,0,+D102*E102/C102)</f>
        <v>0</v>
      </c>
      <c r="G102" s="121">
        <f>IF(F102&gt;=D102,0,+D102-F102)</f>
        <v>0</v>
      </c>
      <c r="H102" s="121">
        <f>G102*(WATER_RATE+SEWER_RATE)</f>
        <v>0</v>
      </c>
      <c r="I102" s="128">
        <f>IF(F102&gt;=D102,0,+SHOWER_COST*B102)</f>
        <v>0</v>
      </c>
      <c r="J102" s="121">
        <f>IF(HOT_WATER_FUEL=1,ELECTRIC_HEAT*SHOWER_HOT*G102,0)</f>
        <v>0</v>
      </c>
      <c r="K102" s="130">
        <f>ELECTRICITY_RAT*J102</f>
        <v>0</v>
      </c>
      <c r="L102" s="121">
        <f>IF(HOT_WATER_FUEL=2,GAS_HEAT*SHOWER_HOT*G102,0)</f>
        <v>0</v>
      </c>
      <c r="M102" s="130">
        <f>NATURAL_GAS_RAT*L102</f>
        <v>0</v>
      </c>
      <c r="N102" s="121">
        <v>0</v>
      </c>
      <c r="O102" s="128">
        <f>FUEL_OIL_RATE*N102</f>
        <v>0</v>
      </c>
      <c r="P102" s="130">
        <f>G102*WATER_ELECTRIC*ELECTRICITY_RAT/1000</f>
        <v>0</v>
      </c>
      <c r="Q102" s="130">
        <f>G102*WW_ELECTRICITY*ELECTRICITY_RAT/1000</f>
        <v>0</v>
      </c>
      <c r="R102" s="130">
        <f>ELECTRICITY_RAT*(1/(1-LINE_LOSS)-1)*((G102*(WATER_ELECTRIC+WW_ELECTRICITY))/1000+J102)</f>
        <v>0</v>
      </c>
      <c r="S102" s="130">
        <f>L102*(1/(1-UAF_GAS)-1)*NATURAL_GAS_RAT</f>
        <v>0</v>
      </c>
    </row>
    <row r="103" spans="1:19" ht="15">
      <c r="A103" s="142" t="s">
        <v>138</v>
      </c>
      <c r="B103" s="140"/>
      <c r="C103" s="140"/>
      <c r="D103" s="140"/>
      <c r="E103" s="140"/>
      <c r="F103" s="140"/>
      <c r="G103" s="140"/>
      <c r="H103" s="140"/>
      <c r="I103" s="141"/>
      <c r="J103" s="140"/>
      <c r="K103" s="140"/>
      <c r="L103" s="140"/>
      <c r="M103" s="140"/>
      <c r="N103" s="140"/>
      <c r="O103" s="147"/>
      <c r="P103" s="140"/>
      <c r="Q103" s="140"/>
      <c r="R103" s="140"/>
      <c r="S103" s="147"/>
    </row>
    <row r="104" spans="1:19" ht="15">
      <c r="A104" s="125"/>
      <c r="B104" s="121">
        <f>'Attachment A'!E148</f>
        <v>1</v>
      </c>
      <c r="C104" s="121">
        <f>STEAM_PER_HOUR*24*BOILER_BLOWDOWN/8.34</f>
        <v>28.776978417266186</v>
      </c>
      <c r="D104" s="121">
        <f>B104*C104</f>
        <v>28.776978417266186</v>
      </c>
      <c r="E104" s="121">
        <f>C104*(1-BLOWDOWN_REDUCT)</f>
        <v>23.02158273381295</v>
      </c>
      <c r="F104" s="121">
        <f>IF(B104=0,0,+D104*E104/C104)</f>
        <v>23.021582733812945</v>
      </c>
      <c r="G104" s="121">
        <f>IF(F104&gt;=D104,0,+D104-F104)</f>
        <v>5.755395683453241</v>
      </c>
      <c r="H104" s="121">
        <f>G104*(WATER_RATE+SEWER_RATE)</f>
        <v>0.10071942446043172</v>
      </c>
      <c r="I104" s="128">
        <f>IF(F104&gt;=D104,0,+BOILER_COST*B104)</f>
        <v>0</v>
      </c>
      <c r="J104" s="121">
        <f>IF(BOILER_FUEL=1,(G104*8.34*BOILER_HEAT)/(ELECTRICITY_BTU*BOILER_EFF),0)</f>
        <v>0</v>
      </c>
      <c r="K104" s="130">
        <f>ELECTRICITY_RAT*J104</f>
        <v>0</v>
      </c>
      <c r="L104" s="121">
        <f>IF(BOILER_FUEL=2,(G104*8.34*BOILER_HEAT)/(GAS_BTU*BOILER_EFF),0)</f>
        <v>23.86813186813188</v>
      </c>
      <c r="M104" s="130">
        <f>NATURAL_GAS_RAT*L104</f>
        <v>3.8666373626373645</v>
      </c>
      <c r="N104" s="245">
        <f>IF(BOILER_FUEL=3,(G104*8.34*BOILER_HEAT)/(OIL_BTU*BOILER_EFF),0)</f>
        <v>0</v>
      </c>
      <c r="O104" s="128">
        <f>N104*FUEL_OIL_RATE</f>
        <v>0</v>
      </c>
      <c r="P104" s="130">
        <f>G104*WATER_ELECTRIC*ELECTRICITY_RAT/1000</f>
        <v>0.0003183278702591528</v>
      </c>
      <c r="Q104" s="130">
        <f>G104*WW_ELECTRICITY*ELECTRICITY_RAT/1000</f>
        <v>0.0008254547148590103</v>
      </c>
      <c r="R104" s="130">
        <f>ELECTRICITY_RAT*(1/(1-LINE_LOSS)-1)*((G104*(WATER_ELECTRIC+WW_ELECTRICITY))/1000+J104)</f>
        <v>0.00018619716501923597</v>
      </c>
      <c r="S104" s="130">
        <f>L104*(1/(1-UAF_GAS)-1)*NATURAL_GAS_RAT</f>
        <v>0.08294114873890125</v>
      </c>
    </row>
    <row r="105" spans="1:19" ht="15">
      <c r="A105" s="142" t="s">
        <v>154</v>
      </c>
      <c r="B105" s="140"/>
      <c r="C105" s="140"/>
      <c r="D105" s="140"/>
      <c r="E105" s="140"/>
      <c r="F105" s="140"/>
      <c r="G105" s="140"/>
      <c r="H105" s="140"/>
      <c r="I105" s="141"/>
      <c r="J105" s="140"/>
      <c r="K105" s="140"/>
      <c r="L105" s="140"/>
      <c r="M105" s="140"/>
      <c r="N105" s="140"/>
      <c r="O105" s="147"/>
      <c r="P105" s="140"/>
      <c r="Q105" s="140"/>
      <c r="R105" s="140"/>
      <c r="S105" s="147"/>
    </row>
    <row r="106" spans="1:19" ht="15">
      <c r="A106" s="126"/>
      <c r="B106" s="121">
        <f>'Attachment A'!E177</f>
        <v>1</v>
      </c>
      <c r="C106" s="121">
        <f>'Attachment A'!G177</f>
        <v>4</v>
      </c>
      <c r="D106" s="121">
        <f>'Attachment A'!I177</f>
        <v>0.8</v>
      </c>
      <c r="E106" s="121">
        <f>DISHWASHER_TARG</f>
        <v>8.5</v>
      </c>
      <c r="F106" s="121">
        <f>IF(B106=0,0,+D106*E106/C106)</f>
        <v>1.7000000000000002</v>
      </c>
      <c r="G106" s="121">
        <f>IF(F106&gt;=D106,0,+D106-F106)</f>
        <v>0</v>
      </c>
      <c r="H106" s="121">
        <f>G106*(WATER_RATE+SEWER_RATE)</f>
        <v>0</v>
      </c>
      <c r="I106" s="128">
        <f>IF(F106&gt;=D106,0,+DISHWASHER_COST*B106)</f>
        <v>0</v>
      </c>
      <c r="J106" s="121">
        <f>IF(HOT_WATER_FUEL=1,ELECTRIC_HEAT*DISHWASHER_HOT*G106,0)</f>
        <v>0</v>
      </c>
      <c r="K106" s="130">
        <f>ELECTRICITY_RAT*J106</f>
        <v>0</v>
      </c>
      <c r="L106" s="121">
        <f>IF(HOT_WATER_FUEL=2,GAS_HEAT*DISHWASHER_HOT*G106,0)</f>
        <v>0</v>
      </c>
      <c r="M106" s="130">
        <f>NATURAL_GAS_RAT*L106</f>
        <v>0</v>
      </c>
      <c r="N106" s="121">
        <v>0</v>
      </c>
      <c r="O106" s="128">
        <v>0</v>
      </c>
      <c r="P106" s="130">
        <f>G106*WATER_ELECTRIC*ELECTRICITY_RAT/1000</f>
        <v>0</v>
      </c>
      <c r="Q106" s="130">
        <f>G106*WW_ELECTRICITY*ELECTRICITY_RAT/1000</f>
        <v>0</v>
      </c>
      <c r="R106" s="130">
        <f>ELECTRICITY_RAT*(1/(1-LINE_LOSS)-1)*((G106*(WATER_ELECTRIC+WW_ELECTRICITY))/1000+J106)</f>
        <v>0</v>
      </c>
      <c r="S106" s="130">
        <f>L106*(1/(1-UAF_GAS)-1)*NATURAL_GAS_RAT</f>
        <v>0</v>
      </c>
    </row>
    <row r="107" spans="1:19" ht="15">
      <c r="A107" s="142" t="s">
        <v>174</v>
      </c>
      <c r="B107" s="140"/>
      <c r="C107" s="140"/>
      <c r="D107" s="140"/>
      <c r="E107" s="140"/>
      <c r="F107" s="140"/>
      <c r="G107" s="140"/>
      <c r="H107" s="140"/>
      <c r="I107" s="141"/>
      <c r="J107" s="140"/>
      <c r="K107" s="140"/>
      <c r="L107" s="140"/>
      <c r="M107" s="140"/>
      <c r="N107" s="140"/>
      <c r="O107" s="147"/>
      <c r="P107" s="140"/>
      <c r="Q107" s="140"/>
      <c r="R107" s="140"/>
      <c r="S107" s="147"/>
    </row>
    <row r="108" spans="1:19" ht="15">
      <c r="A108" s="126"/>
      <c r="B108" s="121">
        <f>'Attachment A'!E178</f>
        <v>0</v>
      </c>
      <c r="C108" s="121">
        <f>'Attachment A'!G178</f>
        <v>0</v>
      </c>
      <c r="D108" s="121">
        <f>'Attachment A'!I178</f>
        <v>0</v>
      </c>
      <c r="E108" s="121">
        <f>WASHING_TARGET</f>
        <v>42</v>
      </c>
      <c r="F108" s="121">
        <f>IF(B108=0,0,+D108*E108/C108)</f>
        <v>0</v>
      </c>
      <c r="G108" s="121">
        <f>IF(F108&gt;=D108,0,+D108-F108)</f>
        <v>0</v>
      </c>
      <c r="H108" s="121">
        <f>G108*(WATER_RATE+SEWER_RATE)</f>
        <v>0</v>
      </c>
      <c r="I108" s="128">
        <f>IF(F108&gt;=D108,0,+WASHING_COST*B108)</f>
        <v>0</v>
      </c>
      <c r="J108" s="121">
        <f>IF(HOT_WATER_FUEL=1,ELECTRIC_HEAT*WASHING_HOT*G108,0)</f>
        <v>0</v>
      </c>
      <c r="K108" s="130">
        <f>ELECTRICITY_RAT*J108</f>
        <v>0</v>
      </c>
      <c r="L108" s="121">
        <f>IF(HOT_WATER_FUEL=2,GAS_HEAT*WASHING_HOT*G108,0)</f>
        <v>0</v>
      </c>
      <c r="M108" s="130">
        <f>NATURAL_GAS_RAT*L108</f>
        <v>0</v>
      </c>
      <c r="N108" s="121">
        <v>0</v>
      </c>
      <c r="O108" s="128">
        <v>0</v>
      </c>
      <c r="P108" s="130">
        <f>G108*WATER_ELECTRIC*ELECTRICITY_RAT/1000</f>
        <v>0</v>
      </c>
      <c r="Q108" s="130">
        <f>G108*WW_ELECTRICITY*ELECTRICITY_RAT/1000</f>
        <v>0</v>
      </c>
      <c r="R108" s="130">
        <f>ELECTRICITY_RAT*(1/(1-LINE_LOSS)-1)*((G108*(WATER_ELECTRIC+WW_ELECTRICITY))/1000+J108)</f>
        <v>0</v>
      </c>
      <c r="S108" s="130">
        <f>L108*(1/(1-UAF_GAS)-1)*NATURAL_GAS_RAT</f>
        <v>0</v>
      </c>
    </row>
    <row r="109" spans="1:19" ht="15">
      <c r="A109" s="142" t="s">
        <v>340</v>
      </c>
      <c r="B109" s="140"/>
      <c r="C109" s="140"/>
      <c r="D109" s="140"/>
      <c r="E109" s="140"/>
      <c r="F109" s="140"/>
      <c r="G109" s="140"/>
      <c r="H109" s="140"/>
      <c r="I109" s="141"/>
      <c r="J109" s="140"/>
      <c r="K109" s="140"/>
      <c r="L109" s="140"/>
      <c r="M109" s="140"/>
      <c r="N109" s="140"/>
      <c r="O109" s="147"/>
      <c r="P109" s="140"/>
      <c r="Q109" s="140"/>
      <c r="R109" s="140"/>
      <c r="S109" s="147"/>
    </row>
    <row r="110" spans="1:19" ht="15">
      <c r="A110" s="124"/>
      <c r="B110" s="122">
        <f>'Attachment A'!H184</f>
        <v>0.0011363636363636363</v>
      </c>
      <c r="C110" s="122">
        <f>'Attachment A'!I184</f>
        <v>10</v>
      </c>
      <c r="D110" s="122">
        <f>B110*C110</f>
        <v>0.011363636363636364</v>
      </c>
      <c r="E110" s="122">
        <f>C110*LAND_SAVINGS</f>
        <v>5</v>
      </c>
      <c r="F110" s="122">
        <f>B110*E110</f>
        <v>0.005681818181818182</v>
      </c>
      <c r="G110" s="122">
        <f>IF(F110&gt;=D110,0,(+D110-F110)*326000/365)</f>
        <v>5.074719800747198</v>
      </c>
      <c r="H110" s="122">
        <f>G110*(WATER_RATE+SEWER_RATE)</f>
        <v>0.08880759651307597</v>
      </c>
      <c r="I110" s="129">
        <f>IF(F110&gt;=D110,0,+OUTDOOR_COST*H110)</f>
        <v>0.04440379825653799</v>
      </c>
      <c r="J110" s="122">
        <v>0</v>
      </c>
      <c r="K110" s="131">
        <f>ELECTRICITY_RAT*J110</f>
        <v>0</v>
      </c>
      <c r="L110" s="122">
        <v>0</v>
      </c>
      <c r="M110" s="131">
        <f>NATURAL_GAS_RAT*L110</f>
        <v>0</v>
      </c>
      <c r="N110" s="122">
        <v>0</v>
      </c>
      <c r="O110" s="129">
        <v>0</v>
      </c>
      <c r="P110" s="131">
        <f>G110*WATER_ELECTRIC*ELECTRICITY_RAT/1000</f>
        <v>0.00028068004967549896</v>
      </c>
      <c r="Q110" s="131">
        <f>G110*WW_ELECTRICITY*ELECTRICITY_RAT/1000</f>
        <v>0.0007278303033375074</v>
      </c>
      <c r="R110" s="131">
        <f>ELECTRICITY_RAT*(1/(1-LINE_LOSS)-1)*((G110*(WATER_ELECTRIC+WW_ELECTRICITY))/1000+J110)</f>
        <v>0.00016417610397886155</v>
      </c>
      <c r="S110" s="131">
        <f>L110*(1/(1-UAF_GAS)-1)*NATURAL_GAS_RAT</f>
        <v>0</v>
      </c>
    </row>
    <row r="111" spans="1:19" ht="15">
      <c r="A111" s="87"/>
      <c r="B111" s="87"/>
      <c r="C111" s="87"/>
      <c r="D111" s="87"/>
      <c r="E111" s="87"/>
      <c r="F111" s="86" t="s">
        <v>341</v>
      </c>
      <c r="G111" s="86" t="s">
        <v>342</v>
      </c>
      <c r="H111" s="87"/>
      <c r="I111" s="87"/>
      <c r="J111" s="87"/>
      <c r="K111" s="118"/>
      <c r="L111" s="118"/>
      <c r="M111" s="118"/>
      <c r="N111" s="118"/>
      <c r="O111" s="118"/>
      <c r="P111" s="118"/>
      <c r="Q111" s="87"/>
      <c r="R111" s="87"/>
      <c r="S111" s="120"/>
    </row>
    <row r="112" spans="1:19" ht="15">
      <c r="A112" s="87"/>
      <c r="B112" s="87"/>
      <c r="C112" s="87"/>
      <c r="D112" s="87"/>
      <c r="E112" s="87"/>
      <c r="F112" s="87"/>
      <c r="G112" s="87"/>
      <c r="H112" s="87"/>
      <c r="I112" s="87"/>
      <c r="J112" s="87"/>
      <c r="K112" s="118"/>
      <c r="L112" s="118"/>
      <c r="M112" s="118"/>
      <c r="N112" s="118"/>
      <c r="O112" s="118"/>
      <c r="P112" s="118"/>
      <c r="Q112" s="87"/>
      <c r="R112" s="87"/>
      <c r="S112" s="87"/>
    </row>
    <row r="113" spans="1:19" ht="15">
      <c r="A113" s="87"/>
      <c r="B113" s="87"/>
      <c r="C113" s="87"/>
      <c r="D113" s="87"/>
      <c r="E113" s="87"/>
      <c r="F113" s="87"/>
      <c r="G113" s="87"/>
      <c r="H113" s="87"/>
      <c r="I113" s="87"/>
      <c r="J113" s="87"/>
      <c r="K113" s="118"/>
      <c r="L113" s="118"/>
      <c r="M113" s="118"/>
      <c r="N113" s="118"/>
      <c r="O113" s="118"/>
      <c r="P113" s="118"/>
      <c r="Q113" s="87"/>
      <c r="R113" s="87"/>
      <c r="S113" s="87"/>
    </row>
    <row r="114" spans="11:16" ht="15">
      <c r="K114" s="2"/>
      <c r="L114" s="2"/>
      <c r="M114" s="2"/>
      <c r="N114" s="2"/>
      <c r="O114" s="2"/>
      <c r="P114" s="2"/>
    </row>
    <row r="115" spans="11:16" ht="15">
      <c r="K115" s="2"/>
      <c r="L115" s="2"/>
      <c r="M115" s="2"/>
      <c r="N115" s="2"/>
      <c r="O115" s="2"/>
      <c r="P115" s="2"/>
    </row>
    <row r="116" spans="13:16" ht="15">
      <c r="M116" s="2"/>
      <c r="N116" s="2"/>
      <c r="O116" s="2"/>
      <c r="P116" s="2"/>
    </row>
    <row r="117" spans="13:16" ht="15">
      <c r="M117" s="2"/>
      <c r="N117" s="2"/>
      <c r="O117" s="2"/>
      <c r="P117" s="2"/>
    </row>
    <row r="118" spans="13:16" ht="15">
      <c r="M118" s="2"/>
      <c r="N118" s="2"/>
      <c r="O118" s="2"/>
      <c r="P118" s="2"/>
    </row>
    <row r="119" spans="13:16" ht="15">
      <c r="M119" s="2"/>
      <c r="N119" s="2"/>
      <c r="O119" s="2"/>
      <c r="P119" s="2"/>
    </row>
    <row r="120" spans="13:16" ht="15">
      <c r="M120" s="2"/>
      <c r="N120" s="2"/>
      <c r="O120" s="2"/>
      <c r="P120" s="2"/>
    </row>
    <row r="121" spans="13:16" ht="15">
      <c r="M121" s="2"/>
      <c r="N121" s="2"/>
      <c r="O121" s="2"/>
      <c r="P121" s="2"/>
    </row>
    <row r="122" spans="13:16" ht="15">
      <c r="M122" s="2"/>
      <c r="N122" s="2"/>
      <c r="O122" s="2"/>
      <c r="P122" s="2"/>
    </row>
    <row r="123" spans="13:16" ht="15">
      <c r="M123" s="2"/>
      <c r="N123" s="2"/>
      <c r="O123" s="2"/>
      <c r="P123" s="2"/>
    </row>
    <row r="124" spans="13:16" ht="15">
      <c r="M124" s="2"/>
      <c r="N124" s="2"/>
      <c r="O124" s="2"/>
      <c r="P124" s="2"/>
    </row>
    <row r="125" spans="13:16" ht="15">
      <c r="M125" s="2"/>
      <c r="N125" s="2"/>
      <c r="O125" s="2"/>
      <c r="P125" s="2"/>
    </row>
    <row r="126" spans="13:16" ht="15">
      <c r="M126" s="2"/>
      <c r="N126" s="2"/>
      <c r="O126" s="2"/>
      <c r="P126" s="2"/>
    </row>
    <row r="127" spans="13:16" ht="15">
      <c r="M127" s="2"/>
      <c r="N127" s="2"/>
      <c r="O127" s="2"/>
      <c r="P127" s="2"/>
    </row>
    <row r="128" spans="13:16" ht="15">
      <c r="M128" s="2"/>
      <c r="N128" s="2"/>
      <c r="O128" s="2"/>
      <c r="P128" s="2"/>
    </row>
    <row r="129" spans="13:16" ht="15">
      <c r="M129" s="2"/>
      <c r="N129" s="2"/>
      <c r="O129" s="2"/>
      <c r="P129" s="2"/>
    </row>
    <row r="130" spans="13:16" ht="15">
      <c r="M130" s="2"/>
      <c r="N130" s="2"/>
      <c r="O130" s="2"/>
      <c r="P130" s="2"/>
    </row>
    <row r="131" spans="13:16" ht="15">
      <c r="M131" s="2"/>
      <c r="N131" s="2"/>
      <c r="O131" s="2"/>
      <c r="P131" s="2"/>
    </row>
    <row r="132" spans="13:16" ht="15">
      <c r="M132" s="2"/>
      <c r="N132" s="2"/>
      <c r="O132" s="2"/>
      <c r="P132" s="2"/>
    </row>
    <row r="133" spans="13:16" ht="15">
      <c r="M133" s="2"/>
      <c r="N133" s="2"/>
      <c r="O133" s="2"/>
      <c r="P133" s="2"/>
    </row>
    <row r="134" spans="13:16" ht="15">
      <c r="M134" s="2"/>
      <c r="N134" s="2"/>
      <c r="O134" s="2"/>
      <c r="P134" s="2"/>
    </row>
    <row r="135" spans="13:16" ht="15">
      <c r="M135" s="2"/>
      <c r="N135" s="2"/>
      <c r="O135" s="2"/>
      <c r="P135" s="2"/>
    </row>
    <row r="136" spans="13:16" ht="15">
      <c r="M136" s="2"/>
      <c r="N136" s="2"/>
      <c r="O136" s="2"/>
      <c r="P136" s="2"/>
    </row>
    <row r="137" spans="13:16" ht="15">
      <c r="M137" s="2"/>
      <c r="N137" s="2"/>
      <c r="O137" s="2"/>
      <c r="P137" s="2"/>
    </row>
  </sheetData>
  <mergeCells count="3">
    <mergeCell ref="P71:S71"/>
    <mergeCell ref="J71:O71"/>
    <mergeCell ref="C71:I71"/>
  </mergeCells>
  <printOptions/>
  <pageMargins left="0.5" right="0.5" top="0.5" bottom="0.84" header="0.5" footer="0.5"/>
  <pageSetup horizontalDpi="300" verticalDpi="300" orientation="landscape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K26"/>
  <sheetViews>
    <sheetView showGridLines="0" workbookViewId="0" topLeftCell="A1">
      <selection activeCell="E4" sqref="E4"/>
    </sheetView>
  </sheetViews>
  <sheetFormatPr defaultColWidth="9.77734375" defaultRowHeight="15"/>
  <cols>
    <col min="1" max="1" width="6.99609375" style="0" customWidth="1"/>
    <col min="2" max="2" width="12.4453125" style="0" customWidth="1"/>
    <col min="3" max="3" width="9.5546875" style="0" customWidth="1"/>
    <col min="4" max="4" width="10.88671875" style="0" customWidth="1"/>
    <col min="5" max="5" width="9.6640625" style="0" customWidth="1"/>
    <col min="6" max="6" width="10.77734375" style="0" customWidth="1"/>
    <col min="8" max="8" width="11.99609375" style="0" customWidth="1"/>
  </cols>
  <sheetData>
    <row r="1" spans="2:6" ht="15">
      <c r="B1" s="3"/>
      <c r="C1" s="317" t="s">
        <v>512</v>
      </c>
      <c r="D1" s="318"/>
      <c r="E1" s="318"/>
      <c r="F1" s="107" t="s">
        <v>394</v>
      </c>
    </row>
    <row r="2" spans="2:11" ht="15">
      <c r="B2" s="85"/>
      <c r="C2" s="107" t="s">
        <v>343</v>
      </c>
      <c r="D2" s="110" t="s">
        <v>331</v>
      </c>
      <c r="E2" s="311" t="s">
        <v>344</v>
      </c>
      <c r="F2" s="312" t="s">
        <v>515</v>
      </c>
      <c r="G2" s="87"/>
      <c r="I2" s="87"/>
      <c r="J2" s="87"/>
      <c r="K2" s="87"/>
    </row>
    <row r="3" spans="2:11" ht="15">
      <c r="B3" s="112" t="s">
        <v>506</v>
      </c>
      <c r="C3" s="113">
        <f>SUM('Work Area 1'!H75:H86)*('Inputs &amp; Assumptions'!$C$47)</f>
        <v>1396.0128</v>
      </c>
      <c r="D3" s="109">
        <f>IF(HOT_WATER_FUEL=1,SUM('Work Area 1'!K75:K86)*('Inputs &amp; Assumptions'!$C$47),SUM('Work Area 1'!M75:M86)*('Inputs &amp; Assumptions'!$C$47))</f>
        <v>-1.76904</v>
      </c>
      <c r="E3" s="113">
        <f>SUM('Work Area 1'!P75:S86)*('Inputs &amp; Assumptions'!$C$47)</f>
        <v>18.39612163140117</v>
      </c>
      <c r="F3" s="104">
        <f>SUM('Work Area 1'!I75:I86)</f>
        <v>4825</v>
      </c>
      <c r="G3" s="87"/>
      <c r="I3" s="87"/>
      <c r="J3" s="87"/>
      <c r="K3" s="87"/>
    </row>
    <row r="4" spans="2:11" ht="15">
      <c r="B4" s="108" t="s">
        <v>345</v>
      </c>
      <c r="C4" s="99">
        <f>SUM('Work Area 1'!H88:H97)*('Inputs &amp; Assumptions'!$C$47)</f>
        <v>305.71450000000004</v>
      </c>
      <c r="D4" s="96">
        <f>IF(HOT_WATER_FUEL=1,SUM('Work Area 1'!K88:K97)*('Inputs &amp; Assumptions'!$C$47),SUM('Work Area 1'!M88:M97)*('Inputs &amp; Assumptions'!$C$47))</f>
        <v>707.5106999999999</v>
      </c>
      <c r="E4" s="111">
        <f>SUM('Work Area 1'!P88:S97)*('Inputs &amp; Assumptions'!$C$47)</f>
        <v>19.2133282321333</v>
      </c>
      <c r="F4" s="105">
        <f>SUM('Work Area 1'!I88:I97)</f>
        <v>3339</v>
      </c>
      <c r="G4" s="87"/>
      <c r="I4" s="87"/>
      <c r="J4" s="87"/>
      <c r="K4" s="87"/>
    </row>
    <row r="5" spans="2:11" ht="15">
      <c r="B5" s="114" t="s">
        <v>127</v>
      </c>
      <c r="C5" s="98">
        <f>SUM('Work Area 1'!H99:H102)*('Inputs &amp; Assumptions'!$C$47)</f>
        <v>36.400000000000006</v>
      </c>
      <c r="D5" s="95">
        <f>IF(HOT_WATER_FUEL=1,SUM('Work Area 1'!K99:K102)*('Inputs &amp; Assumptions'!$C$47),SUM('Work Area 1'!M99:M102)*('Inputs &amp; Assumptions'!$C$47))</f>
        <v>101.088</v>
      </c>
      <c r="E5" s="98">
        <f>SUM('Work Area 1'!P99:S102)*('Inputs &amp; Assumptions'!$C$47)</f>
        <v>2.6490387470724763</v>
      </c>
      <c r="F5" s="104">
        <f>SUM('Work Area 1'!I99:I102)</f>
        <v>31</v>
      </c>
      <c r="G5" s="87"/>
      <c r="I5" s="87"/>
      <c r="J5" s="87"/>
      <c r="K5" s="87"/>
    </row>
    <row r="6" spans="2:11" ht="15">
      <c r="B6" s="108" t="s">
        <v>138</v>
      </c>
      <c r="C6" s="99">
        <f>('Work Area 1'!H104*('Inputs &amp; Assumptions'!$C$47))</f>
        <v>26.18705035971225</v>
      </c>
      <c r="D6" s="96">
        <f>SUM('Work Area 1'!K104:M104,'Work Area 1'!O104)*('Inputs &amp; Assumptions'!$C$47)</f>
        <v>7211.040000000004</v>
      </c>
      <c r="E6" s="111">
        <f>SUM('Work Area 1'!P104:S104)*('Inputs &amp; Assumptions'!$C$47)</f>
        <v>21.91049340715005</v>
      </c>
      <c r="F6" s="105">
        <f>('Work Area 1'!I104)</f>
        <v>0</v>
      </c>
      <c r="G6" s="87"/>
      <c r="I6" s="87"/>
      <c r="J6" s="87"/>
      <c r="K6" s="87"/>
    </row>
    <row r="7" spans="2:11" ht="15">
      <c r="B7" s="114" t="s">
        <v>154</v>
      </c>
      <c r="C7" s="98">
        <f>('Work Area 1'!H106*('Inputs &amp; Assumptions'!$C$47))</f>
        <v>0</v>
      </c>
      <c r="D7" s="95">
        <f>IF(HOT_WATER_FUEL=1,(K106*120),(M106*('Inputs &amp; Assumptions'!$C$47)))</f>
        <v>0</v>
      </c>
      <c r="E7" s="98">
        <f>SUM('Work Area 1'!P106:S106)*('Inputs &amp; Assumptions'!$C$47)</f>
        <v>0</v>
      </c>
      <c r="F7" s="104">
        <f>('Work Area 1'!I106)</f>
        <v>0</v>
      </c>
      <c r="G7" s="87"/>
      <c r="I7" s="87"/>
      <c r="J7" s="87"/>
      <c r="K7" s="87"/>
    </row>
    <row r="8" spans="2:11" ht="15">
      <c r="B8" s="108" t="s">
        <v>156</v>
      </c>
      <c r="C8" s="99">
        <f>('Work Area 1'!H108*('Inputs &amp; Assumptions'!$C$47))</f>
        <v>0</v>
      </c>
      <c r="D8" s="96">
        <f>IF(HOT_WATER_FUEL=1,(K108*('Inputs &amp; Assumptions'!$C$47)),(M108*('Inputs &amp; Assumptions'!$C$47)))</f>
        <v>0</v>
      </c>
      <c r="E8" s="111">
        <f>SUM('Work Area 1'!P108:S108)*('Inputs &amp; Assumptions'!$C$47)</f>
        <v>0</v>
      </c>
      <c r="F8" s="105">
        <f>('Work Area 1'!I108)</f>
        <v>0</v>
      </c>
      <c r="G8" s="87"/>
      <c r="I8" s="87"/>
      <c r="J8" s="87"/>
      <c r="K8" s="87"/>
    </row>
    <row r="9" spans="2:11" ht="15">
      <c r="B9" s="115" t="s">
        <v>346</v>
      </c>
      <c r="C9" s="100">
        <f>('Work Area 1'!H110*('Inputs &amp; Assumptions'!$C$47))</f>
        <v>23.089975093399755</v>
      </c>
      <c r="D9" s="97">
        <f>SUM('Work Area 1'!K110:M110)*('Inputs &amp; Assumptions'!$C$47)</f>
        <v>0</v>
      </c>
      <c r="E9" s="103">
        <f>SUM('Work Area 1'!P110:S110)*('Inputs &amp; Assumptions'!$C$47)</f>
        <v>0.3048984788178857</v>
      </c>
      <c r="F9" s="103">
        <f>('Work Area 1'!I110)*('Inputs &amp; Assumptions'!$C$47)</f>
        <v>11.544987546699877</v>
      </c>
      <c r="G9" s="116" t="s">
        <v>516</v>
      </c>
      <c r="H9" s="117"/>
      <c r="I9" s="87"/>
      <c r="J9" s="87"/>
      <c r="K9" s="87"/>
    </row>
    <row r="10" spans="2:11" ht="15">
      <c r="B10" s="85"/>
      <c r="C10" s="87"/>
      <c r="D10" s="87"/>
      <c r="E10" s="87"/>
      <c r="F10" s="87"/>
      <c r="G10" s="87"/>
      <c r="H10" s="87"/>
      <c r="I10" s="87"/>
      <c r="J10" s="87"/>
      <c r="K10" s="87"/>
    </row>
    <row r="11" spans="2:11" ht="15">
      <c r="B11" s="85"/>
      <c r="C11" s="87"/>
      <c r="D11" s="87"/>
      <c r="E11" s="87"/>
      <c r="F11" s="87"/>
      <c r="G11" s="87"/>
      <c r="H11" s="87"/>
      <c r="I11" s="87"/>
      <c r="J11" s="87"/>
      <c r="K11" s="87"/>
    </row>
    <row r="12" spans="2:11" ht="15">
      <c r="B12" s="85"/>
      <c r="C12" s="87"/>
      <c r="D12" s="87"/>
      <c r="E12" s="87"/>
      <c r="F12" s="87"/>
      <c r="G12" s="87"/>
      <c r="H12" s="87"/>
      <c r="I12" s="87"/>
      <c r="J12" s="87"/>
      <c r="K12" s="87"/>
    </row>
    <row r="13" spans="2:11" ht="15">
      <c r="B13" s="85"/>
      <c r="C13" s="87"/>
      <c r="D13" s="87"/>
      <c r="E13" s="87"/>
      <c r="F13" s="87"/>
      <c r="G13" s="87"/>
      <c r="H13" s="87"/>
      <c r="I13" s="87"/>
      <c r="J13" s="87"/>
      <c r="K13" s="87"/>
    </row>
    <row r="14" spans="3:11" ht="15">
      <c r="C14" s="87"/>
      <c r="D14" s="87"/>
      <c r="E14" s="87"/>
      <c r="F14" s="87"/>
      <c r="G14" s="87"/>
      <c r="H14" s="87"/>
      <c r="I14" s="87"/>
      <c r="J14" s="87"/>
      <c r="K14" s="87"/>
    </row>
    <row r="15" spans="1:11" ht="24">
      <c r="A15" s="309" t="s">
        <v>507</v>
      </c>
      <c r="B15" s="308" t="s">
        <v>505</v>
      </c>
      <c r="C15" s="307" t="s">
        <v>506</v>
      </c>
      <c r="D15" s="89" t="s">
        <v>345</v>
      </c>
      <c r="E15" s="90" t="s">
        <v>127</v>
      </c>
      <c r="F15" s="89" t="s">
        <v>138</v>
      </c>
      <c r="G15" s="90" t="s">
        <v>154</v>
      </c>
      <c r="H15" s="89" t="s">
        <v>156</v>
      </c>
      <c r="I15" s="90" t="s">
        <v>346</v>
      </c>
      <c r="J15" s="91" t="s">
        <v>52</v>
      </c>
      <c r="K15" s="87"/>
    </row>
    <row r="16" spans="1:11" ht="15">
      <c r="A16" s="92">
        <v>0</v>
      </c>
      <c r="B16" s="101">
        <v>0</v>
      </c>
      <c r="C16" s="98">
        <f>-F3</f>
        <v>-4825</v>
      </c>
      <c r="D16" s="95">
        <f>-F4</f>
        <v>-3339</v>
      </c>
      <c r="E16" s="98">
        <f>-F5</f>
        <v>-31</v>
      </c>
      <c r="F16" s="95">
        <f>-F6</f>
        <v>0</v>
      </c>
      <c r="G16" s="98">
        <f>-F7</f>
        <v>0</v>
      </c>
      <c r="H16" s="95">
        <f>-F8</f>
        <v>0</v>
      </c>
      <c r="I16" s="98">
        <f>F9</f>
        <v>11.544987546699877</v>
      </c>
      <c r="J16" s="104">
        <f aca="true" t="shared" si="0" ref="J16:J24">SUM(C16:I16)</f>
        <v>-8183.4550124533</v>
      </c>
      <c r="K16" s="87"/>
    </row>
    <row r="17" spans="1:11" ht="15">
      <c r="A17" s="88">
        <f aca="true" t="shared" si="1" ref="A17:A23">IF(SUM(C3:D3)=0,0,+F3/SUM(C3:D3))</f>
        <v>3.4606574104373253</v>
      </c>
      <c r="B17" s="102">
        <f>B$24*1/8</f>
        <v>0.48665494834274886</v>
      </c>
      <c r="C17" s="99">
        <f aca="true" t="shared" si="2" ref="C17:C24">C$16+$B17*($C$3+$D$3)</f>
        <v>-4146.484375</v>
      </c>
      <c r="D17" s="96">
        <f aca="true" t="shared" si="3" ref="D17:D24">D$16+$B17*($C$4+$D$4)</f>
        <v>-2845.9089426344285</v>
      </c>
      <c r="E17" s="99">
        <f aca="true" t="shared" si="4" ref="E17:E24">E$16+$B17*($C$5+$D$5)</f>
        <v>35.909215537747855</v>
      </c>
      <c r="F17" s="96">
        <f aca="true" t="shared" si="5" ref="F17:F24">F$16+$B17*($C$6+$D$6)</f>
        <v>3522.0323563375523</v>
      </c>
      <c r="G17" s="99">
        <f aca="true" t="shared" si="6" ref="G17:G24">G$16+$B17*($C$7+$D$7)</f>
        <v>0</v>
      </c>
      <c r="H17" s="96">
        <f aca="true" t="shared" si="7" ref="H17:H24">H$16+$B17*($C$8+$D$8)</f>
        <v>0</v>
      </c>
      <c r="I17" s="99">
        <f aca="true" t="shared" si="8" ref="I17:I24">I16</f>
        <v>11.544987546699877</v>
      </c>
      <c r="J17" s="105">
        <f t="shared" si="0"/>
        <v>-3422.9067582124294</v>
      </c>
      <c r="K17" s="87"/>
    </row>
    <row r="18" spans="1:11" ht="15">
      <c r="A18" s="93">
        <f t="shared" si="1"/>
        <v>3.295417445203692</v>
      </c>
      <c r="B18" s="101">
        <f>B$24*2/8</f>
        <v>0.9733098966854977</v>
      </c>
      <c r="C18" s="98">
        <f t="shared" si="2"/>
        <v>-3467.96875</v>
      </c>
      <c r="D18" s="95">
        <f t="shared" si="3"/>
        <v>-2352.817885268857</v>
      </c>
      <c r="E18" s="98">
        <f t="shared" si="4"/>
        <v>102.81843107549571</v>
      </c>
      <c r="F18" s="95">
        <f t="shared" si="5"/>
        <v>7044.064712675105</v>
      </c>
      <c r="G18" s="98">
        <f t="shared" si="6"/>
        <v>0</v>
      </c>
      <c r="H18" s="95">
        <f t="shared" si="7"/>
        <v>0</v>
      </c>
      <c r="I18" s="98">
        <f t="shared" si="8"/>
        <v>11.544987546699877</v>
      </c>
      <c r="J18" s="104">
        <f t="shared" si="0"/>
        <v>1337.6414960284435</v>
      </c>
      <c r="K18" s="87"/>
    </row>
    <row r="19" spans="1:11" ht="15">
      <c r="A19" s="88">
        <f t="shared" si="1"/>
        <v>0.22547422320493424</v>
      </c>
      <c r="B19" s="102">
        <f>B$24*3/8</f>
        <v>1.4599648450282465</v>
      </c>
      <c r="C19" s="99">
        <f t="shared" si="2"/>
        <v>-2789.453125</v>
      </c>
      <c r="D19" s="96">
        <f t="shared" si="3"/>
        <v>-1859.726827903286</v>
      </c>
      <c r="E19" s="99">
        <f t="shared" si="4"/>
        <v>169.72764661324356</v>
      </c>
      <c r="F19" s="96">
        <f t="shared" si="5"/>
        <v>10566.097069012656</v>
      </c>
      <c r="G19" s="99">
        <f t="shared" si="6"/>
        <v>0</v>
      </c>
      <c r="H19" s="96">
        <f t="shared" si="7"/>
        <v>0</v>
      </c>
      <c r="I19" s="99">
        <f t="shared" si="8"/>
        <v>11.544987546699877</v>
      </c>
      <c r="J19" s="105">
        <f t="shared" si="0"/>
        <v>6098.189750269314</v>
      </c>
      <c r="K19" s="87"/>
    </row>
    <row r="20" spans="1:11" ht="15">
      <c r="A20" s="93">
        <f t="shared" si="1"/>
        <v>0</v>
      </c>
      <c r="B20" s="101">
        <f>B$24*4/8</f>
        <v>1.9466197933709954</v>
      </c>
      <c r="C20" s="98">
        <f t="shared" si="2"/>
        <v>-2110.9375</v>
      </c>
      <c r="D20" s="95">
        <f t="shared" si="3"/>
        <v>-1366.6357705377145</v>
      </c>
      <c r="E20" s="98">
        <f t="shared" si="4"/>
        <v>236.63686215099142</v>
      </c>
      <c r="F20" s="95">
        <f t="shared" si="5"/>
        <v>14088.12942535021</v>
      </c>
      <c r="G20" s="98">
        <f t="shared" si="6"/>
        <v>0</v>
      </c>
      <c r="H20" s="95">
        <f t="shared" si="7"/>
        <v>0</v>
      </c>
      <c r="I20" s="98">
        <f t="shared" si="8"/>
        <v>11.544987546699877</v>
      </c>
      <c r="J20" s="104">
        <f t="shared" si="0"/>
        <v>10858.738004510187</v>
      </c>
      <c r="K20" s="87"/>
    </row>
    <row r="21" spans="1:11" ht="15">
      <c r="A21" s="88">
        <f t="shared" si="1"/>
        <v>0</v>
      </c>
      <c r="B21" s="102">
        <f>B$24*5/8</f>
        <v>2.433274741713744</v>
      </c>
      <c r="C21" s="99">
        <f t="shared" si="2"/>
        <v>-1432.4218750000005</v>
      </c>
      <c r="D21" s="96">
        <f t="shared" si="3"/>
        <v>-873.5447131721435</v>
      </c>
      <c r="E21" s="99">
        <f t="shared" si="4"/>
        <v>303.5460776887393</v>
      </c>
      <c r="F21" s="96">
        <f t="shared" si="5"/>
        <v>17610.16178168776</v>
      </c>
      <c r="G21" s="99">
        <f t="shared" si="6"/>
        <v>0</v>
      </c>
      <c r="H21" s="96">
        <f t="shared" si="7"/>
        <v>0</v>
      </c>
      <c r="I21" s="99">
        <f t="shared" si="8"/>
        <v>11.544987546699877</v>
      </c>
      <c r="J21" s="105">
        <f t="shared" si="0"/>
        <v>15619.286258751055</v>
      </c>
      <c r="K21" s="87"/>
    </row>
    <row r="22" spans="1:11" ht="15">
      <c r="A22" s="93">
        <f t="shared" si="1"/>
        <v>0</v>
      </c>
      <c r="B22" s="101">
        <f>B$24*6/8</f>
        <v>2.919929690056493</v>
      </c>
      <c r="C22" s="98">
        <f t="shared" si="2"/>
        <v>-753.9062500000005</v>
      </c>
      <c r="D22" s="95">
        <f t="shared" si="3"/>
        <v>-380.453655806572</v>
      </c>
      <c r="E22" s="98">
        <f t="shared" si="4"/>
        <v>370.45529322648713</v>
      </c>
      <c r="F22" s="95">
        <f t="shared" si="5"/>
        <v>21132.194138025312</v>
      </c>
      <c r="G22" s="98">
        <f t="shared" si="6"/>
        <v>0</v>
      </c>
      <c r="H22" s="95">
        <f t="shared" si="7"/>
        <v>0</v>
      </c>
      <c r="I22" s="98">
        <f t="shared" si="8"/>
        <v>11.544987546699877</v>
      </c>
      <c r="J22" s="104">
        <f t="shared" si="0"/>
        <v>20379.834512991925</v>
      </c>
      <c r="K22" s="87"/>
    </row>
    <row r="23" spans="1:11" ht="15">
      <c r="A23" s="88">
        <f t="shared" si="1"/>
        <v>0.5</v>
      </c>
      <c r="B23" s="102">
        <f>B$24*7/8</f>
        <v>3.406584638399242</v>
      </c>
      <c r="C23" s="99">
        <f t="shared" si="2"/>
        <v>-75.390625</v>
      </c>
      <c r="D23" s="96">
        <f t="shared" si="3"/>
        <v>112.6374015589995</v>
      </c>
      <c r="E23" s="99">
        <f t="shared" si="4"/>
        <v>437.364508764235</v>
      </c>
      <c r="F23" s="96">
        <f t="shared" si="5"/>
        <v>24654.226494362865</v>
      </c>
      <c r="G23" s="99">
        <f t="shared" si="6"/>
        <v>0</v>
      </c>
      <c r="H23" s="96">
        <f t="shared" si="7"/>
        <v>0</v>
      </c>
      <c r="I23" s="99">
        <f t="shared" si="8"/>
        <v>11.544987546699877</v>
      </c>
      <c r="J23" s="105">
        <f t="shared" si="0"/>
        <v>25140.382767232797</v>
      </c>
      <c r="K23" s="87"/>
    </row>
    <row r="24" spans="1:11" ht="15">
      <c r="A24" s="94">
        <f>MAXA(A16:A23)</f>
        <v>3.4606574104373253</v>
      </c>
      <c r="B24" s="103">
        <f>A24*1.125</f>
        <v>3.893239586741991</v>
      </c>
      <c r="C24" s="100">
        <f t="shared" si="2"/>
        <v>603.125</v>
      </c>
      <c r="D24" s="97">
        <f t="shared" si="3"/>
        <v>605.728458924571</v>
      </c>
      <c r="E24" s="100">
        <f t="shared" si="4"/>
        <v>504.27372430198284</v>
      </c>
      <c r="F24" s="97">
        <f t="shared" si="5"/>
        <v>28176.25885070042</v>
      </c>
      <c r="G24" s="100">
        <f t="shared" si="6"/>
        <v>0</v>
      </c>
      <c r="H24" s="97">
        <f t="shared" si="7"/>
        <v>0</v>
      </c>
      <c r="I24" s="100">
        <f t="shared" si="8"/>
        <v>11.544987546699877</v>
      </c>
      <c r="J24" s="106">
        <f t="shared" si="0"/>
        <v>29900.931021473672</v>
      </c>
      <c r="K24" s="87"/>
    </row>
    <row r="25" spans="2:11" ht="15">
      <c r="B25" s="87"/>
      <c r="C25" s="87"/>
      <c r="D25" s="87"/>
      <c r="E25" s="87"/>
      <c r="F25" s="87"/>
      <c r="G25" s="87"/>
      <c r="H25" s="87"/>
      <c r="I25" s="87"/>
      <c r="J25" s="87"/>
      <c r="K25" s="87"/>
    </row>
    <row r="26" spans="2:11" ht="15">
      <c r="B26" s="87"/>
      <c r="C26" s="87"/>
      <c r="D26" s="87"/>
      <c r="E26" s="87"/>
      <c r="F26" s="87"/>
      <c r="G26" s="87"/>
      <c r="H26" s="87"/>
      <c r="I26" s="87"/>
      <c r="J26" s="87"/>
      <c r="K26" s="87"/>
    </row>
  </sheetData>
  <mergeCells count="1">
    <mergeCell ref="C1:E1"/>
  </mergeCells>
  <printOptions/>
  <pageMargins left="0.5" right="0.5" top="0.5" bottom="0.84" header="0.5" footer="0.5"/>
  <pageSetup horizontalDpi="300" verticalDpi="300" orientation="landscape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G24"/>
  <sheetViews>
    <sheetView showGridLines="0" zoomScale="75" zoomScaleNormal="75" workbookViewId="0" topLeftCell="A1">
      <selection activeCell="K24" sqref="K24"/>
    </sheetView>
  </sheetViews>
  <sheetFormatPr defaultColWidth="9.77734375" defaultRowHeight="15"/>
  <cols>
    <col min="1" max="1" width="28.77734375" style="0" customWidth="1"/>
    <col min="2" max="2" width="11.77734375" style="0" customWidth="1"/>
    <col min="7" max="7" width="18.88671875" style="0" customWidth="1"/>
  </cols>
  <sheetData>
    <row r="1" spans="1:7" ht="23.25">
      <c r="A1" s="4" t="s">
        <v>347</v>
      </c>
      <c r="B1" s="5"/>
      <c r="C1" s="5"/>
      <c r="D1" s="5"/>
      <c r="E1" s="5"/>
      <c r="F1" s="5"/>
      <c r="G1" s="5"/>
    </row>
    <row r="3" spans="1:7" ht="16.5" thickTop="1">
      <c r="A3" s="6"/>
      <c r="B3" s="7" t="s">
        <v>348</v>
      </c>
      <c r="C3" s="310" t="s">
        <v>353</v>
      </c>
      <c r="D3" s="8" t="s">
        <v>349</v>
      </c>
      <c r="E3" s="8"/>
      <c r="F3" s="9"/>
      <c r="G3" s="10" t="s">
        <v>350</v>
      </c>
    </row>
    <row r="4" spans="1:7" ht="15.75">
      <c r="A4" s="11" t="s">
        <v>351</v>
      </c>
      <c r="B4" s="12" t="s">
        <v>352</v>
      </c>
      <c r="C4" s="12" t="s">
        <v>509</v>
      </c>
      <c r="D4" s="13" t="s">
        <v>333</v>
      </c>
      <c r="E4" s="13" t="s">
        <v>333</v>
      </c>
      <c r="F4" s="13" t="s">
        <v>332</v>
      </c>
      <c r="G4" s="14" t="s">
        <v>510</v>
      </c>
    </row>
    <row r="5" spans="1:7" ht="16.5" thickBot="1">
      <c r="A5" s="15" t="s">
        <v>354</v>
      </c>
      <c r="B5" s="16" t="s">
        <v>355</v>
      </c>
      <c r="C5" s="16" t="s">
        <v>54</v>
      </c>
      <c r="D5" s="16" t="s">
        <v>77</v>
      </c>
      <c r="E5" s="16" t="s">
        <v>356</v>
      </c>
      <c r="F5" s="16" t="s">
        <v>356</v>
      </c>
      <c r="G5" s="17" t="s">
        <v>511</v>
      </c>
    </row>
    <row r="6" spans="1:7" ht="19.5" customHeight="1">
      <c r="A6" s="59" t="s">
        <v>382</v>
      </c>
      <c r="B6" s="60">
        <f>SUM('Work Area 1'!A75:A80,'Work Area 1'!A82:A86)</f>
        <v>13</v>
      </c>
      <c r="C6" s="61">
        <f>'Work Area 2 (graphs)'!F3</f>
        <v>4825</v>
      </c>
      <c r="D6" s="61">
        <f>'Work Area 2 (graphs)'!C3</f>
        <v>1396.0128</v>
      </c>
      <c r="E6" s="269">
        <f>'Work Area 2 (graphs)'!D3</f>
        <v>-1.76904</v>
      </c>
      <c r="F6" s="269">
        <f>'Work Area 2 (graphs)'!E3</f>
        <v>18.39612163140117</v>
      </c>
      <c r="G6" s="62">
        <f aca="true" t="shared" si="0" ref="G6:G13">IF(SUM(D6:E6)=0,NA(),+C6/SUM(D6:E6))</f>
        <v>3.4606574104373253</v>
      </c>
    </row>
    <row r="7" spans="1:7" ht="19.5" customHeight="1">
      <c r="A7" s="63" t="str">
        <f>IF(WATERLESS=1,"WATERLESS urinals","ULF urinals")</f>
        <v>WATERLESS urinals</v>
      </c>
      <c r="B7" s="64"/>
      <c r="C7" s="65"/>
      <c r="D7" s="65"/>
      <c r="E7" s="270"/>
      <c r="F7" s="270"/>
      <c r="G7" s="66"/>
    </row>
    <row r="8" spans="1:7" ht="19.5" customHeight="1">
      <c r="A8" s="67" t="s">
        <v>357</v>
      </c>
      <c r="B8" s="68">
        <f>SUM('Work Area 1'!A88:A92)</f>
        <v>10</v>
      </c>
      <c r="C8" s="69">
        <f>SUM('Work Area 1'!I88:I92)</f>
        <v>3300</v>
      </c>
      <c r="D8" s="69">
        <f>SUM('Work Area 1'!H88:H92)*365</f>
        <v>387.65737500000006</v>
      </c>
      <c r="E8" s="271">
        <f>SUM('Work Area 1'!K88:M92)*365</f>
        <v>6435.112424999999</v>
      </c>
      <c r="F8" s="271">
        <f>SUM('Work Area 1'!P88:S92)*365</f>
        <v>24.363215966145486</v>
      </c>
      <c r="G8" s="70">
        <f t="shared" si="0"/>
        <v>0.4836745334717288</v>
      </c>
    </row>
    <row r="9" spans="1:7" ht="19.5" customHeight="1">
      <c r="A9" s="67" t="s">
        <v>358</v>
      </c>
      <c r="B9" s="68">
        <f>SUM('Work Area 1'!A94:A97)</f>
        <v>3</v>
      </c>
      <c r="C9" s="69">
        <f>SUM('Work Area 1'!I94:I97)</f>
        <v>39</v>
      </c>
      <c r="D9" s="69">
        <f>SUM('Work Area 1'!H94:H97)*365</f>
        <v>41.518750000000004</v>
      </c>
      <c r="E9" s="271">
        <f>SUM('Work Area 1'!K94:M97)*365</f>
        <v>689.21125</v>
      </c>
      <c r="F9" s="271">
        <f>SUM('Work Area 1'!P94:S97)*365</f>
        <v>2.6093409751185646</v>
      </c>
      <c r="G9" s="70">
        <f t="shared" si="0"/>
        <v>0.053371286247998584</v>
      </c>
    </row>
    <row r="10" spans="1:7" ht="19.5" customHeight="1">
      <c r="A10" s="67" t="s">
        <v>359</v>
      </c>
      <c r="B10" s="68">
        <f>SUM('Work Area 1'!A99:A102)</f>
        <v>1</v>
      </c>
      <c r="C10" s="69">
        <f>'Work Area 2 (graphs)'!F5</f>
        <v>31</v>
      </c>
      <c r="D10" s="69">
        <f>'Work Area 2 (graphs)'!C5</f>
        <v>36.400000000000006</v>
      </c>
      <c r="E10" s="271">
        <f>'Work Area 2 (graphs)'!D5</f>
        <v>101.088</v>
      </c>
      <c r="F10" s="271">
        <f>'Work Area 2 (graphs)'!E5</f>
        <v>2.6490387470724763</v>
      </c>
      <c r="G10" s="70">
        <f t="shared" si="0"/>
        <v>0.22547422320493424</v>
      </c>
    </row>
    <row r="11" spans="1:7" ht="19.5" customHeight="1">
      <c r="A11" s="67" t="s">
        <v>360</v>
      </c>
      <c r="B11" s="68">
        <f>'Work Area 1'!B104</f>
        <v>1</v>
      </c>
      <c r="C11" s="69">
        <f>'Work Area 2 (graphs)'!F6</f>
        <v>0</v>
      </c>
      <c r="D11" s="69">
        <f>'Work Area 2 (graphs)'!C6</f>
        <v>26.18705035971225</v>
      </c>
      <c r="E11" s="271">
        <f>'Work Area 2 (graphs)'!D6</f>
        <v>7211.040000000004</v>
      </c>
      <c r="F11" s="271">
        <f>'Work Area 2 (graphs)'!E6</f>
        <v>21.91049340715005</v>
      </c>
      <c r="G11" s="70">
        <f t="shared" si="0"/>
        <v>0</v>
      </c>
    </row>
    <row r="12" spans="1:7" ht="19.5" customHeight="1">
      <c r="A12" s="67" t="s">
        <v>361</v>
      </c>
      <c r="B12" s="68">
        <f>'Work Area 1'!B106</f>
        <v>1</v>
      </c>
      <c r="C12" s="69">
        <f>'Work Area 2 (graphs)'!F7</f>
        <v>0</v>
      </c>
      <c r="D12" s="69">
        <f>'Work Area 2 (graphs)'!C7</f>
        <v>0</v>
      </c>
      <c r="E12" s="271">
        <f>'Work Area 2 (graphs)'!D7</f>
        <v>0</v>
      </c>
      <c r="F12" s="271">
        <f>'Work Area 2 (graphs)'!E7</f>
        <v>0</v>
      </c>
      <c r="G12" s="70" t="e">
        <f t="shared" si="0"/>
        <v>#N/A</v>
      </c>
    </row>
    <row r="13" spans="1:7" ht="21" customHeight="1">
      <c r="A13" s="67" t="s">
        <v>362</v>
      </c>
      <c r="B13" s="68">
        <f>'Work Area 1'!B108</f>
        <v>0</v>
      </c>
      <c r="C13" s="69">
        <f>'Work Area 2 (graphs)'!F8</f>
        <v>0</v>
      </c>
      <c r="D13" s="69">
        <f>'Work Area 2 (graphs)'!C8</f>
        <v>0</v>
      </c>
      <c r="E13" s="271">
        <f>'Work Area 2 (graphs)'!D8</f>
        <v>0</v>
      </c>
      <c r="F13" s="271">
        <f>'Work Area 2 (graphs)'!E8</f>
        <v>0</v>
      </c>
      <c r="G13" s="70" t="e">
        <f t="shared" si="0"/>
        <v>#N/A</v>
      </c>
    </row>
    <row r="14" spans="1:7" ht="20.25" customHeight="1" thickBot="1">
      <c r="A14" s="71" t="s">
        <v>363</v>
      </c>
      <c r="B14" s="72" t="e">
        <f>NA()</f>
        <v>#N/A</v>
      </c>
      <c r="C14" s="73">
        <f>D14/2</f>
        <v>11.544987546699877</v>
      </c>
      <c r="D14" s="73">
        <f>'Work Area 2 (graphs)'!C9</f>
        <v>23.089975093399755</v>
      </c>
      <c r="E14" s="272">
        <f>'Work Area 2 (graphs)'!D9</f>
        <v>0</v>
      </c>
      <c r="F14" s="272">
        <f>'Work Area 2 (graphs)'!E9</f>
        <v>0.3048984788178857</v>
      </c>
      <c r="G14" s="74" t="s">
        <v>364</v>
      </c>
    </row>
    <row r="15" spans="1:7" ht="9" customHeight="1" thickTop="1">
      <c r="A15" s="58"/>
      <c r="B15" s="18"/>
      <c r="C15" s="19"/>
      <c r="D15" s="19"/>
      <c r="E15" s="19"/>
      <c r="F15" s="19"/>
      <c r="G15" s="20"/>
    </row>
    <row r="16" spans="1:7" ht="16.5" thickBot="1">
      <c r="A16" s="15" t="s">
        <v>365</v>
      </c>
      <c r="B16" s="21"/>
      <c r="C16" s="22">
        <f>SUM(C6:C13)</f>
        <v>8195</v>
      </c>
      <c r="D16" s="22">
        <f>SUM(D6:D13)</f>
        <v>1887.7759753597122</v>
      </c>
      <c r="E16" s="22">
        <f>SUM(E6:E13)</f>
        <v>14434.682635000003</v>
      </c>
      <c r="F16" s="22">
        <f>SUM(F6:F13)</f>
        <v>69.92821072688774</v>
      </c>
      <c r="G16" s="57">
        <f>IF(SUM(D16:E16)=0,NA(),+C16/SUM(D16:E16))</f>
        <v>0.5020689710800497</v>
      </c>
    </row>
    <row r="17" spans="3:7" ht="15">
      <c r="C17" s="1"/>
      <c r="D17" s="1"/>
      <c r="E17" s="1"/>
      <c r="F17" s="1"/>
      <c r="G17" s="3"/>
    </row>
    <row r="18" spans="3:7" ht="15">
      <c r="C18" s="1"/>
      <c r="D18" s="1"/>
      <c r="E18" s="1"/>
      <c r="F18" s="1"/>
      <c r="G18" s="3"/>
    </row>
    <row r="19" spans="3:7" ht="15">
      <c r="C19" s="1"/>
      <c r="D19" s="1"/>
      <c r="E19" s="1"/>
      <c r="F19" s="1"/>
      <c r="G19" s="3"/>
    </row>
    <row r="20" spans="3:7" ht="15">
      <c r="C20" s="1"/>
      <c r="D20" s="1"/>
      <c r="E20" s="1"/>
      <c r="F20" s="1"/>
      <c r="G20" s="3"/>
    </row>
    <row r="21" spans="3:7" ht="15">
      <c r="C21" s="1"/>
      <c r="D21" s="1"/>
      <c r="E21" s="1"/>
      <c r="F21" s="1"/>
      <c r="G21" s="3"/>
    </row>
    <row r="22" spans="3:7" ht="15">
      <c r="C22" s="1"/>
      <c r="D22" s="1"/>
      <c r="E22" s="1"/>
      <c r="F22" s="1"/>
      <c r="G22" s="3"/>
    </row>
    <row r="23" spans="3:6" ht="15">
      <c r="C23" s="1"/>
      <c r="D23" s="1"/>
      <c r="E23" s="1"/>
      <c r="F23" s="1"/>
    </row>
    <row r="24" spans="3:6" ht="15">
      <c r="C24" s="1"/>
      <c r="D24" s="1"/>
      <c r="E24" s="1"/>
      <c r="F24" s="1"/>
    </row>
  </sheetData>
  <printOptions/>
  <pageMargins left="1" right="1" top="1" bottom="0.84" header="0.5" footer="0.5"/>
  <pageSetup fitToHeight="1" fitToWidth="1" horizontalDpi="300" verticalDpi="300" orientation="portrait" scale="65" r:id="rId2"/>
  <headerFooter alignWithMargins="0">
    <oddHeader>&amp;L&amp;"Arial MT,Bold"WATERGY:&amp;"Arial MT,Regular" Outputs&amp;R&amp;D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Trina Brown</cp:lastModifiedBy>
  <cp:lastPrinted>2000-07-27T20:31:37Z</cp:lastPrinted>
  <dcterms:created xsi:type="dcterms:W3CDTF">1998-11-24T18:30:08Z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