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675" windowWidth="15330" windowHeight="3720" tabRatio="571" firstSheet="1" activeTab="2"/>
  </bookViews>
  <sheets>
    <sheet name="CB_DATA_" sheetId="1" state="veryHidden" r:id="rId1"/>
    <sheet name="User's Guide" sheetId="2" r:id="rId2"/>
    <sheet name="Activity Description" sheetId="3" r:id="rId3"/>
    <sheet name="ERR &amp; Sensitivity Analysis" sheetId="4" r:id="rId4"/>
    <sheet name="ERR Private Bank Loan Funding" sheetId="5" r:id="rId5"/>
    <sheet name="Key Assumptions and Parameters" sheetId="6" r:id="rId6"/>
    <sheet name="ERR GRN funding" sheetId="7" r:id="rId7"/>
    <sheet name="Model of Loan Fund" sheetId="8" r:id="rId8"/>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Addgrow">#REF!</definedName>
    <definedName name="annwage">#REF!</definedName>
    <definedName name="asset_life">#REF!</definedName>
    <definedName name="avgwage">'[1]Key Assumptions'!$G$9</definedName>
    <definedName name="billing_hydro">#REF!</definedName>
    <definedName name="billing_subsea" localSheetId="3">'[9]Assumptions'!#REF!</definedName>
    <definedName name="billing_subsea">#REF!</definedName>
    <definedName name="billing_td" localSheetId="3">'[9]Assumptions'!#REF!</definedName>
    <definedName name="billing_td">#REF!</definedName>
    <definedName name="c_tax">'[7]Assumptions'!$D$129</definedName>
    <definedName name="cablife">'[5]Assumptions'!$H$29</definedName>
    <definedName name="CB_1c5e34d883ac497cbfb6d46c79f4dee7" localSheetId="3" hidden="1">'ERR &amp; Sensitivity Analysis'!$D$35</definedName>
    <definedName name="CB_64ab3ee2c51f4c88ac37d3d89640afc9" localSheetId="3" hidden="1">'ERR &amp; Sensitivity Analysis'!$D$31</definedName>
    <definedName name="CB_724e7b95cc5248159bad5ed1e88c4080" localSheetId="3" hidden="1">'ERR &amp; Sensitivity Analysis'!$D$29</definedName>
    <definedName name="CB_ffbd580fd6f248aa8710137c0c180637" localSheetId="3" hidden="1">'ERR &amp; Sensitivity Analysis'!$D$30</definedName>
    <definedName name="CBWorkbookPriority" localSheetId="2" hidden="1">-1802552942</definedName>
    <definedName name="CBWorkbookPriority" localSheetId="3" hidden="1">-1645099013</definedName>
    <definedName name="CBWorkbookPriority" localSheetId="1" hidden="1">-1554024671</definedName>
    <definedName name="CBWorkbookPriority" hidden="1">-836233860</definedName>
    <definedName name="CBx_8a288e69f5864a4fb69a7a336d52d516" localSheetId="0" hidden="1">"'CB_DATA_'!$A$1"</definedName>
    <definedName name="CBx_d11b27ad3acf40e399b91d6b2b9b5acb" localSheetId="0" hidden="1">"'ERR Private bank loan funding'!$A$1"</definedName>
    <definedName name="CBx_efb6a8180e6b440197211dfc6d35eb9e" localSheetId="0" hidden="1">"'ERR &amp; Sensitivity Analysis'!$A$1"</definedName>
    <definedName name="CBx_Sheet_Guid" localSheetId="0" hidden="1">"'8a288e69-f586-4a4f-b69a-7a336d52d516"</definedName>
    <definedName name="CBx_Sheet_Guid" localSheetId="3" hidden="1">"'efb6a818-0e6b-4401-9721-1dfc6d35eb9e"</definedName>
    <definedName name="CBx_Sheet_Guid" localSheetId="4" hidden="1">"'d11b27ad-3acf-40e3-99b9-1d6b2b9b5acb"</definedName>
    <definedName name="CBx_StorageType" localSheetId="0" hidden="1">1</definedName>
    <definedName name="CBx_StorageType" localSheetId="3" hidden="1">1</definedName>
    <definedName name="CBx_StorageType" localSheetId="4" hidden="1">1</definedName>
    <definedName name="Costs">#REF!</definedName>
    <definedName name="Costs2">'[5]Assumptions'!$W$7:$AB$15</definedName>
    <definedName name="debt">#REF!</definedName>
    <definedName name="debt_cost" localSheetId="3">'[9]Assumptions'!#REF!</definedName>
    <definedName name="debt_cost">#REF!</definedName>
    <definedName name="DEP">#REF!</definedName>
    <definedName name="diesel_price">#REF!</definedName>
    <definedName name="disc">'[3]Assumptions'!#REF!</definedName>
    <definedName name="discount">#REF!</definedName>
    <definedName name="disease_cases">'[3]Assumptions'!#REF!</definedName>
    <definedName name="DPY">'[1]Key Assumptions'!$G$24</definedName>
    <definedName name="ECF">'[2]LU'!$AF$8</definedName>
    <definedName name="ECON">#REF!</definedName>
    <definedName name="eduwageadd">'[3]Morogoro'!$K$31</definedName>
    <definedName name="eduwagenr">'[3]Morogoro'!$K$29</definedName>
    <definedName name="equity" localSheetId="3">'[9]Assumptions'!#REF!</definedName>
    <definedName name="equity">#REF!</definedName>
    <definedName name="ex_rate">#REF!</definedName>
    <definedName name="exch">'[6]Assumptions'!$F$7</definedName>
    <definedName name="exch2">'[8]Basics'!$G$8</definedName>
    <definedName name="gasswitch">'[5]Assumptions'!$H$47</definedName>
    <definedName name="grow">#REF!</definedName>
    <definedName name="hydro_cap">#REF!</definedName>
    <definedName name="hydro_opex">#REF!</definedName>
    <definedName name="income_comm" localSheetId="3">'[9]Assumptions'!#REF!</definedName>
    <definedName name="income_comm">#REF!</definedName>
    <definedName name="income_dom" localSheetId="3">'[9]Assumptions'!#REF!</definedName>
    <definedName name="income_dom">#REF!</definedName>
    <definedName name="income_ind" localSheetId="3">'[9]Assumptions'!#REF!</definedName>
    <definedName name="income_ind">#REF!</definedName>
    <definedName name="income_street" localSheetId="3">'[9]Assumptions'!#REF!</definedName>
    <definedName name="income_street">#REF!</definedName>
    <definedName name="infl">'[1]Key Assumptions'!$G$38</definedName>
    <definedName name="inflation" localSheetId="3">'[9]Assumptions'!#REF!</definedName>
    <definedName name="inflation">#REF!</definedName>
    <definedName name="LCC">'[1]Key Assumptions'!$G$38</definedName>
    <definedName name="Lessgrow">#REF!</definedName>
    <definedName name="LF0913">'[5]Assumptions'!$G$12</definedName>
    <definedName name="LF1423">'[5]Assumptions'!$H$12</definedName>
    <definedName name="LF2433">'[5]Assumptions'!$I$12</definedName>
    <definedName name="LF2434">'[5]Assumptions'!$I$12</definedName>
    <definedName name="list">'[3]Assumptions'!#REF!</definedName>
    <definedName name="loadshed">'[5]Assumptions'!#REF!</definedName>
    <definedName name="LOAN">#REF!</definedName>
    <definedName name="loan_period" localSheetId="3">'[9]Assumptions'!#REF!</definedName>
    <definedName name="loan_period">#REF!</definedName>
    <definedName name="lpb">'[3]Assumptions'!$F$6</definedName>
    <definedName name="LU1">'[2]LU'!$A$3:$V$57</definedName>
    <definedName name="LUsum">'[2]Summary'!$A$6:$S$16</definedName>
    <definedName name="lva">'[1]Key Assumptions'!$G$37</definedName>
    <definedName name="mat_rate">'[7]Assumptions'!$D$125</definedName>
    <definedName name="mat_years">'[7]Assumptions'!$D$127</definedName>
    <definedName name="miniprojrange">#REF!</definedName>
    <definedName name="model_start">#REF!</definedName>
    <definedName name="mvacap">'[5]Assumptions'!$H$31</definedName>
    <definedName name="nmarkup">'[3]Assumptions'!#REF!</definedName>
    <definedName name="omcost">'[3]Assumptions'!$F$9</definedName>
    <definedName name="ops_end">#REF!</definedName>
    <definedName name="ops_start">#REF!</definedName>
    <definedName name="pfactor">'[5]Assumptions'!$H$13</definedName>
    <definedName name="Phasing">#REF!</definedName>
    <definedName name="Phasing2">'[5]Planting'!$F$4:$S$10</definedName>
    <definedName name="pow_importprice">'[5]Assumptions'!$M$8:$O$35</definedName>
    <definedName name="ppatable">'[5]Assumptions'!$L$9:$P$35</definedName>
    <definedName name="price_comm" localSheetId="3">'[9]Assumptions'!#REF!</definedName>
    <definedName name="price_comm">#REF!</definedName>
    <definedName name="price_dom" localSheetId="3">'[9]Assumptions'!#REF!</definedName>
    <definedName name="price_dom">#REF!</definedName>
    <definedName name="price_ind" localSheetId="3">'[9]Assumptions'!#REF!+'[9]Assumptions'!#REF!</definedName>
    <definedName name="price_ind">#REF!+#REF!</definedName>
    <definedName name="price_street" localSheetId="3">'[9]Assumptions'!#REF!</definedName>
    <definedName name="price_street">#REF!</definedName>
    <definedName name="_xlnm.Print_Area" localSheetId="2">'Activity Description'!$A$1:$D$40</definedName>
    <definedName name="_xlnm.Print_Area" localSheetId="3">'ERR &amp; Sensitivity Analysis'!$A$1:$K$123</definedName>
    <definedName name="_xlnm.Print_Area" localSheetId="6">'ERR GRN funding'!$A$4:$Y$42</definedName>
    <definedName name="_xlnm.Print_Area" localSheetId="4">'ERR Private Bank Loan Funding'!$A$1:$Y$44</definedName>
    <definedName name="_xlnm.Print_Area" localSheetId="5">'Key Assumptions and Parameters'!$A$1:$I$81</definedName>
    <definedName name="_xlnm.Print_Area" localSheetId="7">'Model of Loan Fund'!$A$1:$Y$31</definedName>
    <definedName name="_xlnm.Print_Area" localSheetId="1">'User''s Guide'!$A$1:$D$62</definedName>
    <definedName name="prod">'[4]Key Assumptions'!$H$41</definedName>
    <definedName name="proj_life">#REF!</definedName>
    <definedName name="PROJECT_NAME" localSheetId="2">CONCATENATE('Activity Description'!$C$14," (",'Activity Description'!#REF!,")")</definedName>
    <definedName name="PROJECT_NAME" localSheetId="3">CONCATENATE('[10]User's Guide'!$C$8," (",'[10]User's Guide'!$C$9,")")</definedName>
    <definedName name="PROJECT_NAME">CONCATENATE('User's Guide'!$C$12," (",'User's Guide'!$C$13,")")</definedName>
    <definedName name="project_switch">#REF!</definedName>
    <definedName name="real_disc_rate" localSheetId="3">'[9]Assumptions'!#REF!</definedName>
    <definedName name="real_disc_rate">#REF!</definedName>
    <definedName name="req_ret">'[7]Assumptions'!$D$129</definedName>
    <definedName name="residcapex">'[5]Assumptions'!$H$49</definedName>
    <definedName name="selected_cap">#REF!</definedName>
    <definedName name="startyear">'[5]Assumptions'!$H$36</definedName>
    <definedName name="STAT">$A$1:$N$401</definedName>
    <definedName name="sub_cap" localSheetId="3">'[9]Assumptions'!#REF!</definedName>
    <definedName name="sub_cap">#REF!</definedName>
    <definedName name="SUM">#REF!</definedName>
    <definedName name="tariff_case">#REF!</definedName>
    <definedName name="tax_dep" localSheetId="3">'[9]Assumptions'!#REF!</definedName>
    <definedName name="tax_dep">#REF!</definedName>
    <definedName name="tax_rate" localSheetId="3">'[9]Assumptions'!#REF!</definedName>
    <definedName name="tax_rate">#REF!</definedName>
    <definedName name="td_cap">#REF!</definedName>
    <definedName name="td_opex">#REF!</definedName>
    <definedName name="unserved">'[5]Assumptions'!$H$35</definedName>
    <definedName name="UWSSA">'[3]Assumptions'!$E$14:$E$16</definedName>
    <definedName name="voll">'[5]Assumptions'!$H$30</definedName>
    <definedName name="Year1">'[6]Assumptions'!$F$5</definedName>
  </definedNames>
  <calcPr fullCalcOnLoad="1"/>
</workbook>
</file>

<file path=xl/sharedStrings.xml><?xml version="1.0" encoding="utf-8"?>
<sst xmlns="http://schemas.openxmlformats.org/spreadsheetml/2006/main" count="253" uniqueCount="182">
  <si>
    <t>Year</t>
  </si>
  <si>
    <t>Without project</t>
  </si>
  <si>
    <t xml:space="preserve">Namibian </t>
  </si>
  <si>
    <t xml:space="preserve">SADC </t>
  </si>
  <si>
    <t xml:space="preserve">Non-SADC </t>
  </si>
  <si>
    <t>Students</t>
  </si>
  <si>
    <t xml:space="preserve">Tuition Fees </t>
  </si>
  <si>
    <t>Breakage deposit ($70 non-refundable)</t>
  </si>
  <si>
    <t>Meals</t>
  </si>
  <si>
    <t>Total</t>
  </si>
  <si>
    <t>Total in US$</t>
  </si>
  <si>
    <t>Fraction of education budget devoted to tertiary</t>
  </si>
  <si>
    <t>VET enrollments</t>
  </si>
  <si>
    <t>VET</t>
  </si>
  <si>
    <t>COE</t>
  </si>
  <si>
    <t>Polytechnic</t>
  </si>
  <si>
    <t>UNAM</t>
  </si>
  <si>
    <t>Average per student central budget financing of tertiary</t>
  </si>
  <si>
    <t>Foregone earnings</t>
  </si>
  <si>
    <t>Total costs</t>
  </si>
  <si>
    <t>NET BENEFITS</t>
  </si>
  <si>
    <t>Completion rate, tertiary</t>
  </si>
  <si>
    <t>Number Completing tertiary</t>
  </si>
  <si>
    <t xml:space="preserve">Costs of tertiary </t>
  </si>
  <si>
    <t>Benefits of tertiary</t>
  </si>
  <si>
    <t>Net economic benefits</t>
  </si>
  <si>
    <t>With project</t>
  </si>
  <si>
    <t>RETURNS TO TERTIARY UNDER CURRENT SCENARIO:</t>
  </si>
  <si>
    <t>RETURNS TO TERTIARY UNDER REFORM SCENARIO:</t>
  </si>
  <si>
    <t>Grade 12 enrollment, 2005</t>
  </si>
  <si>
    <t>Excess demand (based on ability to pay and qualifications)</t>
  </si>
  <si>
    <t>$N</t>
  </si>
  <si>
    <t>Number of students able to self/bank finance</t>
  </si>
  <si>
    <t>Loan fund</t>
  </si>
  <si>
    <t>Total borrowed</t>
  </si>
  <si>
    <t>Number financed</t>
  </si>
  <si>
    <t>GRN contributions</t>
  </si>
  <si>
    <t>Assumed</t>
  </si>
  <si>
    <t>Per capita award</t>
  </si>
  <si>
    <t>Change in net economic benefits</t>
  </si>
  <si>
    <t>Costs</t>
  </si>
  <si>
    <t>NET ECONOMIC BENEFITS, MCC PROJECT</t>
  </si>
  <si>
    <t>ERR</t>
  </si>
  <si>
    <t>Fraction of repayments recycled immediately</t>
  </si>
  <si>
    <t>Year 4</t>
  </si>
  <si>
    <t>Fraction of fund lent</t>
  </si>
  <si>
    <t>Balance in fund</t>
  </si>
  <si>
    <t>Value of Fund</t>
  </si>
  <si>
    <t>Number of students receiving NSFAF with 'need'</t>
  </si>
  <si>
    <t>Number of students receiving loan with 'need'</t>
  </si>
  <si>
    <t>Max Places Available/Enrollment in current tertiary institutions</t>
  </si>
  <si>
    <t>Repayments (at 95%)</t>
  </si>
  <si>
    <t>Real interest rate charged (deferred accrual during studies)</t>
  </si>
  <si>
    <t>Demand from students receiving no subsidized financing</t>
  </si>
  <si>
    <t>Number of students financed through NSFAF</t>
  </si>
  <si>
    <t>Total demand for tertiary</t>
  </si>
  <si>
    <t>Demand (based on ability to pay and qualifications)</t>
  </si>
  <si>
    <t>Probability of those currently receiving support being unable to study without financing assistance</t>
  </si>
  <si>
    <t>Government funding scenario</t>
  </si>
  <si>
    <t>Private bank financing scenario</t>
  </si>
  <si>
    <t>Balance in Fund</t>
  </si>
  <si>
    <t>Bank financing</t>
  </si>
  <si>
    <t>Repayments (at 90%)</t>
  </si>
  <si>
    <t>Financing costs paid</t>
  </si>
  <si>
    <t>Incremental tertiary completers</t>
  </si>
  <si>
    <t>Cumulative incremental tertiary completers</t>
  </si>
  <si>
    <t>Incremental net Benefit minus MCC cost(returns to tertiary education)</t>
  </si>
  <si>
    <r>
      <t xml:space="preserve">Registration Fee </t>
    </r>
    <r>
      <rPr>
        <i/>
        <sz val="14"/>
        <rFont val="Arial"/>
        <family val="2"/>
      </rPr>
      <t>(once)</t>
    </r>
  </si>
  <si>
    <r>
      <t xml:space="preserve">Hostel Fees </t>
    </r>
    <r>
      <rPr>
        <i/>
        <sz val="14"/>
        <rFont val="Arial"/>
        <family val="2"/>
      </rPr>
      <t>(includes accomodation and a breakfast and is payable up front</t>
    </r>
    <r>
      <rPr>
        <sz val="14"/>
        <rFont val="Arial"/>
        <family val="2"/>
      </rPr>
      <t>)</t>
    </r>
  </si>
  <si>
    <r>
      <t xml:space="preserve">International Student Levy </t>
    </r>
    <r>
      <rPr>
        <i/>
        <sz val="14"/>
        <rFont val="Arial"/>
        <family val="2"/>
      </rPr>
      <t>(for the whole year)</t>
    </r>
  </si>
  <si>
    <t>Year of Tertiary education</t>
  </si>
  <si>
    <t>Costs of tertiary education (Central government budgeting plus tuition)</t>
  </si>
  <si>
    <t>Costs of tertiary education (Assume costs of tertiary are reduced by):</t>
  </si>
  <si>
    <t>-</t>
  </si>
  <si>
    <t>NPV</t>
  </si>
  <si>
    <t>Financial costs of higher education (per annum)</t>
  </si>
  <si>
    <t>Amount of support currently received (Average in N$)</t>
  </si>
  <si>
    <t>Additional earnings per year post-secondary/tertiary
(Based on NHIES returns estimates)</t>
  </si>
  <si>
    <r>
      <t>Economic Rate of Return to Tertiary</t>
    </r>
    <r>
      <rPr>
        <vertAlign val="superscript"/>
        <sz val="14"/>
        <rFont val="Arial"/>
        <family val="2"/>
      </rPr>
      <t>1</t>
    </r>
    <r>
      <rPr>
        <sz val="14"/>
        <rFont val="Arial"/>
        <family val="2"/>
      </rPr>
      <t xml:space="preserve"> </t>
    </r>
  </si>
  <si>
    <r>
      <t>1</t>
    </r>
    <r>
      <rPr>
        <sz val="14"/>
        <rFont val="Arial"/>
        <family val="2"/>
      </rPr>
      <t>Consistent with World Bank 2005 sector study.</t>
    </r>
  </si>
  <si>
    <r>
      <t>Economic Rate of Return to Tertiary</t>
    </r>
    <r>
      <rPr>
        <vertAlign val="superscript"/>
        <sz val="14"/>
        <rFont val="Arial"/>
        <family val="2"/>
      </rPr>
      <t>1</t>
    </r>
  </si>
  <si>
    <t>Assumed value of NSFAF Fund in Year One</t>
  </si>
  <si>
    <r>
      <t>2</t>
    </r>
    <r>
      <rPr>
        <sz val="14"/>
        <rFont val="Arial"/>
        <family val="2"/>
      </rPr>
      <t>From 2006 actual data.  Awards were reduced rather than the amount of the award when budget was not adequate.</t>
    </r>
  </si>
  <si>
    <r>
      <t>Amount of loan awards, new system</t>
    </r>
    <r>
      <rPr>
        <vertAlign val="superscript"/>
        <sz val="14"/>
        <rFont val="Arial"/>
        <family val="2"/>
      </rPr>
      <t>3</t>
    </r>
  </si>
  <si>
    <r>
      <t>3</t>
    </r>
    <r>
      <rPr>
        <sz val="14"/>
        <rFont val="Arial"/>
        <family val="2"/>
      </rPr>
      <t>Assumed average (can be higher for more needy)</t>
    </r>
  </si>
  <si>
    <r>
      <t>Number of Secondary students enrolled</t>
    </r>
    <r>
      <rPr>
        <vertAlign val="superscript"/>
        <sz val="14"/>
        <rFont val="Arial"/>
        <family val="2"/>
      </rPr>
      <t>4</t>
    </r>
  </si>
  <si>
    <r>
      <t>4</t>
    </r>
    <r>
      <rPr>
        <sz val="14"/>
        <rFont val="Arial"/>
        <family val="2"/>
      </rPr>
      <t>Source:  2006 EMIS</t>
    </r>
  </si>
  <si>
    <r>
      <t>Number graduating each year</t>
    </r>
    <r>
      <rPr>
        <vertAlign val="superscript"/>
        <sz val="14"/>
        <rFont val="Arial"/>
        <family val="2"/>
      </rPr>
      <t>5</t>
    </r>
  </si>
  <si>
    <r>
      <t>5</t>
    </r>
    <r>
      <rPr>
        <sz val="14"/>
        <rFont val="Arial"/>
        <family val="2"/>
      </rPr>
      <t>1/2 of Sr. Secondary are graduating.</t>
    </r>
  </si>
  <si>
    <r>
      <t>Current number of students receiving financial assistance</t>
    </r>
    <r>
      <rPr>
        <vertAlign val="superscript"/>
        <sz val="14"/>
        <rFont val="Arial"/>
        <family val="2"/>
      </rPr>
      <t>6</t>
    </r>
  </si>
  <si>
    <r>
      <t>6</t>
    </r>
    <r>
      <rPr>
        <sz val="14"/>
        <rFont val="Arial"/>
        <family val="2"/>
      </rPr>
      <t>Source:  Activity Plan</t>
    </r>
  </si>
  <si>
    <r>
      <t>Probability those receiving support being 'poor' or needing support to study</t>
    </r>
    <r>
      <rPr>
        <vertAlign val="superscript"/>
        <sz val="14"/>
        <rFont val="Arial"/>
        <family val="2"/>
      </rPr>
      <t>7</t>
    </r>
  </si>
  <si>
    <r>
      <t>7</t>
    </r>
    <r>
      <rPr>
        <sz val="14"/>
        <rFont val="Arial"/>
        <family val="2"/>
      </rPr>
      <t>Benefit incidence chart, p. 85 World Bank 2005</t>
    </r>
  </si>
  <si>
    <r>
      <t>Current enrollment tertiary</t>
    </r>
    <r>
      <rPr>
        <vertAlign val="superscript"/>
        <sz val="14"/>
        <rFont val="Arial"/>
        <family val="2"/>
      </rPr>
      <t>8</t>
    </r>
  </si>
  <si>
    <r>
      <t>8</t>
    </r>
    <r>
      <rPr>
        <sz val="14"/>
        <rFont val="Arial"/>
        <family val="2"/>
      </rPr>
      <t>World Bank 2005</t>
    </r>
  </si>
  <si>
    <r>
      <t>Student support at tertiary level (2002)</t>
    </r>
    <r>
      <rPr>
        <vertAlign val="superscript"/>
        <sz val="14"/>
        <rFont val="Arial"/>
        <family val="2"/>
      </rPr>
      <t>9</t>
    </r>
  </si>
  <si>
    <r>
      <t>Total tertiary financing by GRN (2002)</t>
    </r>
    <r>
      <rPr>
        <vertAlign val="superscript"/>
        <sz val="14"/>
        <rFont val="Arial"/>
        <family val="2"/>
      </rPr>
      <t>10</t>
    </r>
  </si>
  <si>
    <r>
      <t>Fraction of students current receiving public financing (2002)</t>
    </r>
    <r>
      <rPr>
        <vertAlign val="superscript"/>
        <sz val="14"/>
        <rFont val="Arial"/>
        <family val="2"/>
      </rPr>
      <t>11</t>
    </r>
  </si>
  <si>
    <r>
      <t>Fraction of students receiving private bursaries (2002)</t>
    </r>
    <r>
      <rPr>
        <vertAlign val="superscript"/>
        <sz val="14"/>
        <rFont val="Arial"/>
        <family val="2"/>
      </rPr>
      <t>12</t>
    </r>
  </si>
  <si>
    <r>
      <t>Fraction of students receiving no support (2002)</t>
    </r>
    <r>
      <rPr>
        <vertAlign val="superscript"/>
        <sz val="14"/>
        <rFont val="Arial"/>
        <family val="2"/>
      </rPr>
      <t>13</t>
    </r>
  </si>
  <si>
    <r>
      <t>Recurrent unit cost by level of education (2001)</t>
    </r>
    <r>
      <rPr>
        <vertAlign val="superscript"/>
        <sz val="14"/>
        <rFont val="Arial"/>
        <family val="2"/>
      </rPr>
      <t>14</t>
    </r>
  </si>
  <si>
    <r>
      <t>9-14</t>
    </r>
    <r>
      <rPr>
        <sz val="14"/>
        <rFont val="Arial"/>
        <family val="2"/>
      </rPr>
      <t xml:space="preserve"> World Bank 2005</t>
    </r>
  </si>
  <si>
    <t>UNAM: Costs &amp; Fees for Full-Time Students</t>
  </si>
  <si>
    <t>Average recurrent unit cost</t>
  </si>
  <si>
    <t>MILLENNIUM CHALLENGE CORPORATION</t>
  </si>
  <si>
    <t>Current Value of NSFAF Fund (estimated)</t>
  </si>
  <si>
    <t>Tertiary student 'financing' through Student Financial Assistance Scheme (SFAF) - Amount withdrawn from fund</t>
  </si>
  <si>
    <t>Number of students demanding Tertiary able to self/bank finance (Number grows at 2 percent per annum)</t>
  </si>
  <si>
    <t>Number of students financed through new loan program</t>
  </si>
  <si>
    <t>Tertiary student 'financing' through Student Financial Assistance Scheme (SFAF) (Amount withdrawn from fund)</t>
  </si>
  <si>
    <t>PROJECT NAME</t>
  </si>
  <si>
    <t>Education Project</t>
  </si>
  <si>
    <t>SPREADSHEET VERSION</t>
  </si>
  <si>
    <t>AMOUNT OF MCC FUNDS</t>
  </si>
  <si>
    <t>PROJECT DESCRIPTION</t>
  </si>
  <si>
    <t>BENEFIT STREAMS INCLUDED IN ERR</t>
  </si>
  <si>
    <t>ESTIMATED ERR AND TIMELINE</t>
  </si>
  <si>
    <t>WORKSHEETS IN THIS FILE</t>
  </si>
  <si>
    <t>Activity Description</t>
  </si>
  <si>
    <t>One should read this sheet first, as it offers a summary of the project, a list of components, and states the economic rationale for the project.</t>
  </si>
  <si>
    <t>ERR &amp; Sensitivity Analysis</t>
  </si>
  <si>
    <t>A brief summary of the project's key parameters and ERR calculations.</t>
  </si>
  <si>
    <t>ERR Calculation MCC</t>
  </si>
  <si>
    <t>List of assumptions and figures used in the calculations.</t>
  </si>
  <si>
    <r>
      <t xml:space="preserve">COSTS INCLUDED IN ERR </t>
    </r>
    <r>
      <rPr>
        <sz val="14"/>
        <rFont val="Arial"/>
        <family val="2"/>
      </rPr>
      <t>(OTHER THAN COSTS BOURNE BY MCC)</t>
    </r>
  </si>
  <si>
    <t>SUMMARY</t>
  </si>
  <si>
    <t>ECONOMIC RATIONALE</t>
  </si>
  <si>
    <t>ERR and Sensitivity analysis</t>
  </si>
  <si>
    <t>Last updated:  8/24/2007</t>
  </si>
  <si>
    <t>NOTES:</t>
  </si>
  <si>
    <t>All summary parameters set to initial values?</t>
  </si>
  <si>
    <t>Parameter type</t>
  </si>
  <si>
    <t>Description of Key Parameters</t>
  </si>
  <si>
    <t>Parameter Values</t>
  </si>
  <si>
    <t>User Input</t>
  </si>
  <si>
    <t>MCC Estimate</t>
  </si>
  <si>
    <t>Plausible range</t>
  </si>
  <si>
    <t>Values used in ERR computation</t>
  </si>
  <si>
    <t>Summary</t>
  </si>
  <si>
    <t>Actual costs as a percentage of estimated costs</t>
  </si>
  <si>
    <t>80% - 120%</t>
  </si>
  <si>
    <t>More Info</t>
  </si>
  <si>
    <t>Actual benefits as a percentage of estimated benefits</t>
  </si>
  <si>
    <t>User's Guide</t>
  </si>
  <si>
    <t>Specific</t>
  </si>
  <si>
    <t>MCC Estimated ERR:</t>
  </si>
  <si>
    <t xml:space="preserve"> </t>
  </si>
  <si>
    <r>
      <t>Amount of current NSFAF awards</t>
    </r>
    <r>
      <rPr>
        <b/>
        <vertAlign val="superscript"/>
        <sz val="14"/>
        <color indexed="12"/>
        <rFont val="Arial"/>
        <family val="2"/>
      </rPr>
      <t>2</t>
    </r>
  </si>
  <si>
    <t>8400 - 12600</t>
  </si>
  <si>
    <t>15% - 23%</t>
  </si>
  <si>
    <t>Namibia: Tertiary Education Finance Activity</t>
  </si>
  <si>
    <t>Percentage reduction in costs due to competition</t>
  </si>
  <si>
    <t>$2.1 million for expanding access to tertiary finance</t>
  </si>
  <si>
    <t>21.1% over 20 years</t>
  </si>
  <si>
    <t>Tertiary Education Finance Activity</t>
  </si>
  <si>
    <t>Change the "User Input" cells in the table below to see the effect on the compact's Economic Rate of Return (ERR) and net benefits (see chart below).  To reset all values to the default MCC estimates, click the "Reset Parameters" button.  Be sure to reset all summary parameters to their original values ("MCC Estimate" values) before changing specific parameters.</t>
  </si>
  <si>
    <t>A sustainable, better targeted student loan program will enable Namibia to maintain or increase the current number of tertiary (University, Polytechnic, and Vocational) students able to pay the private costs of tertiary education without any additional Government funding of the tertiary sector, with an anticipated additional 10,000 tertiary graduates projected over  20 years, and the number with financial need receiving student financing support will increase from 1,200 to 7,300.  Increased demand by students would in turn stimulate greater private provision of tertiary education, thereby increasing competition among providers and the efficiency of the sector.  Without this program, tertiary financing would be unsustainable, the GoN would likely need to reallocate within its current education budget and decrease resources devoted to basic education.  This would weaken efforts to improve both quality and access in under-served areas.</t>
  </si>
  <si>
    <t>Discounted returns over working lifetime</t>
  </si>
  <si>
    <t>Annual returns</t>
  </si>
  <si>
    <t>Average additional annual income earned from completing tertiary education (N$)</t>
  </si>
  <si>
    <t>40,000 - 48,000</t>
  </si>
  <si>
    <t>ERR Private Bank Loan Funding</t>
  </si>
  <si>
    <t>A worksheet that outlines the costs and benefits of bank loan funding.</t>
  </si>
  <si>
    <t>Key Assumptions and Parameters</t>
  </si>
  <si>
    <t>ERR GRN Funding</t>
  </si>
  <si>
    <t>A worksheet that outlines the costs and benefits of Government loan funding.</t>
  </si>
  <si>
    <t>Model of Loan Fund</t>
  </si>
  <si>
    <t>Public and private loan fund models</t>
  </si>
  <si>
    <r>
      <t>Economic rate of return (ERR)</t>
    </r>
    <r>
      <rPr>
        <b/>
        <sz val="14"/>
        <rFont val="Arial"/>
        <family val="2"/>
      </rPr>
      <t>:</t>
    </r>
  </si>
  <si>
    <t>Investment Memorandum</t>
  </si>
  <si>
    <t>† Complete distribution of ERR is not displayed, as the ERR does not exist for approximately 40% of the Monte Carlo repetitions.  The graph displayed is the distribution conditional on the existence of the ERR.</t>
  </si>
  <si>
    <r>
      <t>Given the non-poor bias of public tertiary funding in Namibia, a decreasing dependence of tertiary funding on government resources will enable a shift towards basic education that would be substantially "pro-poor".   In addition, by alleviating the high-level skills constraint in the Namibian economy, greater private investment and employment would likely result from an expansion of the tertiary sector.</t>
    </r>
    <r>
      <rPr>
        <vertAlign val="superscript"/>
        <sz val="14"/>
        <rFont val="Arial"/>
        <family val="2"/>
      </rPr>
      <t>1</t>
    </r>
  </si>
  <si>
    <r>
      <t>1</t>
    </r>
    <r>
      <rPr>
        <sz val="10"/>
        <rFont val="Arial"/>
        <family val="2"/>
      </rPr>
      <t>Greater private investment and employment is probable although it was not explicitly estimated in the ERR model.</t>
    </r>
  </si>
  <si>
    <t>($N)</t>
  </si>
  <si>
    <t>Increased number of graduates of tertiary and technical education</t>
  </si>
  <si>
    <t>All costs of obtaining advanced education</t>
  </si>
  <si>
    <t>Amount of current NSFAF awards</t>
  </si>
  <si>
    <t>LAST UPDATED:6/5/2008</t>
  </si>
  <si>
    <t>LAST UPDATED: 6/5/2008</t>
  </si>
  <si>
    <t>LAST UPDATED:76/5/2008</t>
  </si>
  <si>
    <t>The Tertiary Education Acticvity aims to improve the quality of the workforce in Namibia by enhancing the equity and effectiveness of polytechnic, vocational, and tertiary education and of technical skills.  MCC funding under this Activity will provide technical assistance to the Ministry of Education in support of its efforts to establish a sustainable and widely accessible tertiary and technical education finance system, including improved loan and recovery rates and targeting of financing subsidies to those in need.</t>
  </si>
  <si>
    <t>MCC funding under this activity will provide technical assistance to the Ministry of Education in support of its efforts to establish a sustainable and widely accessible tertiary and technical education finance system, including improved loan and recovery rates and targeting of financing subsidies to those in need.</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</si>
</sst>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0"/>
    <numFmt numFmtId="167" formatCode="&quot;Yes&quot;;&quot;Yes&quot;;&quot;No&quot;"/>
    <numFmt numFmtId="168" formatCode="&quot;True&quot;;&quot;True&quot;;&quot;False&quot;"/>
    <numFmt numFmtId="169" formatCode="&quot;On&quot;;&quot;On&quot;;&quot;Off&quot;"/>
    <numFmt numFmtId="170" formatCode="[$€-2]\ #,##0.00_);[Red]\([$€-2]\ #,##0.00\)"/>
    <numFmt numFmtId="171" formatCode="#,##0.000000"/>
    <numFmt numFmtId="172" formatCode="&quot;R&quot;\ #,##0;&quot;R&quot;\ \-#,##0"/>
    <numFmt numFmtId="173" formatCode="&quot;R&quot;\ #,##0;[Red]&quot;R&quot;\ \-#,##0"/>
    <numFmt numFmtId="174" formatCode="&quot;R&quot;\ #,##0.00;&quot;R&quot;\ \-#,##0.00"/>
    <numFmt numFmtId="175" formatCode="&quot;R&quot;\ #,##0.00;[Red]&quot;R&quot;\ \-#,##0.00"/>
    <numFmt numFmtId="176" formatCode="_ &quot;R&quot;\ * #,##0_ ;_ &quot;R&quot;\ * \-#,##0_ ;_ &quot;R&quot;\ * &quot;-&quot;_ ;_ @_ "/>
    <numFmt numFmtId="177" formatCode="_ * #,##0_ ;_ * \-#,##0_ ;_ * &quot;-&quot;_ ;_ @_ "/>
    <numFmt numFmtId="178" formatCode="_ &quot;R&quot;\ * #,##0.00_ ;_ &quot;R&quot;\ * \-#,##0.00_ ;_ &quot;R&quot;\ * &quot;-&quot;??_ ;_ @_ "/>
    <numFmt numFmtId="179" formatCode="_ * #,##0.00_ ;_ * \-#,##0.00_ ;_ * &quot;-&quot;??_ ;_ @_ "/>
    <numFmt numFmtId="180" formatCode="_(* #,##0_);_(* \(#,##0\);_(* &quot;-&quot;??_);_(@_)"/>
    <numFmt numFmtId="181" formatCode="_ * #,##0.0_ ;_ * \-#,##0.0_ ;_ * &quot;-&quot;??_ ;_ @_ "/>
    <numFmt numFmtId="182" formatCode="_ * #,##0_ ;_ * \-#,##0_ ;_ * &quot;-&quot;??_ ;_ @_ "/>
    <numFmt numFmtId="183" formatCode="_(* #,##0.0_);_(* \(#,##0.0\);_(* &quot;-&quot;??_);_(@_)"/>
    <numFmt numFmtId="184" formatCode="&quot;$&quot;#,##0.00"/>
    <numFmt numFmtId="185" formatCode="_-* #,##0_-;\-* #,##0_-;_-* &quot;-&quot;??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 #,##0_-;\-* #,##0_-;_-* &quot;-&quot;_-;_-@_-"/>
    <numFmt numFmtId="192" formatCode="_-&quot;£&quot;* #,##0.00_-;\-&quot;£&quot;* #,##0.00_-;_-&quot;£&quot;* &quot;-&quot;??_-;_-@_-"/>
    <numFmt numFmtId="193" formatCode="_-* #,##0.00_-;\-* #,##0.00_-;_-* &quot;-&quot;??_-;_-@_-"/>
    <numFmt numFmtId="194" formatCode="_-* #,##0.0_-;\-* #,##0.0_-;_-* &quot;-&quot;??_-;_-@_-"/>
    <numFmt numFmtId="195" formatCode="yyyy"/>
    <numFmt numFmtId="196" formatCode="\(\)"/>
    <numFmt numFmtId="197" formatCode="\(#\)"/>
    <numFmt numFmtId="198" formatCode="[$-809]dd\ mmmm\ yyyy"/>
    <numFmt numFmtId="199" formatCode="yyyy\-mm\-dd;@"/>
    <numFmt numFmtId="200" formatCode="_-* #,##0.0_-;\-* #,##0.0_-;_-* &quot;-&quot;?_-;_-@_-"/>
    <numFmt numFmtId="201" formatCode="0.0"/>
    <numFmt numFmtId="202" formatCode="&quot;$&quot;#,##0"/>
    <numFmt numFmtId="203" formatCode="0.00000"/>
    <numFmt numFmtId="204" formatCode="#,##0_ ;\-#,##0\ "/>
    <numFmt numFmtId="205" formatCode="0_ ;\-0\ "/>
    <numFmt numFmtId="206" formatCode="0.000"/>
    <numFmt numFmtId="207" formatCode="0.000000000"/>
    <numFmt numFmtId="208" formatCode="0.0000"/>
    <numFmt numFmtId="209" formatCode="[$-409]h:mm:ss\ AM/PM"/>
    <numFmt numFmtId="210" formatCode="#,##0.0000"/>
    <numFmt numFmtId="211" formatCode="0.000%"/>
    <numFmt numFmtId="212" formatCode="0.0000%"/>
    <numFmt numFmtId="213" formatCode="0.00000%"/>
  </numFmts>
  <fonts count="42">
    <font>
      <sz val="10"/>
      <name val="Arial"/>
      <family val="0"/>
    </font>
    <font>
      <sz val="8"/>
      <name val="Arial"/>
      <family val="0"/>
    </font>
    <font>
      <u val="single"/>
      <sz val="10"/>
      <color indexed="12"/>
      <name val="Arial"/>
      <family val="0"/>
    </font>
    <font>
      <u val="single"/>
      <sz val="10"/>
      <color indexed="36"/>
      <name val="Arial"/>
      <family val="0"/>
    </font>
    <font>
      <sz val="14"/>
      <name val="Arial"/>
      <family val="2"/>
    </font>
    <font>
      <b/>
      <sz val="14"/>
      <name val="Arial"/>
      <family val="2"/>
    </font>
    <font>
      <i/>
      <sz val="14"/>
      <name val="Arial"/>
      <family val="2"/>
    </font>
    <font>
      <vertAlign val="superscript"/>
      <sz val="14"/>
      <name val="Arial"/>
      <family val="2"/>
    </font>
    <font>
      <sz val="16"/>
      <name val="Arial"/>
      <family val="2"/>
    </font>
    <font>
      <b/>
      <sz val="16"/>
      <name val="Arial"/>
      <family val="2"/>
    </font>
    <font>
      <sz val="14"/>
      <name val="Times New Roman"/>
      <family val="1"/>
    </font>
    <font>
      <b/>
      <sz val="14"/>
      <name val="Times New Roman"/>
      <family val="1"/>
    </font>
    <font>
      <b/>
      <sz val="18"/>
      <name val="Arial"/>
      <family val="2"/>
    </font>
    <font>
      <b/>
      <i/>
      <sz val="14"/>
      <name val="Times New Roman"/>
      <family val="1"/>
    </font>
    <font>
      <b/>
      <i/>
      <sz val="14"/>
      <name val="Arial"/>
      <family val="0"/>
    </font>
    <font>
      <b/>
      <sz val="10"/>
      <name val="Arial"/>
      <family val="2"/>
    </font>
    <font>
      <sz val="10"/>
      <name val="Times New Roman"/>
      <family val="0"/>
    </font>
    <font>
      <sz val="18"/>
      <name val="Times New Roman"/>
      <family val="0"/>
    </font>
    <font>
      <sz val="8"/>
      <name val="Times New Roman"/>
      <family val="0"/>
    </font>
    <font>
      <i/>
      <sz val="12"/>
      <name val="Times New Roman"/>
      <family val="0"/>
    </font>
    <font>
      <sz val="12"/>
      <name val="Arial"/>
      <family val="0"/>
    </font>
    <font>
      <sz val="18"/>
      <name val="Arial"/>
      <family val="0"/>
    </font>
    <font>
      <i/>
      <sz val="12"/>
      <name val="Arial"/>
      <family val="0"/>
    </font>
    <font>
      <u val="single"/>
      <sz val="14"/>
      <color indexed="12"/>
      <name val="Arial"/>
      <family val="2"/>
    </font>
    <font>
      <vertAlign val="superscript"/>
      <sz val="10"/>
      <name val="Arial"/>
      <family val="2"/>
    </font>
    <font>
      <sz val="12"/>
      <name val="Times New Roman"/>
      <family val="1"/>
    </font>
    <font>
      <sz val="8"/>
      <color indexed="17"/>
      <name val="Arial"/>
      <family val="2"/>
    </font>
    <font>
      <sz val="10"/>
      <color indexed="23"/>
      <name val="Arial"/>
      <family val="2"/>
    </font>
    <font>
      <b/>
      <sz val="10"/>
      <color indexed="55"/>
      <name val="Arial"/>
      <family val="2"/>
    </font>
    <font>
      <b/>
      <sz val="10"/>
      <color indexed="9"/>
      <name val="Arial"/>
      <family val="2"/>
    </font>
    <font>
      <b/>
      <sz val="14"/>
      <color indexed="12"/>
      <name val="Arial"/>
      <family val="2"/>
    </font>
    <font>
      <b/>
      <sz val="14"/>
      <color indexed="10"/>
      <name val="Arial"/>
      <family val="2"/>
    </font>
    <font>
      <b/>
      <sz val="12"/>
      <name val="Arial"/>
      <family val="2"/>
    </font>
    <font>
      <u val="single"/>
      <sz val="12"/>
      <color indexed="12"/>
      <name val="Arial"/>
      <family val="2"/>
    </font>
    <font>
      <sz val="10"/>
      <color indexed="9"/>
      <name val="Arial"/>
      <family val="2"/>
    </font>
    <font>
      <b/>
      <sz val="16"/>
      <color indexed="10"/>
      <name val="Arial"/>
      <family val="2"/>
    </font>
    <font>
      <b/>
      <sz val="10"/>
      <color indexed="12"/>
      <name val="Arial"/>
      <family val="2"/>
    </font>
    <font>
      <b/>
      <sz val="13"/>
      <name val="Arial"/>
      <family val="2"/>
    </font>
    <font>
      <sz val="17.75"/>
      <name val="Arial"/>
      <family val="0"/>
    </font>
    <font>
      <sz val="11.25"/>
      <name val="Arial"/>
      <family val="2"/>
    </font>
    <font>
      <sz val="11"/>
      <name val="Arial"/>
      <family val="2"/>
    </font>
    <font>
      <b/>
      <vertAlign val="superscript"/>
      <sz val="14"/>
      <color indexed="12"/>
      <name val="Arial"/>
      <family val="2"/>
    </font>
  </fonts>
  <fills count="7">
    <fill>
      <patternFill/>
    </fill>
    <fill>
      <patternFill patternType="gray125"/>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15"/>
        <bgColor indexed="64"/>
      </patternFill>
    </fill>
  </fills>
  <borders count="62">
    <border>
      <left/>
      <right/>
      <top/>
      <bottom/>
      <diagonal/>
    </border>
    <border>
      <left>
        <color indexed="63"/>
      </left>
      <right>
        <color indexed="63"/>
      </right>
      <top>
        <color indexed="63"/>
      </top>
      <bottom style="thin"/>
    </border>
    <border>
      <left>
        <color indexed="63"/>
      </left>
      <right style="medium">
        <color indexed="8"/>
      </right>
      <top>
        <color indexed="63"/>
      </top>
      <bottom style="medium">
        <color indexed="8"/>
      </bottom>
    </border>
    <border>
      <left>
        <color indexed="63"/>
      </left>
      <right style="medium">
        <color indexed="8"/>
      </right>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dotted"/>
      <top>
        <color indexed="63"/>
      </top>
      <bottom>
        <color indexed="63"/>
      </bottom>
    </border>
    <border>
      <left style="thin"/>
      <right style="dotted"/>
      <top>
        <color indexed="63"/>
      </top>
      <bottom style="thin"/>
    </border>
    <border>
      <left style="dotted"/>
      <right style="dotted"/>
      <top style="thin"/>
      <bottom style="thin"/>
    </border>
    <border>
      <left style="dotted"/>
      <right style="thin"/>
      <top style="thin"/>
      <bottom style="thin"/>
    </border>
    <border>
      <left style="dotted"/>
      <right style="dotted"/>
      <top>
        <color indexed="63"/>
      </top>
      <bottom>
        <color indexed="63"/>
      </bottom>
    </border>
    <border>
      <left style="dotted"/>
      <right style="thin"/>
      <top>
        <color indexed="63"/>
      </top>
      <bottom>
        <color indexed="63"/>
      </bottom>
    </border>
    <border>
      <left style="dotted"/>
      <right style="dotted"/>
      <top>
        <color indexed="63"/>
      </top>
      <bottom style="thin"/>
    </border>
    <border>
      <left style="dotted"/>
      <right style="thin"/>
      <top style="thin"/>
      <bottom>
        <color indexed="63"/>
      </bottom>
    </border>
    <border>
      <left style="dotted"/>
      <right style="thin"/>
      <top>
        <color indexed="63"/>
      </top>
      <bottom style="thin"/>
    </border>
    <border>
      <left style="thin"/>
      <right style="dotted"/>
      <top style="thin"/>
      <bottom style="thin"/>
    </border>
    <border>
      <left>
        <color indexed="63"/>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medium">
        <color indexed="8"/>
      </left>
      <right style="medium">
        <color indexed="8"/>
      </right>
      <top>
        <color indexed="63"/>
      </top>
      <bottom>
        <color indexed="63"/>
      </bottom>
    </border>
    <border>
      <left style="thin"/>
      <right style="dotted"/>
      <top style="thin"/>
      <bottom>
        <color indexed="63"/>
      </bottom>
    </border>
    <border>
      <left style="dotted"/>
      <right style="dotted"/>
      <top style="thin"/>
      <bottom>
        <color indexed="63"/>
      </bottom>
    </border>
    <border>
      <left style="dotted"/>
      <right>
        <color indexed="63"/>
      </right>
      <top style="thin"/>
      <bottom>
        <color indexed="63"/>
      </bottom>
    </border>
    <border>
      <left style="dotted"/>
      <right>
        <color indexed="63"/>
      </right>
      <top>
        <color indexed="63"/>
      </top>
      <bottom>
        <color indexed="63"/>
      </bottom>
    </border>
    <border>
      <left style="dotted"/>
      <right>
        <color indexed="63"/>
      </right>
      <top>
        <color indexed="63"/>
      </top>
      <bottom style="thin"/>
    </border>
    <border>
      <left style="thin"/>
      <right>
        <color indexed="63"/>
      </right>
      <top>
        <color indexed="63"/>
      </top>
      <bottom style="thin"/>
    </border>
    <border>
      <left>
        <color indexed="63"/>
      </left>
      <right style="double"/>
      <top style="double"/>
      <bottom>
        <color indexed="63"/>
      </bottom>
    </border>
    <border>
      <left>
        <color indexed="63"/>
      </left>
      <right style="double"/>
      <top>
        <color indexed="63"/>
      </top>
      <bottom style="double"/>
    </border>
    <border>
      <left style="double"/>
      <right style="thin"/>
      <top>
        <color indexed="63"/>
      </top>
      <bottom>
        <color indexed="63"/>
      </bottom>
    </border>
    <border>
      <left>
        <color indexed="63"/>
      </left>
      <right style="double"/>
      <top>
        <color indexed="63"/>
      </top>
      <bottom>
        <color indexed="63"/>
      </bottom>
    </border>
    <border>
      <left style="double"/>
      <right style="thin"/>
      <top>
        <color indexed="63"/>
      </top>
      <bottom style="thin"/>
    </border>
    <border>
      <left>
        <color indexed="63"/>
      </left>
      <right style="double"/>
      <top>
        <color indexed="63"/>
      </top>
      <bottom style="thin"/>
    </border>
    <border>
      <left style="double"/>
      <right style="thin"/>
      <top style="thin"/>
      <bottom>
        <color indexed="63"/>
      </bottom>
    </border>
    <border>
      <left style="thin"/>
      <right style="double"/>
      <top style="thin"/>
      <bottom>
        <color indexed="63"/>
      </bottom>
    </border>
    <border>
      <left style="double"/>
      <right style="thin"/>
      <top style="thin"/>
      <bottom style="thin"/>
    </border>
    <border>
      <left style="thin"/>
      <right style="double"/>
      <top style="thin"/>
      <bottom style="thin"/>
    </border>
    <border>
      <left style="double"/>
      <right>
        <color indexed="63"/>
      </right>
      <top>
        <color indexed="63"/>
      </top>
      <bottom>
        <color indexed="63"/>
      </bottom>
    </border>
    <border>
      <left style="double"/>
      <right>
        <color indexed="63"/>
      </right>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style="thin">
        <color indexed="22"/>
      </left>
      <right style="thin">
        <color indexed="22"/>
      </right>
      <top style="thin">
        <color indexed="22"/>
      </top>
      <bottom style="thin">
        <color indexed="22"/>
      </bottom>
    </border>
    <border>
      <left>
        <color indexed="63"/>
      </left>
      <right style="thin">
        <color indexed="9"/>
      </right>
      <top style="thin">
        <color indexed="9"/>
      </top>
      <bottom style="thin">
        <color indexed="9"/>
      </bottom>
    </border>
    <border>
      <left style="thin"/>
      <right style="thin"/>
      <top style="thin"/>
      <bottom style="medium"/>
    </border>
    <border>
      <left style="thin"/>
      <right>
        <color indexed="63"/>
      </right>
      <top style="medium"/>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color indexed="63"/>
      </left>
      <right style="dotted"/>
      <top>
        <color indexed="63"/>
      </top>
      <bottom>
        <color indexed="63"/>
      </bottom>
    </border>
    <border>
      <left style="thin"/>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double"/>
      <right style="thin"/>
      <top style="double"/>
      <bottom>
        <color indexed="63"/>
      </bottom>
    </border>
    <border>
      <left style="double"/>
      <right style="thin"/>
      <top>
        <color indexed="63"/>
      </top>
      <bottom style="double"/>
    </border>
    <border>
      <left style="double"/>
      <right>
        <color indexed="63"/>
      </right>
      <top style="thin"/>
      <bottom style="medium"/>
    </border>
    <border>
      <left>
        <color indexed="63"/>
      </left>
      <right style="double"/>
      <top style="thin"/>
      <bottom style="medium"/>
    </border>
    <border>
      <left style="thin"/>
      <right style="thin"/>
      <top>
        <color indexed="63"/>
      </top>
      <bottom style="medium"/>
    </border>
    <border>
      <left>
        <color indexed="63"/>
      </left>
      <right>
        <color indexed="63"/>
      </right>
      <top>
        <color indexed="63"/>
      </top>
      <bottom style="double"/>
    </border>
    <border>
      <left>
        <color indexed="63"/>
      </left>
      <right style="dotted"/>
      <top style="thin"/>
      <bottom style="thin"/>
    </border>
    <border>
      <left>
        <color indexed="63"/>
      </left>
      <right>
        <color indexed="63"/>
      </right>
      <top>
        <color indexed="63"/>
      </top>
      <bottom style="medium">
        <color indexed="8"/>
      </bottom>
    </border>
    <border>
      <left style="medium">
        <color indexed="8"/>
      </left>
      <right style="medium">
        <color indexed="8"/>
      </right>
      <top style="medium">
        <color indexed="8"/>
      </top>
      <bottom>
        <color indexed="63"/>
      </bottom>
    </border>
  </borders>
  <cellStyleXfs count="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2" borderId="0" applyNumberFormat="0" applyBorder="0" applyAlignment="0">
      <protection locked="0"/>
    </xf>
    <xf numFmtId="1" fontId="17" fillId="0" borderId="0" applyProtection="0">
      <alignment/>
    </xf>
    <xf numFmtId="1" fontId="18" fillId="0" borderId="0" applyProtection="0">
      <alignment/>
    </xf>
    <xf numFmtId="1" fontId="19" fillId="0" borderId="0" applyProtection="0">
      <alignment/>
    </xf>
    <xf numFmtId="1" fontId="20" fillId="0" borderId="0" applyProtection="0">
      <alignment/>
    </xf>
    <xf numFmtId="1" fontId="21" fillId="0" borderId="0" applyProtection="0">
      <alignment/>
    </xf>
    <xf numFmtId="1" fontId="1" fillId="0" borderId="0" applyProtection="0">
      <alignment/>
    </xf>
    <xf numFmtId="1" fontId="22" fillId="0" borderId="0" applyProtection="0">
      <alignment/>
    </xf>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5" fillId="0" borderId="0">
      <alignment vertical="top"/>
      <protection/>
    </xf>
    <xf numFmtId="0" fontId="0" fillId="0" borderId="0" applyFont="0" applyFill="0" applyBorder="0" applyAlignment="0" applyProtection="0"/>
    <xf numFmtId="9" fontId="0" fillId="0" borderId="0" applyFont="0" applyFill="0" applyBorder="0" applyAlignment="0" applyProtection="0"/>
  </cellStyleXfs>
  <cellXfs count="290">
    <xf numFmtId="0" fontId="0" fillId="0" borderId="0" xfId="0" applyAlignment="1">
      <alignment/>
    </xf>
    <xf numFmtId="0" fontId="4" fillId="0" borderId="0" xfId="0" applyFont="1" applyAlignment="1">
      <alignment/>
    </xf>
    <xf numFmtId="3" fontId="4" fillId="0" borderId="0" xfId="0" applyNumberFormat="1" applyFont="1" applyAlignment="1">
      <alignment/>
    </xf>
    <xf numFmtId="0" fontId="4" fillId="0" borderId="0" xfId="0" applyFont="1" applyBorder="1" applyAlignment="1">
      <alignment/>
    </xf>
    <xf numFmtId="4" fontId="4" fillId="0" borderId="0" xfId="0" applyNumberFormat="1" applyFont="1" applyBorder="1" applyAlignment="1">
      <alignment/>
    </xf>
    <xf numFmtId="0" fontId="4" fillId="0" borderId="1" xfId="0" applyFont="1" applyBorder="1" applyAlignment="1">
      <alignment/>
    </xf>
    <xf numFmtId="4" fontId="4" fillId="0" borderId="2" xfId="0" applyNumberFormat="1" applyFont="1" applyBorder="1" applyAlignment="1">
      <alignment horizontal="right" vertical="top" wrapText="1"/>
    </xf>
    <xf numFmtId="4" fontId="4" fillId="0" borderId="3" xfId="0" applyNumberFormat="1" applyFont="1" applyBorder="1" applyAlignment="1">
      <alignment horizontal="right" vertical="top" wrapText="1"/>
    </xf>
    <xf numFmtId="4" fontId="4" fillId="0" borderId="4" xfId="0" applyNumberFormat="1" applyFont="1" applyBorder="1" applyAlignment="1">
      <alignment horizontal="left" vertical="top" wrapText="1"/>
    </xf>
    <xf numFmtId="0" fontId="4" fillId="0" borderId="4" xfId="0" applyFont="1" applyBorder="1" applyAlignment="1">
      <alignment/>
    </xf>
    <xf numFmtId="4" fontId="5" fillId="0" borderId="2" xfId="0" applyNumberFormat="1" applyFont="1" applyBorder="1" applyAlignment="1">
      <alignment horizontal="right" vertical="top" wrapText="1"/>
    </xf>
    <xf numFmtId="0" fontId="4" fillId="0" borderId="0" xfId="0" applyFont="1" applyAlignment="1">
      <alignment wrapText="1"/>
    </xf>
    <xf numFmtId="0" fontId="4" fillId="0" borderId="5" xfId="0" applyFont="1" applyBorder="1" applyAlignment="1">
      <alignment wrapText="1"/>
    </xf>
    <xf numFmtId="0" fontId="4" fillId="0" borderId="4" xfId="0" applyFont="1" applyBorder="1" applyAlignment="1">
      <alignment wrapText="1"/>
    </xf>
    <xf numFmtId="4" fontId="4" fillId="0" borderId="0" xfId="0" applyNumberFormat="1" applyFont="1" applyBorder="1" applyAlignment="1">
      <alignment wrapText="1"/>
    </xf>
    <xf numFmtId="0" fontId="4" fillId="0" borderId="6" xfId="0" applyFont="1" applyBorder="1" applyAlignment="1">
      <alignment wrapText="1"/>
    </xf>
    <xf numFmtId="0" fontId="4" fillId="0" borderId="7" xfId="0" applyFont="1" applyBorder="1" applyAlignment="1">
      <alignment wrapText="1"/>
    </xf>
    <xf numFmtId="0" fontId="5" fillId="0" borderId="8" xfId="0" applyFont="1" applyBorder="1" applyAlignment="1">
      <alignment horizontal="center" wrapText="1"/>
    </xf>
    <xf numFmtId="0" fontId="5" fillId="0" borderId="8" xfId="0" applyFont="1" applyBorder="1" applyAlignment="1">
      <alignment horizontal="center"/>
    </xf>
    <xf numFmtId="0" fontId="5" fillId="0" borderId="9" xfId="0" applyFont="1" applyBorder="1" applyAlignment="1">
      <alignment horizontal="center"/>
    </xf>
    <xf numFmtId="4" fontId="4" fillId="0" borderId="10" xfId="0" applyNumberFormat="1" applyFont="1" applyBorder="1" applyAlignment="1">
      <alignment wrapText="1"/>
    </xf>
    <xf numFmtId="165" fontId="4" fillId="0" borderId="10" xfId="0" applyNumberFormat="1" applyFont="1" applyBorder="1" applyAlignment="1">
      <alignment/>
    </xf>
    <xf numFmtId="0" fontId="4" fillId="0" borderId="11" xfId="0" applyFont="1" applyBorder="1" applyAlignment="1">
      <alignment/>
    </xf>
    <xf numFmtId="4" fontId="4" fillId="0" borderId="10" xfId="0" applyNumberFormat="1" applyFont="1" applyBorder="1" applyAlignment="1">
      <alignment/>
    </xf>
    <xf numFmtId="4" fontId="4" fillId="0" borderId="11" xfId="0" applyNumberFormat="1" applyFont="1" applyBorder="1" applyAlignment="1">
      <alignment/>
    </xf>
    <xf numFmtId="164" fontId="4" fillId="0" borderId="10" xfId="0" applyNumberFormat="1" applyFont="1" applyBorder="1" applyAlignment="1">
      <alignment/>
    </xf>
    <xf numFmtId="8" fontId="4" fillId="0" borderId="12" xfId="0" applyNumberFormat="1" applyFont="1" applyBorder="1" applyAlignment="1">
      <alignment/>
    </xf>
    <xf numFmtId="4" fontId="4" fillId="0" borderId="12" xfId="0" applyNumberFormat="1" applyFont="1" applyBorder="1" applyAlignment="1">
      <alignment wrapText="1"/>
    </xf>
    <xf numFmtId="4" fontId="4" fillId="0" borderId="12" xfId="0" applyNumberFormat="1" applyFont="1" applyBorder="1" applyAlignment="1">
      <alignment/>
    </xf>
    <xf numFmtId="165" fontId="4" fillId="0" borderId="10" xfId="0" applyNumberFormat="1" applyFont="1" applyBorder="1" applyAlignment="1">
      <alignment wrapText="1"/>
    </xf>
    <xf numFmtId="8" fontId="4" fillId="0" borderId="13" xfId="0" applyNumberFormat="1" applyFont="1" applyBorder="1" applyAlignment="1">
      <alignment/>
    </xf>
    <xf numFmtId="4" fontId="4" fillId="0" borderId="14" xfId="0" applyNumberFormat="1"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xf>
    <xf numFmtId="0" fontId="4" fillId="0" borderId="15" xfId="0" applyFont="1" applyBorder="1" applyAlignment="1">
      <alignment wrapText="1"/>
    </xf>
    <xf numFmtId="0" fontId="4" fillId="0" borderId="1" xfId="0" applyFont="1" applyBorder="1" applyAlignment="1">
      <alignment horizontal="center" vertical="center"/>
    </xf>
    <xf numFmtId="8" fontId="4" fillId="0" borderId="8" xfId="0" applyNumberFormat="1" applyFont="1" applyBorder="1" applyAlignment="1">
      <alignment/>
    </xf>
    <xf numFmtId="0" fontId="4" fillId="0" borderId="12" xfId="0" applyFont="1" applyBorder="1" applyAlignment="1">
      <alignment wrapText="1"/>
    </xf>
    <xf numFmtId="0" fontId="4" fillId="0" borderId="12" xfId="0" applyFont="1" applyBorder="1" applyAlignment="1">
      <alignment/>
    </xf>
    <xf numFmtId="8" fontId="4" fillId="0" borderId="11" xfId="0" applyNumberFormat="1" applyFont="1" applyBorder="1" applyAlignment="1">
      <alignment/>
    </xf>
    <xf numFmtId="38" fontId="4" fillId="0" borderId="11" xfId="0" applyNumberFormat="1" applyFont="1" applyBorder="1" applyAlignment="1">
      <alignment/>
    </xf>
    <xf numFmtId="9" fontId="4" fillId="0" borderId="11" xfId="0" applyNumberFormat="1" applyFont="1" applyBorder="1" applyAlignment="1">
      <alignment/>
    </xf>
    <xf numFmtId="164" fontId="4" fillId="0" borderId="11" xfId="0" applyNumberFormat="1" applyFont="1" applyBorder="1" applyAlignment="1">
      <alignment/>
    </xf>
    <xf numFmtId="3" fontId="4" fillId="0" borderId="11" xfId="0" applyNumberFormat="1" applyFont="1" applyBorder="1" applyAlignment="1">
      <alignment/>
    </xf>
    <xf numFmtId="0" fontId="5" fillId="0" borderId="16" xfId="0" applyFont="1" applyBorder="1" applyAlignment="1">
      <alignment horizontal="center" vertical="top" wrapText="1"/>
    </xf>
    <xf numFmtId="0" fontId="5" fillId="0" borderId="2" xfId="0" applyFont="1" applyBorder="1" applyAlignment="1">
      <alignment horizontal="center"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5" fillId="0" borderId="17" xfId="0" applyFont="1" applyBorder="1" applyAlignment="1">
      <alignment horizontal="left" vertical="top" wrapText="1"/>
    </xf>
    <xf numFmtId="0" fontId="0" fillId="0" borderId="0" xfId="32" applyFont="1" applyAlignment="1">
      <alignment vertical="center" wrapText="1"/>
    </xf>
    <xf numFmtId="0" fontId="4" fillId="0" borderId="0" xfId="0" applyFont="1" applyFill="1" applyAlignment="1">
      <alignment/>
    </xf>
    <xf numFmtId="0" fontId="10" fillId="0" borderId="0" xfId="0" applyFont="1" applyFill="1" applyAlignment="1">
      <alignment/>
    </xf>
    <xf numFmtId="0" fontId="4" fillId="0" borderId="0" xfId="0" applyFont="1" applyFill="1" applyAlignment="1">
      <alignment horizontal="left" wrapText="1"/>
    </xf>
    <xf numFmtId="0" fontId="10" fillId="0" borderId="0" xfId="0" applyFont="1" applyFill="1" applyAlignment="1">
      <alignment horizontal="left" wrapText="1"/>
    </xf>
    <xf numFmtId="0" fontId="10" fillId="0" borderId="0" xfId="0" applyFont="1" applyFill="1" applyAlignment="1">
      <alignment horizontal="right"/>
    </xf>
    <xf numFmtId="0" fontId="4" fillId="0" borderId="0" xfId="0" applyFont="1" applyFill="1" applyAlignment="1">
      <alignment horizontal="right"/>
    </xf>
    <xf numFmtId="0" fontId="0" fillId="0" borderId="0" xfId="0" applyAlignment="1">
      <alignment wrapText="1"/>
    </xf>
    <xf numFmtId="0" fontId="4" fillId="0" borderId="0" xfId="0" applyFont="1" applyAlignment="1">
      <alignment wrapText="1"/>
    </xf>
    <xf numFmtId="0" fontId="4" fillId="0" borderId="0" xfId="0" applyFont="1" applyAlignment="1">
      <alignment/>
    </xf>
    <xf numFmtId="0" fontId="13" fillId="0" borderId="19" xfId="0" applyFont="1" applyBorder="1" applyAlignment="1">
      <alignment horizontal="left" wrapText="1"/>
    </xf>
    <xf numFmtId="3" fontId="13" fillId="0" borderId="20" xfId="0" applyNumberFormat="1" applyFont="1" applyBorder="1" applyAlignment="1">
      <alignment horizontal="left"/>
    </xf>
    <xf numFmtId="3" fontId="11" fillId="0" borderId="20" xfId="0" applyNumberFormat="1" applyFont="1" applyBorder="1" applyAlignment="1">
      <alignment horizontal="center"/>
    </xf>
    <xf numFmtId="3" fontId="10" fillId="0" borderId="20" xfId="0" applyNumberFormat="1" applyFont="1" applyBorder="1" applyAlignment="1">
      <alignment/>
    </xf>
    <xf numFmtId="3" fontId="10" fillId="0" borderId="21" xfId="0" applyNumberFormat="1" applyFont="1" applyBorder="1" applyAlignment="1">
      <alignment/>
    </xf>
    <xf numFmtId="0" fontId="4" fillId="0" borderId="13" xfId="0" applyFont="1" applyBorder="1" applyAlignment="1">
      <alignment/>
    </xf>
    <xf numFmtId="3" fontId="10" fillId="0" borderId="0" xfId="0" applyNumberFormat="1" applyFont="1" applyAlignment="1">
      <alignment/>
    </xf>
    <xf numFmtId="3" fontId="4" fillId="0" borderId="0" xfId="0" applyNumberFormat="1" applyFont="1" applyAlignment="1">
      <alignment/>
    </xf>
    <xf numFmtId="0" fontId="10" fillId="0" borderId="6" xfId="0" applyFont="1" applyBorder="1" applyAlignment="1">
      <alignment/>
    </xf>
    <xf numFmtId="3" fontId="10" fillId="0" borderId="10" xfId="0" applyNumberFormat="1" applyFont="1" applyBorder="1" applyAlignment="1">
      <alignment/>
    </xf>
    <xf numFmtId="3" fontId="10" fillId="0" borderId="22" xfId="0" applyNumberFormat="1" applyFont="1" applyBorder="1" applyAlignment="1">
      <alignment/>
    </xf>
    <xf numFmtId="3" fontId="10" fillId="0" borderId="11" xfId="0" applyNumberFormat="1" applyFont="1" applyBorder="1" applyAlignment="1">
      <alignment/>
    </xf>
    <xf numFmtId="0" fontId="10" fillId="0" borderId="6" xfId="0" applyFont="1" applyBorder="1" applyAlignment="1">
      <alignment wrapText="1"/>
    </xf>
    <xf numFmtId="0" fontId="10" fillId="0" borderId="10" xfId="0" applyFont="1" applyBorder="1" applyAlignment="1">
      <alignment/>
    </xf>
    <xf numFmtId="0" fontId="10" fillId="0" borderId="22" xfId="0" applyFont="1" applyBorder="1" applyAlignment="1">
      <alignment/>
    </xf>
    <xf numFmtId="0" fontId="10" fillId="0" borderId="11" xfId="0" applyFont="1" applyBorder="1" applyAlignment="1">
      <alignment/>
    </xf>
    <xf numFmtId="0" fontId="4" fillId="0" borderId="10" xfId="0" applyFont="1" applyBorder="1" applyAlignment="1">
      <alignment/>
    </xf>
    <xf numFmtId="0" fontId="4" fillId="0" borderId="22" xfId="0" applyFont="1" applyBorder="1" applyAlignment="1">
      <alignment/>
    </xf>
    <xf numFmtId="0" fontId="4" fillId="0" borderId="11" xfId="0" applyFont="1" applyBorder="1" applyAlignment="1">
      <alignment/>
    </xf>
    <xf numFmtId="0" fontId="13" fillId="0" borderId="6" xfId="0" applyFont="1" applyBorder="1" applyAlignment="1">
      <alignment wrapText="1"/>
    </xf>
    <xf numFmtId="0" fontId="14" fillId="0" borderId="10" xfId="0" applyFont="1" applyBorder="1" applyAlignment="1">
      <alignment/>
    </xf>
    <xf numFmtId="0" fontId="10" fillId="0" borderId="7" xfId="0" applyFont="1" applyBorder="1" applyAlignment="1">
      <alignment/>
    </xf>
    <xf numFmtId="3" fontId="10" fillId="0" borderId="12" xfId="0" applyNumberFormat="1" applyFont="1" applyBorder="1" applyAlignment="1">
      <alignment/>
    </xf>
    <xf numFmtId="3" fontId="10" fillId="0" borderId="23" xfId="0" applyNumberFormat="1" applyFont="1" applyBorder="1" applyAlignment="1">
      <alignment/>
    </xf>
    <xf numFmtId="3" fontId="10" fillId="0" borderId="14" xfId="0" applyNumberFormat="1" applyFont="1" applyBorder="1" applyAlignment="1">
      <alignment/>
    </xf>
    <xf numFmtId="0" fontId="0" fillId="0" borderId="0" xfId="0" applyFill="1" applyAlignment="1">
      <alignment/>
    </xf>
    <xf numFmtId="0" fontId="0" fillId="0" borderId="0" xfId="0" applyFont="1" applyFill="1" applyAlignment="1">
      <alignment/>
    </xf>
    <xf numFmtId="0" fontId="5" fillId="0" borderId="15" xfId="0" applyFont="1" applyFill="1" applyBorder="1" applyAlignment="1">
      <alignment horizontal="left" wrapText="1"/>
    </xf>
    <xf numFmtId="0" fontId="5" fillId="0" borderId="8" xfId="0" applyFont="1" applyFill="1" applyBorder="1" applyAlignment="1">
      <alignment horizontal="center"/>
    </xf>
    <xf numFmtId="0" fontId="5" fillId="0" borderId="8" xfId="0" applyFont="1" applyFill="1" applyBorder="1" applyAlignment="1">
      <alignment horizontal="left" wrapText="1"/>
    </xf>
    <xf numFmtId="0" fontId="5" fillId="0" borderId="8" xfId="0" applyFont="1" applyFill="1" applyBorder="1" applyAlignment="1">
      <alignment horizontal="right"/>
    </xf>
    <xf numFmtId="0" fontId="5" fillId="0" borderId="9" xfId="0" applyFont="1" applyFill="1" applyBorder="1" applyAlignment="1">
      <alignment horizontal="center"/>
    </xf>
    <xf numFmtId="0" fontId="15" fillId="0" borderId="0" xfId="0" applyFont="1" applyFill="1" applyAlignment="1">
      <alignment horizontal="center"/>
    </xf>
    <xf numFmtId="0" fontId="4" fillId="0" borderId="19" xfId="0" applyFont="1" applyFill="1" applyBorder="1" applyAlignment="1">
      <alignment/>
    </xf>
    <xf numFmtId="0" fontId="4" fillId="0" borderId="20" xfId="0" applyFont="1" applyFill="1" applyBorder="1" applyAlignment="1">
      <alignment/>
    </xf>
    <xf numFmtId="0" fontId="4" fillId="0" borderId="20" xfId="0" applyFont="1" applyFill="1" applyBorder="1" applyAlignment="1">
      <alignment horizontal="right"/>
    </xf>
    <xf numFmtId="0" fontId="5" fillId="0" borderId="20" xfId="0" applyFont="1" applyFill="1" applyBorder="1" applyAlignment="1">
      <alignment horizontal="right" wrapText="1"/>
    </xf>
    <xf numFmtId="0" fontId="4" fillId="0" borderId="6" xfId="0" applyFont="1" applyFill="1" applyBorder="1" applyAlignment="1">
      <alignment wrapText="1"/>
    </xf>
    <xf numFmtId="2" fontId="4" fillId="0" borderId="10" xfId="0" applyNumberFormat="1" applyFont="1" applyFill="1" applyBorder="1" applyAlignment="1">
      <alignment horizontal="center" wrapText="1"/>
    </xf>
    <xf numFmtId="3" fontId="4" fillId="0" borderId="10" xfId="0" applyNumberFormat="1" applyFont="1" applyFill="1" applyBorder="1" applyAlignment="1">
      <alignment horizontal="right"/>
    </xf>
    <xf numFmtId="0" fontId="4" fillId="0" borderId="10" xfId="0" applyFont="1" applyFill="1" applyBorder="1" applyAlignment="1">
      <alignment horizontal="right" wrapText="1"/>
    </xf>
    <xf numFmtId="8" fontId="4" fillId="0" borderId="10" xfId="0" applyNumberFormat="1" applyFont="1" applyFill="1" applyBorder="1" applyAlignment="1">
      <alignment horizontal="right"/>
    </xf>
    <xf numFmtId="2" fontId="4" fillId="0" borderId="10" xfId="0" applyNumberFormat="1" applyFont="1" applyFill="1" applyBorder="1" applyAlignment="1">
      <alignment horizontal="right" wrapText="1"/>
    </xf>
    <xf numFmtId="3" fontId="4" fillId="0" borderId="11" xfId="0" applyNumberFormat="1" applyFont="1" applyFill="1" applyBorder="1" applyAlignment="1">
      <alignment horizontal="right"/>
    </xf>
    <xf numFmtId="0" fontId="4" fillId="0" borderId="6" xfId="0" applyFont="1" applyFill="1" applyBorder="1" applyAlignment="1">
      <alignment horizontal="left" wrapText="1"/>
    </xf>
    <xf numFmtId="3" fontId="4" fillId="0" borderId="10" xfId="0" applyNumberFormat="1" applyFont="1" applyFill="1" applyBorder="1" applyAlignment="1">
      <alignment/>
    </xf>
    <xf numFmtId="0" fontId="4" fillId="0" borderId="10" xfId="0" applyFont="1" applyFill="1" applyBorder="1" applyAlignment="1">
      <alignment horizontal="right"/>
    </xf>
    <xf numFmtId="0" fontId="4" fillId="0" borderId="10" xfId="0" applyFont="1" applyFill="1" applyBorder="1" applyAlignment="1">
      <alignment/>
    </xf>
    <xf numFmtId="0" fontId="5" fillId="0" borderId="10" xfId="0" applyFont="1" applyFill="1" applyBorder="1" applyAlignment="1">
      <alignment horizontal="right" wrapText="1"/>
    </xf>
    <xf numFmtId="0" fontId="4" fillId="0" borderId="6" xfId="0" applyFont="1" applyFill="1" applyBorder="1" applyAlignment="1">
      <alignment horizontal="left"/>
    </xf>
    <xf numFmtId="0" fontId="4" fillId="0" borderId="11" xfId="0" applyFont="1" applyFill="1" applyBorder="1" applyAlignment="1">
      <alignment horizontal="right"/>
    </xf>
    <xf numFmtId="0" fontId="4" fillId="0" borderId="10" xfId="0" applyFont="1" applyFill="1" applyBorder="1" applyAlignment="1">
      <alignment horizontal="center"/>
    </xf>
    <xf numFmtId="3" fontId="0" fillId="0" borderId="0" xfId="0" applyNumberFormat="1" applyFont="1" applyFill="1" applyAlignment="1">
      <alignment/>
    </xf>
    <xf numFmtId="9" fontId="4" fillId="0" borderId="10" xfId="0" applyNumberFormat="1" applyFont="1" applyFill="1" applyBorder="1" applyAlignment="1">
      <alignment horizontal="right"/>
    </xf>
    <xf numFmtId="0" fontId="4" fillId="0" borderId="12" xfId="0" applyFont="1" applyFill="1" applyBorder="1" applyAlignment="1">
      <alignment horizontal="right"/>
    </xf>
    <xf numFmtId="0" fontId="4" fillId="0" borderId="14" xfId="0" applyFont="1" applyFill="1" applyBorder="1" applyAlignment="1">
      <alignment horizontal="right"/>
    </xf>
    <xf numFmtId="0" fontId="12" fillId="0" borderId="0" xfId="32" applyFont="1" applyFill="1" applyAlignment="1">
      <alignment vertical="center" wrapText="1"/>
    </xf>
    <xf numFmtId="0" fontId="4" fillId="0" borderId="0" xfId="32" applyFont="1" applyFill="1" applyAlignment="1">
      <alignment vertical="center" wrapText="1"/>
    </xf>
    <xf numFmtId="0" fontId="4" fillId="0" borderId="24" xfId="0" applyFont="1" applyFill="1" applyBorder="1" applyAlignment="1">
      <alignment horizontal="right" wrapText="1"/>
    </xf>
    <xf numFmtId="164" fontId="4" fillId="3" borderId="4" xfId="0" applyNumberFormat="1" applyFont="1" applyFill="1" applyBorder="1" applyAlignment="1">
      <alignment/>
    </xf>
    <xf numFmtId="0" fontId="5" fillId="0" borderId="25" xfId="32" applyFont="1" applyBorder="1" applyAlignment="1">
      <alignment horizontal="left" vertical="center" wrapText="1"/>
    </xf>
    <xf numFmtId="0" fontId="4" fillId="0" borderId="26" xfId="32" applyFont="1" applyBorder="1" applyAlignment="1">
      <alignment horizontal="left" vertical="center" wrapText="1"/>
    </xf>
    <xf numFmtId="0" fontId="5" fillId="0" borderId="27" xfId="32" applyFont="1" applyBorder="1" applyAlignment="1">
      <alignment horizontal="left" vertical="center" wrapText="1"/>
    </xf>
    <xf numFmtId="0" fontId="4" fillId="0" borderId="28" xfId="32" applyFont="1" applyFill="1" applyBorder="1" applyAlignment="1">
      <alignment horizontal="left" vertical="center" wrapText="1"/>
    </xf>
    <xf numFmtId="0" fontId="5" fillId="0" borderId="29" xfId="32" applyFont="1" applyBorder="1" applyAlignment="1">
      <alignment horizontal="left" vertical="center" wrapText="1"/>
    </xf>
    <xf numFmtId="0" fontId="4" fillId="0" borderId="30" xfId="32" applyFont="1" applyBorder="1" applyAlignment="1">
      <alignment horizontal="left" vertical="center" wrapText="1"/>
    </xf>
    <xf numFmtId="0" fontId="4" fillId="0" borderId="28" xfId="32" applyFont="1" applyBorder="1" applyAlignment="1">
      <alignment horizontal="left" vertical="center" wrapText="1"/>
    </xf>
    <xf numFmtId="0" fontId="5" fillId="0" borderId="31" xfId="32" applyFont="1" applyBorder="1" applyAlignment="1">
      <alignment vertical="center" wrapText="1"/>
    </xf>
    <xf numFmtId="0" fontId="4" fillId="0" borderId="32" xfId="32" applyFont="1" applyBorder="1" applyAlignment="1">
      <alignment horizontal="left" vertical="center" wrapText="1"/>
    </xf>
    <xf numFmtId="0" fontId="5" fillId="0" borderId="33" xfId="32" applyFont="1" applyBorder="1" applyAlignment="1">
      <alignment horizontal="left" vertical="center" wrapText="1"/>
    </xf>
    <xf numFmtId="0" fontId="4" fillId="0" borderId="34" xfId="32" applyFont="1" applyFill="1" applyBorder="1" applyAlignment="1">
      <alignment horizontal="left" vertical="center" wrapText="1"/>
    </xf>
    <xf numFmtId="0" fontId="20" fillId="0" borderId="35" xfId="32" applyFont="1" applyBorder="1" applyAlignment="1">
      <alignment horizontal="left" vertical="center" wrapText="1"/>
    </xf>
    <xf numFmtId="0" fontId="20" fillId="0" borderId="28" xfId="32" applyFont="1" applyBorder="1" applyAlignment="1">
      <alignment horizontal="left" vertical="center" wrapText="1"/>
    </xf>
    <xf numFmtId="0" fontId="0" fillId="0" borderId="35" xfId="32" applyFont="1" applyBorder="1" applyAlignment="1">
      <alignment vertical="center" wrapText="1"/>
    </xf>
    <xf numFmtId="0" fontId="0" fillId="0" borderId="28" xfId="32" applyFont="1" applyBorder="1" applyAlignment="1">
      <alignment vertical="center" wrapText="1"/>
    </xf>
    <xf numFmtId="0" fontId="0" fillId="0" borderId="36" xfId="32" applyFont="1" applyBorder="1" applyAlignment="1">
      <alignment vertical="center" wrapText="1"/>
    </xf>
    <xf numFmtId="0" fontId="0" fillId="0" borderId="26" xfId="32" applyFont="1" applyBorder="1" applyAlignment="1">
      <alignment vertical="center" wrapText="1"/>
    </xf>
    <xf numFmtId="0" fontId="0" fillId="0" borderId="0" xfId="32" applyFont="1" applyBorder="1" applyAlignment="1">
      <alignment vertical="center" wrapText="1"/>
    </xf>
    <xf numFmtId="0" fontId="4" fillId="0" borderId="0" xfId="32" applyFont="1" applyBorder="1" applyAlignment="1">
      <alignment horizontal="left" vertical="center" wrapText="1"/>
    </xf>
    <xf numFmtId="49" fontId="4" fillId="0" borderId="0" xfId="32" applyNumberFormat="1" applyFont="1" applyAlignment="1">
      <alignment horizontal="right" vertical="top" wrapText="1"/>
    </xf>
    <xf numFmtId="0" fontId="4" fillId="0" borderId="0" xfId="32" applyFont="1" applyAlignment="1">
      <alignment vertical="center" wrapText="1" readingOrder="1"/>
    </xf>
    <xf numFmtId="0" fontId="25" fillId="0" borderId="0" xfId="0" applyFont="1" applyAlignment="1">
      <alignment wrapText="1"/>
    </xf>
    <xf numFmtId="0" fontId="0" fillId="0" borderId="0" xfId="32" applyFont="1" applyAlignment="1">
      <alignment vertical="center"/>
    </xf>
    <xf numFmtId="0" fontId="0" fillId="0" borderId="0" xfId="32" applyFont="1" applyAlignment="1">
      <alignment horizontal="center" vertical="center"/>
    </xf>
    <xf numFmtId="0" fontId="26" fillId="0" borderId="0" xfId="32" applyFont="1" applyAlignment="1">
      <alignment horizontal="right" vertical="center"/>
    </xf>
    <xf numFmtId="0" fontId="0" fillId="0" borderId="37" xfId="32" applyFont="1" applyBorder="1" applyAlignment="1">
      <alignment vertical="center"/>
    </xf>
    <xf numFmtId="0" fontId="0" fillId="0" borderId="38" xfId="32" applyFont="1" applyBorder="1" applyAlignment="1">
      <alignment vertical="center" wrapText="1"/>
    </xf>
    <xf numFmtId="0" fontId="0" fillId="0" borderId="38" xfId="32" applyFont="1" applyBorder="1" applyAlignment="1">
      <alignment vertical="center"/>
    </xf>
    <xf numFmtId="0" fontId="0" fillId="0" borderId="38" xfId="32" applyFont="1" applyBorder="1" applyAlignment="1">
      <alignment horizontal="center" vertical="center"/>
    </xf>
    <xf numFmtId="0" fontId="0" fillId="0" borderId="25" xfId="32" applyFont="1" applyBorder="1" applyAlignment="1">
      <alignment vertical="center"/>
    </xf>
    <xf numFmtId="0" fontId="0" fillId="0" borderId="0" xfId="32" applyAlignment="1">
      <alignment/>
    </xf>
    <xf numFmtId="0" fontId="27" fillId="0" borderId="39" xfId="32" applyFont="1" applyBorder="1" applyAlignment="1">
      <alignment horizontal="center" vertical="center" wrapText="1"/>
    </xf>
    <xf numFmtId="0" fontId="28" fillId="0" borderId="39" xfId="32" applyFont="1" applyFill="1" applyBorder="1" applyAlignment="1">
      <alignment horizontal="center" vertical="center" wrapText="1"/>
    </xf>
    <xf numFmtId="0" fontId="29" fillId="0" borderId="40" xfId="32" applyFont="1" applyFill="1" applyBorder="1" applyAlignment="1">
      <alignment horizontal="center" vertical="center" wrapText="1"/>
    </xf>
    <xf numFmtId="0" fontId="0" fillId="0" borderId="0" xfId="32" applyAlignment="1">
      <alignment wrapText="1"/>
    </xf>
    <xf numFmtId="0" fontId="30" fillId="0" borderId="41" xfId="32" applyFont="1" applyBorder="1" applyAlignment="1">
      <alignment horizontal="center" vertical="center" wrapText="1"/>
    </xf>
    <xf numFmtId="0" fontId="4" fillId="0" borderId="41" xfId="32" applyFont="1" applyBorder="1" applyAlignment="1">
      <alignment horizontal="center" vertical="center" wrapText="1"/>
    </xf>
    <xf numFmtId="0" fontId="4" fillId="0" borderId="5" xfId="32" applyFont="1" applyBorder="1" applyAlignment="1">
      <alignment vertical="center"/>
    </xf>
    <xf numFmtId="0" fontId="4" fillId="0" borderId="42" xfId="32" applyFont="1" applyBorder="1" applyAlignment="1">
      <alignment vertical="center" wrapText="1"/>
    </xf>
    <xf numFmtId="9" fontId="31" fillId="4" borderId="43" xfId="32" applyNumberFormat="1" applyFont="1" applyFill="1" applyBorder="1" applyAlignment="1">
      <alignment horizontal="center" vertical="center" wrapText="1"/>
    </xf>
    <xf numFmtId="9" fontId="4" fillId="0" borderId="43" xfId="32" applyNumberFormat="1" applyFont="1" applyFill="1" applyBorder="1" applyAlignment="1">
      <alignment horizontal="center" vertical="center" wrapText="1"/>
    </xf>
    <xf numFmtId="9" fontId="4" fillId="0" borderId="44" xfId="32" applyNumberFormat="1" applyFont="1" applyFill="1" applyBorder="1" applyAlignment="1">
      <alignment horizontal="center" vertical="center" wrapText="1"/>
    </xf>
    <xf numFmtId="9" fontId="4" fillId="3" borderId="44" xfId="32" applyNumberFormat="1" applyFont="1" applyFill="1" applyBorder="1" applyAlignment="1">
      <alignment horizontal="center" vertical="center"/>
    </xf>
    <xf numFmtId="0" fontId="4" fillId="0" borderId="45" xfId="32" applyFont="1" applyFill="1" applyBorder="1" applyAlignment="1">
      <alignment vertical="center"/>
    </xf>
    <xf numFmtId="0" fontId="4" fillId="0" borderId="24" xfId="32" applyFont="1" applyBorder="1" applyAlignment="1">
      <alignment vertical="center" wrapText="1"/>
    </xf>
    <xf numFmtId="9" fontId="31" fillId="4" borderId="45" xfId="32" applyNumberFormat="1" applyFont="1" applyFill="1" applyBorder="1" applyAlignment="1">
      <alignment horizontal="center" vertical="center" wrapText="1"/>
    </xf>
    <xf numFmtId="9" fontId="4" fillId="0" borderId="45" xfId="32" applyNumberFormat="1" applyFont="1" applyFill="1" applyBorder="1" applyAlignment="1">
      <alignment horizontal="center" vertical="center" wrapText="1"/>
    </xf>
    <xf numFmtId="9" fontId="4" fillId="0" borderId="46" xfId="32" applyNumberFormat="1" applyFont="1" applyFill="1" applyBorder="1" applyAlignment="1">
      <alignment horizontal="center" vertical="center" wrapText="1"/>
    </xf>
    <xf numFmtId="9" fontId="4" fillId="3" borderId="46" xfId="32" applyNumberFormat="1" applyFont="1" applyFill="1" applyBorder="1" applyAlignment="1">
      <alignment horizontal="center" vertical="center"/>
    </xf>
    <xf numFmtId="0" fontId="4" fillId="0" borderId="0" xfId="32" applyFont="1" applyFill="1" applyBorder="1" applyAlignment="1">
      <alignment vertical="center"/>
    </xf>
    <xf numFmtId="0" fontId="4" fillId="0" borderId="0" xfId="32" applyFont="1" applyBorder="1" applyAlignment="1">
      <alignment vertical="center" wrapText="1"/>
    </xf>
    <xf numFmtId="9" fontId="31" fillId="0" borderId="0" xfId="32" applyNumberFormat="1" applyFont="1" applyFill="1" applyBorder="1" applyAlignment="1">
      <alignment horizontal="center" vertical="center" wrapText="1"/>
    </xf>
    <xf numFmtId="9" fontId="4" fillId="0" borderId="0" xfId="32" applyNumberFormat="1" applyFont="1" applyFill="1" applyBorder="1" applyAlignment="1">
      <alignment horizontal="center" vertical="center" wrapText="1"/>
    </xf>
    <xf numFmtId="9" fontId="4" fillId="0" borderId="0" xfId="32" applyNumberFormat="1" applyFont="1" applyFill="1" applyBorder="1" applyAlignment="1">
      <alignment horizontal="center" vertical="center"/>
    </xf>
    <xf numFmtId="0" fontId="4" fillId="0" borderId="47" xfId="0" applyFont="1" applyFill="1" applyBorder="1" applyAlignment="1">
      <alignment wrapText="1"/>
    </xf>
    <xf numFmtId="9" fontId="4" fillId="0" borderId="47" xfId="32" applyNumberFormat="1" applyFont="1" applyFill="1" applyBorder="1" applyAlignment="1">
      <alignment horizontal="center" vertical="center" wrapText="1"/>
    </xf>
    <xf numFmtId="0" fontId="0" fillId="0" borderId="0" xfId="32" applyFont="1" applyAlignment="1">
      <alignment horizontal="left" vertical="center"/>
    </xf>
    <xf numFmtId="0" fontId="34" fillId="0" borderId="0" xfId="32" applyFont="1" applyAlignment="1">
      <alignment horizontal="left" vertical="center"/>
    </xf>
    <xf numFmtId="0" fontId="4" fillId="0" borderId="24" xfId="0" applyFont="1" applyFill="1" applyBorder="1" applyAlignment="1">
      <alignment wrapText="1"/>
    </xf>
    <xf numFmtId="9" fontId="4" fillId="3" borderId="45" xfId="32" applyNumberFormat="1" applyFont="1" applyFill="1" applyBorder="1" applyAlignment="1">
      <alignment horizontal="center" vertical="center"/>
    </xf>
    <xf numFmtId="0" fontId="35" fillId="5" borderId="0" xfId="31" applyFont="1" applyFill="1" applyBorder="1" applyAlignment="1">
      <alignment horizontal="center"/>
      <protection/>
    </xf>
    <xf numFmtId="0" fontId="35" fillId="5" borderId="0" xfId="31" applyFont="1" applyFill="1" applyBorder="1" applyAlignment="1">
      <alignment horizontal="center" wrapText="1"/>
      <protection/>
    </xf>
    <xf numFmtId="0" fontId="0" fillId="0" borderId="0" xfId="32" applyFont="1" applyFill="1" applyAlignment="1">
      <alignment vertical="center"/>
    </xf>
    <xf numFmtId="0" fontId="35" fillId="5" borderId="0" xfId="31" applyFont="1" applyFill="1" applyBorder="1" applyAlignment="1">
      <alignment horizontal="left"/>
      <protection/>
    </xf>
    <xf numFmtId="10" fontId="35" fillId="5" borderId="0" xfId="31" applyNumberFormat="1" applyFont="1" applyFill="1" applyBorder="1" applyAlignment="1">
      <alignment horizontal="left"/>
      <protection/>
    </xf>
    <xf numFmtId="0" fontId="4" fillId="0" borderId="0" xfId="32" applyFont="1" applyAlignment="1">
      <alignment vertical="center"/>
    </xf>
    <xf numFmtId="0" fontId="5" fillId="0" borderId="0" xfId="32" applyFont="1" applyAlignment="1">
      <alignment horizontal="left" vertical="center" wrapText="1"/>
    </xf>
    <xf numFmtId="164" fontId="5" fillId="6" borderId="4" xfId="32" applyNumberFormat="1" applyFont="1" applyFill="1" applyBorder="1" applyAlignment="1">
      <alignment horizontal="center" vertical="center"/>
    </xf>
    <xf numFmtId="0" fontId="15" fillId="0" borderId="0" xfId="32" applyFont="1" applyAlignment="1">
      <alignment horizontal="right" vertical="center" wrapText="1"/>
    </xf>
    <xf numFmtId="164" fontId="29" fillId="0" borderId="0" xfId="32" applyNumberFormat="1" applyFont="1" applyFill="1" applyBorder="1" applyAlignment="1">
      <alignment horizontal="center" vertical="center"/>
    </xf>
    <xf numFmtId="164" fontId="5" fillId="0" borderId="4" xfId="32" applyNumberFormat="1" applyFont="1" applyFill="1" applyBorder="1" applyAlignment="1">
      <alignment horizontal="center" vertical="center"/>
    </xf>
    <xf numFmtId="164" fontId="15" fillId="0" borderId="0" xfId="32" applyNumberFormat="1" applyFont="1" applyBorder="1" applyAlignment="1">
      <alignment horizontal="center" vertical="center"/>
    </xf>
    <xf numFmtId="0" fontId="30" fillId="0" borderId="7" xfId="0" applyFont="1" applyBorder="1" applyAlignment="1">
      <alignment wrapText="1"/>
    </xf>
    <xf numFmtId="164" fontId="30" fillId="4" borderId="14" xfId="0" applyNumberFormat="1" applyFont="1" applyFill="1" applyBorder="1" applyAlignment="1">
      <alignment/>
    </xf>
    <xf numFmtId="9" fontId="4" fillId="0" borderId="0" xfId="0" applyNumberFormat="1" applyFont="1" applyAlignment="1">
      <alignment/>
    </xf>
    <xf numFmtId="0" fontId="30" fillId="0" borderId="5" xfId="0" applyFont="1" applyBorder="1" applyAlignment="1">
      <alignment wrapText="1"/>
    </xf>
    <xf numFmtId="8" fontId="30" fillId="4" borderId="11" xfId="0" applyNumberFormat="1" applyFont="1" applyFill="1" applyBorder="1" applyAlignment="1">
      <alignment/>
    </xf>
    <xf numFmtId="10" fontId="4" fillId="0" borderId="0" xfId="0" applyNumberFormat="1" applyFont="1" applyAlignment="1">
      <alignment/>
    </xf>
    <xf numFmtId="8" fontId="0" fillId="0" borderId="0" xfId="32" applyNumberFormat="1" applyFont="1" applyAlignment="1">
      <alignment horizontal="left" vertical="center"/>
    </xf>
    <xf numFmtId="3" fontId="4" fillId="0" borderId="47" xfId="32" applyNumberFormat="1" applyFont="1" applyFill="1" applyBorder="1" applyAlignment="1">
      <alignment horizontal="center" vertical="center" wrapText="1"/>
    </xf>
    <xf numFmtId="207" fontId="4" fillId="0" borderId="45" xfId="32" applyNumberFormat="1" applyFont="1" applyFill="1" applyBorder="1" applyAlignment="1">
      <alignment horizontal="center" vertical="center" shrinkToFit="1"/>
    </xf>
    <xf numFmtId="49" fontId="4" fillId="0" borderId="0" xfId="32" applyNumberFormat="1" applyFont="1" applyAlignment="1">
      <alignment horizontal="left" vertical="top" wrapText="1"/>
    </xf>
    <xf numFmtId="0" fontId="5" fillId="0" borderId="0" xfId="0" applyFont="1" applyFill="1" applyAlignment="1">
      <alignment horizontal="center"/>
    </xf>
    <xf numFmtId="0" fontId="4" fillId="0" borderId="0" xfId="0" applyFont="1" applyFill="1" applyAlignment="1">
      <alignment/>
    </xf>
    <xf numFmtId="0" fontId="4" fillId="0" borderId="8" xfId="0" applyFont="1" applyFill="1" applyBorder="1" applyAlignment="1">
      <alignment horizontal="right"/>
    </xf>
    <xf numFmtId="0" fontId="4" fillId="0" borderId="8" xfId="0" applyFont="1" applyFill="1" applyBorder="1" applyAlignment="1">
      <alignment/>
    </xf>
    <xf numFmtId="0" fontId="4" fillId="0" borderId="9" xfId="0" applyFont="1" applyFill="1" applyBorder="1" applyAlignment="1">
      <alignment/>
    </xf>
    <xf numFmtId="3" fontId="4" fillId="0" borderId="11" xfId="0" applyNumberFormat="1" applyFont="1" applyFill="1" applyBorder="1" applyAlignment="1">
      <alignment/>
    </xf>
    <xf numFmtId="3" fontId="4" fillId="0" borderId="8" xfId="0" applyNumberFormat="1" applyFont="1" applyFill="1" applyBorder="1" applyAlignment="1">
      <alignment/>
    </xf>
    <xf numFmtId="3" fontId="4" fillId="0" borderId="9" xfId="0" applyNumberFormat="1" applyFont="1" applyFill="1" applyBorder="1" applyAlignment="1">
      <alignment/>
    </xf>
    <xf numFmtId="3" fontId="4" fillId="0" borderId="0" xfId="0" applyNumberFormat="1" applyFont="1" applyFill="1" applyAlignment="1">
      <alignment/>
    </xf>
    <xf numFmtId="0" fontId="4" fillId="0" borderId="5" xfId="0" applyFont="1" applyFill="1" applyBorder="1" applyAlignment="1">
      <alignment horizontal="right"/>
    </xf>
    <xf numFmtId="9" fontId="4" fillId="3" borderId="4" xfId="0" applyNumberFormat="1" applyFont="1" applyFill="1" applyBorder="1" applyAlignment="1">
      <alignment horizontal="right"/>
    </xf>
    <xf numFmtId="0" fontId="4" fillId="0" borderId="48" xfId="0" applyFont="1" applyFill="1" applyBorder="1" applyAlignment="1">
      <alignment/>
    </xf>
    <xf numFmtId="0" fontId="4" fillId="0" borderId="11" xfId="0" applyFont="1" applyFill="1" applyBorder="1" applyAlignment="1">
      <alignment/>
    </xf>
    <xf numFmtId="0" fontId="4" fillId="0" borderId="7" xfId="0" applyFont="1" applyFill="1" applyBorder="1" applyAlignment="1">
      <alignment horizontal="left" wrapText="1"/>
    </xf>
    <xf numFmtId="0" fontId="4" fillId="0" borderId="12" xfId="0" applyFont="1" applyFill="1" applyBorder="1" applyAlignment="1">
      <alignment/>
    </xf>
    <xf numFmtId="3" fontId="4" fillId="0" borderId="12" xfId="0" applyNumberFormat="1" applyFont="1" applyFill="1" applyBorder="1" applyAlignment="1">
      <alignment/>
    </xf>
    <xf numFmtId="3" fontId="4" fillId="0" borderId="14" xfId="0" applyNumberFormat="1" applyFont="1" applyFill="1" applyBorder="1" applyAlignment="1">
      <alignment/>
    </xf>
    <xf numFmtId="0" fontId="4" fillId="0" borderId="0" xfId="0" applyFont="1" applyFill="1" applyAlignment="1">
      <alignment horizontal="left" wrapText="1"/>
    </xf>
    <xf numFmtId="0" fontId="4" fillId="0" borderId="0" xfId="0" applyFont="1" applyFill="1" applyAlignment="1">
      <alignment horizontal="right"/>
    </xf>
    <xf numFmtId="0" fontId="4" fillId="0" borderId="5" xfId="0" applyFont="1" applyBorder="1" applyAlignment="1">
      <alignment horizontal="center" vertical="center"/>
    </xf>
    <xf numFmtId="0" fontId="4" fillId="0" borderId="0" xfId="0" applyFont="1" applyBorder="1" applyAlignment="1">
      <alignment horizontal="center" vertical="center"/>
    </xf>
    <xf numFmtId="8" fontId="4" fillId="0" borderId="14" xfId="0" applyNumberFormat="1" applyFont="1" applyBorder="1" applyAlignment="1">
      <alignment/>
    </xf>
    <xf numFmtId="8" fontId="30" fillId="4" borderId="13" xfId="0" applyNumberFormat="1" applyFont="1" applyFill="1" applyBorder="1" applyAlignment="1">
      <alignment/>
    </xf>
    <xf numFmtId="0" fontId="30" fillId="0" borderId="19" xfId="0" applyFont="1" applyBorder="1" applyAlignment="1">
      <alignment wrapText="1"/>
    </xf>
    <xf numFmtId="0" fontId="4" fillId="0" borderId="5" xfId="0" applyFont="1" applyFill="1" applyBorder="1" applyAlignment="1">
      <alignment wrapText="1"/>
    </xf>
    <xf numFmtId="3" fontId="4" fillId="0" borderId="43" xfId="32" applyNumberFormat="1" applyFont="1" applyFill="1" applyBorder="1" applyAlignment="1">
      <alignment horizontal="center" vertical="center" wrapText="1"/>
    </xf>
    <xf numFmtId="3" fontId="31" fillId="4" borderId="13" xfId="0" applyNumberFormat="1" applyFont="1" applyFill="1" applyBorder="1" applyAlignment="1">
      <alignment horizontal="center" vertical="center"/>
    </xf>
    <xf numFmtId="0" fontId="4" fillId="0" borderId="49" xfId="0" applyFont="1" applyFill="1" applyBorder="1" applyAlignment="1">
      <alignment vertical="center" wrapText="1"/>
    </xf>
    <xf numFmtId="0" fontId="4" fillId="0" borderId="43" xfId="0" applyFont="1" applyFill="1" applyBorder="1" applyAlignment="1">
      <alignment wrapText="1"/>
    </xf>
    <xf numFmtId="3" fontId="31" fillId="4" borderId="11" xfId="0" applyNumberFormat="1" applyFont="1" applyFill="1" applyBorder="1" applyAlignment="1">
      <alignment horizontal="center"/>
    </xf>
    <xf numFmtId="3" fontId="4" fillId="3" borderId="47" xfId="32" applyNumberFormat="1" applyFont="1" applyFill="1" applyBorder="1" applyAlignment="1">
      <alignment horizontal="center" vertical="center"/>
    </xf>
    <xf numFmtId="3" fontId="4" fillId="3" borderId="43" xfId="32" applyNumberFormat="1" applyFont="1" applyFill="1" applyBorder="1" applyAlignment="1">
      <alignment horizontal="center" vertical="center"/>
    </xf>
    <xf numFmtId="0" fontId="5" fillId="0" borderId="50" xfId="32" applyFont="1" applyBorder="1" applyAlignment="1">
      <alignment horizontal="center" vertical="center"/>
    </xf>
    <xf numFmtId="0" fontId="5" fillId="0" borderId="47" xfId="32" applyFont="1" applyBorder="1" applyAlignment="1">
      <alignment horizontal="center" vertical="center" wrapText="1"/>
    </xf>
    <xf numFmtId="0" fontId="5" fillId="0" borderId="51" xfId="32" applyFont="1" applyBorder="1" applyAlignment="1">
      <alignment horizontal="center" vertical="center"/>
    </xf>
    <xf numFmtId="0" fontId="5" fillId="0" borderId="52" xfId="32" applyFont="1" applyBorder="1" applyAlignment="1">
      <alignment horizontal="center" vertical="center"/>
    </xf>
    <xf numFmtId="0" fontId="8" fillId="0" borderId="0" xfId="32" applyFont="1" applyAlignment="1">
      <alignment horizontal="center" vertical="center" wrapText="1"/>
    </xf>
    <xf numFmtId="0" fontId="20" fillId="0" borderId="35" xfId="32" applyFont="1" applyBorder="1" applyAlignment="1">
      <alignment horizontal="left" vertical="center" wrapText="1"/>
    </xf>
    <xf numFmtId="0" fontId="20" fillId="0" borderId="28" xfId="32" applyFont="1" applyBorder="1" applyAlignment="1">
      <alignment horizontal="left" vertical="center" wrapText="1"/>
    </xf>
    <xf numFmtId="0" fontId="23" fillId="0" borderId="35" xfId="30" applyFont="1" applyBorder="1" applyAlignment="1">
      <alignment horizontal="left" vertical="center" wrapText="1"/>
    </xf>
    <xf numFmtId="0" fontId="23" fillId="0" borderId="28" xfId="30" applyFont="1" applyBorder="1" applyAlignment="1">
      <alignment horizontal="left" vertical="center" wrapText="1"/>
    </xf>
    <xf numFmtId="0" fontId="5" fillId="0" borderId="35" xfId="32" applyFont="1" applyFill="1" applyBorder="1" applyAlignment="1">
      <alignment horizontal="center" vertical="top" wrapText="1"/>
    </xf>
    <xf numFmtId="0" fontId="5" fillId="0" borderId="28" xfId="32" applyFont="1" applyFill="1" applyBorder="1" applyAlignment="1">
      <alignment horizontal="center" vertical="top" wrapText="1"/>
    </xf>
    <xf numFmtId="0" fontId="23" fillId="0" borderId="35" xfId="30" applyFont="1" applyBorder="1" applyAlignment="1">
      <alignment vertical="center" wrapText="1"/>
    </xf>
    <xf numFmtId="0" fontId="23" fillId="0" borderId="28" xfId="30" applyFont="1" applyBorder="1" applyAlignment="1">
      <alignment vertical="center" wrapText="1"/>
    </xf>
    <xf numFmtId="0" fontId="5" fillId="0" borderId="53" xfId="32" applyFont="1" applyBorder="1" applyAlignment="1">
      <alignment horizontal="left" vertical="center" wrapText="1"/>
    </xf>
    <xf numFmtId="0" fontId="5" fillId="0" borderId="54" xfId="32" applyFont="1" applyBorder="1" applyAlignment="1">
      <alignment horizontal="left" vertical="center" wrapText="1"/>
    </xf>
    <xf numFmtId="0" fontId="9" fillId="0" borderId="0" xfId="32" applyFont="1" applyAlignment="1">
      <alignment horizontal="center" vertical="center" wrapText="1"/>
    </xf>
    <xf numFmtId="0" fontId="5" fillId="0" borderId="55" xfId="32" applyFont="1" applyBorder="1" applyAlignment="1">
      <alignment horizontal="left" vertical="center" wrapText="1"/>
    </xf>
    <xf numFmtId="0" fontId="5" fillId="0" borderId="56" xfId="32" applyFont="1" applyBorder="1" applyAlignment="1">
      <alignment horizontal="left" vertical="center" wrapText="1"/>
    </xf>
    <xf numFmtId="0" fontId="0" fillId="0" borderId="0" xfId="32" applyFont="1" applyAlignment="1">
      <alignment horizontal="right" vertical="center" wrapText="1"/>
    </xf>
    <xf numFmtId="0" fontId="4" fillId="0" borderId="0" xfId="0" applyFont="1" applyAlignment="1">
      <alignment horizontal="left" wrapText="1"/>
    </xf>
    <xf numFmtId="0" fontId="24" fillId="3" borderId="51" xfId="32" applyFont="1" applyFill="1" applyBorder="1" applyAlignment="1">
      <alignment horizontal="left" vertical="center" wrapText="1"/>
    </xf>
    <xf numFmtId="0" fontId="0" fillId="3" borderId="50" xfId="32" applyFont="1" applyFill="1" applyBorder="1" applyAlignment="1">
      <alignment horizontal="left" vertical="center" wrapText="1"/>
    </xf>
    <xf numFmtId="0" fontId="4" fillId="0" borderId="0" xfId="32" applyFont="1" applyBorder="1" applyAlignment="1">
      <alignment horizontal="left" vertical="center" wrapText="1"/>
    </xf>
    <xf numFmtId="49" fontId="4" fillId="0" borderId="0" xfId="32" applyNumberFormat="1" applyFont="1" applyAlignment="1">
      <alignment horizontal="left" vertical="top" wrapText="1"/>
    </xf>
    <xf numFmtId="0" fontId="4" fillId="0" borderId="0" xfId="32" applyFont="1" applyBorder="1" applyAlignment="1">
      <alignment horizontal="left" wrapText="1"/>
    </xf>
    <xf numFmtId="0" fontId="0" fillId="0" borderId="0" xfId="32" applyFont="1" applyAlignment="1">
      <alignment horizontal="left" vertical="center" wrapText="1"/>
    </xf>
    <xf numFmtId="0" fontId="33" fillId="0" borderId="5" xfId="30" applyFont="1" applyBorder="1" applyAlignment="1">
      <alignment horizontal="center" vertical="center"/>
    </xf>
    <xf numFmtId="0" fontId="33" fillId="0" borderId="44" xfId="30" applyFont="1" applyBorder="1" applyAlignment="1">
      <alignment horizontal="center" vertical="center"/>
    </xf>
    <xf numFmtId="0" fontId="33" fillId="0" borderId="24" xfId="30" applyFont="1" applyBorder="1" applyAlignment="1">
      <alignment horizontal="center" vertical="center"/>
    </xf>
    <xf numFmtId="0" fontId="33" fillId="0" borderId="46" xfId="30" applyFont="1" applyBorder="1" applyAlignment="1">
      <alignment horizontal="center" vertical="center"/>
    </xf>
    <xf numFmtId="0" fontId="31" fillId="0" borderId="0" xfId="31" applyFont="1" applyFill="1" applyBorder="1" applyAlignment="1">
      <alignment horizontal="center"/>
      <protection/>
    </xf>
    <xf numFmtId="0" fontId="5" fillId="0" borderId="47" xfId="32" applyFont="1" applyBorder="1" applyAlignment="1">
      <alignment horizontal="center" vertical="center"/>
    </xf>
    <xf numFmtId="0" fontId="5" fillId="0" borderId="57" xfId="32" applyFont="1" applyBorder="1" applyAlignment="1">
      <alignment horizontal="center" vertical="center"/>
    </xf>
    <xf numFmtId="0" fontId="5" fillId="0" borderId="57" xfId="32" applyFont="1" applyBorder="1" applyAlignment="1">
      <alignment horizontal="center" vertical="center" wrapText="1"/>
    </xf>
    <xf numFmtId="0" fontId="32" fillId="0" borderId="51" xfId="32" applyFont="1" applyBorder="1" applyAlignment="1">
      <alignment horizontal="center" vertical="center"/>
    </xf>
    <xf numFmtId="0" fontId="32" fillId="0" borderId="50" xfId="32" applyFont="1" applyBorder="1" applyAlignment="1">
      <alignment horizontal="center" vertical="center"/>
    </xf>
    <xf numFmtId="0" fontId="0" fillId="5" borderId="35" xfId="32" applyFont="1" applyFill="1" applyBorder="1" applyAlignment="1">
      <alignment horizontal="left" vertical="center" wrapText="1"/>
    </xf>
    <xf numFmtId="0" fontId="0" fillId="5" borderId="0" xfId="32" applyFont="1" applyFill="1" applyBorder="1" applyAlignment="1">
      <alignment horizontal="left" vertical="center" wrapText="1"/>
    </xf>
    <xf numFmtId="0" fontId="0" fillId="5" borderId="28" xfId="32" applyFont="1" applyFill="1" applyBorder="1" applyAlignment="1">
      <alignment horizontal="left" vertical="center" wrapText="1"/>
    </xf>
    <xf numFmtId="0" fontId="0" fillId="5" borderId="36" xfId="32" applyFont="1" applyFill="1" applyBorder="1" applyAlignment="1">
      <alignment horizontal="left" vertical="center" wrapText="1"/>
    </xf>
    <xf numFmtId="0" fontId="0" fillId="5" borderId="58" xfId="32" applyFont="1" applyFill="1" applyBorder="1" applyAlignment="1">
      <alignment horizontal="left" vertical="center" wrapText="1"/>
    </xf>
    <xf numFmtId="0" fontId="0" fillId="5" borderId="26" xfId="32" applyFont="1" applyFill="1" applyBorder="1" applyAlignment="1">
      <alignment horizontal="left" vertical="center" wrapText="1"/>
    </xf>
    <xf numFmtId="0" fontId="5" fillId="0" borderId="0" xfId="32" applyFont="1" applyBorder="1" applyAlignment="1">
      <alignment horizontal="left" vertical="center" wrapText="1"/>
    </xf>
    <xf numFmtId="0" fontId="10" fillId="0" borderId="0" xfId="0" applyFont="1" applyFill="1" applyAlignment="1">
      <alignment horizontal="center"/>
    </xf>
    <xf numFmtId="0" fontId="4" fillId="0" borderId="0" xfId="32" applyFont="1" applyFill="1" applyAlignment="1">
      <alignment horizontal="center" vertical="center" wrapText="1"/>
    </xf>
    <xf numFmtId="0" fontId="12" fillId="0" borderId="0" xfId="32" applyFont="1" applyFill="1" applyAlignment="1">
      <alignment horizontal="center" vertical="center" wrapText="1"/>
    </xf>
    <xf numFmtId="0" fontId="11" fillId="0" borderId="0" xfId="0" applyFont="1" applyFill="1" applyAlignment="1">
      <alignment horizontal="center"/>
    </xf>
    <xf numFmtId="0" fontId="4" fillId="0" borderId="0" xfId="0" applyFont="1" applyAlignment="1">
      <alignment horizontal="left" wrapText="1"/>
    </xf>
    <xf numFmtId="8" fontId="5" fillId="0" borderId="51" xfId="0" applyNumberFormat="1" applyFont="1" applyBorder="1" applyAlignment="1">
      <alignment horizontal="center" wrapText="1"/>
    </xf>
    <xf numFmtId="8" fontId="5" fillId="0" borderId="59" xfId="0" applyNumberFormat="1" applyFont="1" applyBorder="1" applyAlignment="1">
      <alignment horizontal="center" wrapText="1"/>
    </xf>
    <xf numFmtId="0" fontId="4" fillId="0" borderId="1" xfId="0" applyFont="1" applyBorder="1" applyAlignment="1">
      <alignment horizontal="left" wrapText="1"/>
    </xf>
    <xf numFmtId="4" fontId="4" fillId="0" borderId="0" xfId="0" applyNumberFormat="1" applyFont="1" applyBorder="1" applyAlignment="1">
      <alignment horizontal="left" wrapText="1"/>
    </xf>
    <xf numFmtId="0" fontId="7" fillId="3" borderId="0" xfId="0" applyFont="1" applyFill="1" applyAlignment="1">
      <alignment horizontal="left" wrapText="1"/>
    </xf>
    <xf numFmtId="0" fontId="5" fillId="0" borderId="60" xfId="0" applyFont="1" applyBorder="1" applyAlignment="1">
      <alignment horizontal="center" wrapText="1"/>
    </xf>
    <xf numFmtId="0" fontId="4" fillId="0" borderId="61" xfId="0" applyFont="1" applyBorder="1" applyAlignment="1">
      <alignment horizontal="left" vertical="top" wrapText="1"/>
    </xf>
    <xf numFmtId="0" fontId="4" fillId="0" borderId="17" xfId="0" applyFont="1" applyBorder="1" applyAlignment="1">
      <alignment horizontal="left" vertical="top" wrapText="1"/>
    </xf>
    <xf numFmtId="0" fontId="0" fillId="0" borderId="0" xfId="0" applyFont="1" applyFill="1" applyAlignment="1">
      <alignment horizontal="center"/>
    </xf>
  </cellXfs>
  <cellStyles count="19">
    <cellStyle name="Normal" xfId="0"/>
    <cellStyle name="Comma" xfId="16"/>
    <cellStyle name="Comma [0]" xfId="17"/>
    <cellStyle name="Currency" xfId="18"/>
    <cellStyle name="Currency [0]" xfId="19"/>
    <cellStyle name="Data" xfId="20"/>
    <cellStyle name="F2" xfId="21"/>
    <cellStyle name="F3" xfId="22"/>
    <cellStyle name="F4" xfId="23"/>
    <cellStyle name="F5" xfId="24"/>
    <cellStyle name="F6" xfId="25"/>
    <cellStyle name="F7" xfId="26"/>
    <cellStyle name="F8" xfId="27"/>
    <cellStyle name="Followed Hyperlink" xfId="28"/>
    <cellStyle name="Hyperlink" xfId="29"/>
    <cellStyle name="Hyperlink_mcc-err-namibia_mkt" xfId="30"/>
    <cellStyle name="Normal_jwwREPMCA ERR Model Tourism Component DRAFT FINAL V3 JB July 2007" xfId="31"/>
    <cellStyle name="Normal_mcc-err-namibia_mkt" xfId="32"/>
    <cellStyle name="Percent" xfId="3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externalLink" Target="externalLinks/externalLink8.xml" /><Relationship Id="rId19" Type="http://schemas.openxmlformats.org/officeDocument/2006/relationships/externalLink" Target="externalLinks/externalLink9.xml" /><Relationship Id="rId20" Type="http://schemas.openxmlformats.org/officeDocument/2006/relationships/externalLink" Target="externalLinks/externalLink10.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latin typeface="Arial"/>
                <a:ea typeface="Arial"/>
                <a:cs typeface="Arial"/>
              </a:rPr>
              <a:t> Undiscounted Annual Net Benefits</a:t>
            </a:r>
          </a:p>
        </c:rich>
      </c:tx>
      <c:layout/>
      <c:spPr>
        <a:noFill/>
        <a:ln>
          <a:noFill/>
        </a:ln>
      </c:spPr>
    </c:title>
    <c:plotArea>
      <c:layout/>
      <c:areaChart>
        <c:grouping val="standard"/>
        <c:varyColors val="0"/>
        <c:ser>
          <c:idx val="0"/>
          <c:order val="0"/>
          <c:tx>
            <c:v>Net Benefits</c:v>
          </c:tx>
          <c:spPr>
            <a:solidFill>
              <a:srgbClr val="0066CC"/>
            </a:solidFill>
          </c:spPr>
          <c:extLst>
            <c:ext xmlns:c14="http://schemas.microsoft.com/office/drawing/2007/8/2/chart" uri="{6F2FDCE9-48DA-4B69-8628-5D25D57E5C99}">
              <c14:invertSolidFillFmt>
                <c14:spPr>
                  <a:solidFill>
                    <a:srgbClr val="FFFFFF"/>
                  </a:solidFill>
                </c14:spPr>
              </c14:invertSolidFillFmt>
            </c:ext>
          </c:extLst>
          <c:cat>
            <c:numRef>
              <c:f>'ERR Private Bank Loan Funding'!$E$11:$X$11</c:f>
              <c:numCach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'ERR Private Bank Loan Funding'!$E$38:$X$38</c:f>
              <c:numCache>
                <c:ptCount val="20"/>
                <c:pt idx="0">
                  <c:v>-6401112.200000001</c:v>
                </c:pt>
                <c:pt idx="1">
                  <c:v>-4771786.37859992</c:v>
                </c:pt>
                <c:pt idx="2">
                  <c:v>-4706198.139133883</c:v>
                </c:pt>
                <c:pt idx="3">
                  <c:v>2008494.348563671</c:v>
                </c:pt>
                <c:pt idx="4">
                  <c:v>2572472.7069387436</c:v>
                </c:pt>
                <c:pt idx="5">
                  <c:v>3147730.632481575</c:v>
                </c:pt>
                <c:pt idx="6">
                  <c:v>3734493.7165350914</c:v>
                </c:pt>
                <c:pt idx="7">
                  <c:v>4332992.062269688</c:v>
                </c:pt>
                <c:pt idx="8">
                  <c:v>4943460.374918699</c:v>
                </c:pt>
                <c:pt idx="9">
                  <c:v>5566138.053820848</c:v>
                </c:pt>
                <c:pt idx="10">
                  <c:v>6201269.286301136</c:v>
                </c:pt>
                <c:pt idx="11">
                  <c:v>6849103.143431187</c:v>
                </c:pt>
                <c:pt idx="12">
                  <c:v>7509893.677703619</c:v>
                </c:pt>
                <c:pt idx="13">
                  <c:v>8183900.022661686</c:v>
                </c:pt>
                <c:pt idx="14">
                  <c:v>8871386.494518757</c:v>
                </c:pt>
                <c:pt idx="15">
                  <c:v>9572622.69581294</c:v>
                </c:pt>
                <c:pt idx="16">
                  <c:v>10287883.621133089</c:v>
                </c:pt>
                <c:pt idx="17">
                  <c:v>11017449.764959812</c:v>
                </c:pt>
                <c:pt idx="18">
                  <c:v>11761607.231662989</c:v>
                </c:pt>
                <c:pt idx="19">
                  <c:v>12520647.84769988</c:v>
                </c:pt>
              </c:numCache>
            </c:numRef>
          </c:val>
        </c:ser>
        <c:axId val="30810391"/>
        <c:axId val="8858064"/>
      </c:areaChart>
      <c:catAx>
        <c:axId val="30810391"/>
        <c:scaling>
          <c:orientation val="minMax"/>
        </c:scaling>
        <c:axPos val="b"/>
        <c:title>
          <c:tx>
            <c:rich>
              <a:bodyPr vert="horz" rot="0" anchor="ctr"/>
              <a:lstStyle/>
              <a:p>
                <a:pPr algn="ctr">
                  <a:defRPr/>
                </a:pPr>
                <a:r>
                  <a:rPr lang="en-US" cap="none" sz="13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a:lstStyle/>
          <a:p>
            <a:pPr>
              <a:defRPr lang="en-US" cap="none" sz="1125" b="0" i="0" u="none" baseline="0">
                <a:latin typeface="Arial"/>
                <a:ea typeface="Arial"/>
                <a:cs typeface="Arial"/>
              </a:defRPr>
            </a:pPr>
          </a:p>
        </c:txPr>
        <c:crossAx val="8858064"/>
        <c:crosses val="autoZero"/>
        <c:auto val="1"/>
        <c:lblOffset val="100"/>
        <c:noMultiLvlLbl val="0"/>
      </c:catAx>
      <c:valAx>
        <c:axId val="8858064"/>
        <c:scaling>
          <c:orientation val="minMax"/>
        </c:scaling>
        <c:axPos val="l"/>
        <c:title>
          <c:tx>
            <c:rich>
              <a:bodyPr vert="horz" rot="-5400000" anchor="ctr"/>
              <a:lstStyle/>
              <a:p>
                <a:pPr algn="ctr">
                  <a:defRPr/>
                </a:pPr>
                <a:r>
                  <a:rPr lang="en-US" cap="none" sz="1300" b="1" i="0" u="none" baseline="0">
                    <a:latin typeface="Arial"/>
                    <a:ea typeface="Arial"/>
                    <a:cs typeface="Arial"/>
                  </a:rPr>
                  <a:t>US$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25" b="0" i="0" u="none" baseline="0">
                <a:latin typeface="Arial"/>
                <a:ea typeface="Arial"/>
                <a:cs typeface="Arial"/>
              </a:defRPr>
            </a:pPr>
          </a:p>
        </c:txPr>
        <c:crossAx val="30810391"/>
        <c:crossesAt val="1"/>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7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Arial"/>
                <a:ea typeface="Arial"/>
                <a:cs typeface="Arial"/>
              </a:rPr>
              <a:t>Distribution of ERR Given Uncertainty in Key Parameters
(as of 7/15/2008)†</a:t>
            </a:r>
          </a:p>
        </c:rich>
      </c:tx>
      <c:layout/>
      <c:spPr>
        <a:noFill/>
        <a:ln>
          <a:noFill/>
        </a:ln>
      </c:spPr>
    </c:title>
    <c:plotArea>
      <c:layout>
        <c:manualLayout>
          <c:xMode val="edge"/>
          <c:yMode val="edge"/>
          <c:x val="0.012"/>
          <c:y val="0.1065"/>
          <c:w val="0.95975"/>
          <c:h val="0.87975"/>
        </c:manualLayout>
      </c:layout>
      <c:barChart>
        <c:barDir val="col"/>
        <c:grouping val="stacked"/>
        <c:varyColors val="0"/>
        <c:ser>
          <c:idx val="0"/>
          <c:order val="0"/>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0"/>
              <c:pt idx="0">
                <c:v>-0.07219658886258301</c:v>
              </c:pt>
              <c:pt idx="10">
                <c:v>0.11812898798994177</c:v>
              </c:pt>
              <c:pt idx="20">
                <c:v>0.3084545648424666</c:v>
              </c:pt>
              <c:pt idx="30">
                <c:v>0.49878014169499135</c:v>
              </c:pt>
              <c:pt idx="40">
                <c:v>0.6891057185475161</c:v>
              </c:pt>
              <c:pt idx="49">
                <c:v>0.8603987377147885</c:v>
              </c:pt>
            </c:strLit>
          </c:cat>
          <c:val>
            <c:numLit>
              <c:ptCount val="50"/>
              <c:pt idx="0">
                <c:v>4</c:v>
              </c:pt>
              <c:pt idx="1">
                <c:v>0</c:v>
              </c:pt>
              <c:pt idx="2">
                <c:v>22</c:v>
              </c:pt>
              <c:pt idx="3">
                <c:v>24</c:v>
              </c:pt>
              <c:pt idx="4">
                <c:v>28</c:v>
              </c:pt>
              <c:pt idx="5">
                <c:v>38</c:v>
              </c:pt>
              <c:pt idx="6">
                <c:v>60</c:v>
              </c:pt>
              <c:pt idx="7">
                <c:v>68</c:v>
              </c:pt>
              <c:pt idx="8">
                <c:v>87</c:v>
              </c:pt>
              <c:pt idx="9">
                <c:v>94</c:v>
              </c:pt>
              <c:pt idx="10">
                <c:v>94</c:v>
              </c:pt>
              <c:pt idx="11">
                <c:v>85</c:v>
              </c:pt>
              <c:pt idx="12">
                <c:v>124</c:v>
              </c:pt>
              <c:pt idx="13">
                <c:v>131</c:v>
              </c:pt>
              <c:pt idx="14">
                <c:v>153</c:v>
              </c:pt>
              <c:pt idx="15">
                <c:v>172</c:v>
              </c:pt>
              <c:pt idx="16">
                <c:v>160</c:v>
              </c:pt>
              <c:pt idx="17">
                <c:v>191</c:v>
              </c:pt>
              <c:pt idx="18">
                <c:v>207</c:v>
              </c:pt>
              <c:pt idx="19">
                <c:v>189</c:v>
              </c:pt>
              <c:pt idx="20">
                <c:v>200</c:v>
              </c:pt>
              <c:pt idx="21">
                <c:v>231</c:v>
              </c:pt>
              <c:pt idx="22">
                <c:v>193</c:v>
              </c:pt>
              <c:pt idx="23">
                <c:v>231</c:v>
              </c:pt>
              <c:pt idx="24">
                <c:v>233</c:v>
              </c:pt>
              <c:pt idx="25">
                <c:v>226</c:v>
              </c:pt>
              <c:pt idx="26">
                <c:v>234</c:v>
              </c:pt>
              <c:pt idx="27">
                <c:v>202</c:v>
              </c:pt>
              <c:pt idx="28">
                <c:v>204</c:v>
              </c:pt>
              <c:pt idx="29">
                <c:v>211</c:v>
              </c:pt>
              <c:pt idx="30">
                <c:v>199</c:v>
              </c:pt>
              <c:pt idx="31">
                <c:v>186</c:v>
              </c:pt>
              <c:pt idx="32">
                <c:v>165</c:v>
              </c:pt>
              <c:pt idx="33">
                <c:v>188</c:v>
              </c:pt>
              <c:pt idx="34">
                <c:v>168</c:v>
              </c:pt>
              <c:pt idx="35">
                <c:v>146</c:v>
              </c:pt>
              <c:pt idx="36">
                <c:v>149</c:v>
              </c:pt>
              <c:pt idx="37">
                <c:v>131</c:v>
              </c:pt>
              <c:pt idx="38">
                <c:v>129</c:v>
              </c:pt>
              <c:pt idx="39">
                <c:v>122</c:v>
              </c:pt>
              <c:pt idx="40">
                <c:v>95</c:v>
              </c:pt>
              <c:pt idx="41">
                <c:v>87</c:v>
              </c:pt>
              <c:pt idx="42">
                <c:v>68</c:v>
              </c:pt>
              <c:pt idx="43">
                <c:v>47</c:v>
              </c:pt>
              <c:pt idx="44">
                <c:v>31</c:v>
              </c:pt>
              <c:pt idx="45">
                <c:v>22</c:v>
              </c:pt>
              <c:pt idx="46">
                <c:v>18</c:v>
              </c:pt>
              <c:pt idx="47">
                <c:v>9</c:v>
              </c:pt>
              <c:pt idx="48">
                <c:v>9</c:v>
              </c:pt>
              <c:pt idx="49">
                <c:v>2</c:v>
              </c:pt>
            </c:numLit>
          </c:val>
        </c:ser>
        <c:overlap val="100"/>
        <c:gapWidth val="10"/>
        <c:axId val="12613713"/>
        <c:axId val="46414554"/>
      </c:barChart>
      <c:catAx>
        <c:axId val="12613713"/>
        <c:scaling>
          <c:orientation val="minMax"/>
        </c:scaling>
        <c:axPos val="b"/>
        <c:delete val="0"/>
        <c:numFmt formatCode="0.00%" sourceLinked="0"/>
        <c:majorTickMark val="out"/>
        <c:minorTickMark val="none"/>
        <c:tickLblPos val="nextTo"/>
        <c:crossAx val="46414554"/>
        <c:crosses val="autoZero"/>
        <c:auto val="0"/>
        <c:lblOffset val="100"/>
        <c:tickLblSkip val="1"/>
        <c:tickMarkSkip val="5"/>
        <c:noMultiLvlLbl val="0"/>
      </c:catAx>
      <c:valAx>
        <c:axId val="46414554"/>
        <c:scaling>
          <c:orientation val="minMax"/>
          <c:min val="0"/>
        </c:scaling>
        <c:axPos val="l"/>
        <c:title>
          <c:tx>
            <c:rich>
              <a:bodyPr vert="horz" rot="-5400000" anchor="ctr"/>
              <a:lstStyle/>
              <a:p>
                <a:pPr algn="ctr">
                  <a:defRPr/>
                </a:pPr>
                <a:r>
                  <a:rPr lang="en-US"/>
                  <a:t>Frequency</a:t>
                </a:r>
              </a:p>
            </c:rich>
          </c:tx>
          <c:layout/>
          <c:overlay val="0"/>
          <c:spPr>
            <a:noFill/>
            <a:ln>
              <a:noFill/>
            </a:ln>
          </c:spPr>
        </c:title>
        <c:delete val="0"/>
        <c:numFmt formatCode="General" sourceLinked="1"/>
        <c:majorTickMark val="out"/>
        <c:minorTickMark val="none"/>
        <c:tickLblPos val="nextTo"/>
        <c:crossAx val="12613713"/>
        <c:crossesAt val="1"/>
        <c:crossBetween val="between"/>
        <c:dispUnits/>
      </c:valAx>
      <c:spPr>
        <a:solidFill>
          <a:srgbClr val="FFFFFF"/>
        </a:solidFill>
      </c:spPr>
    </c:plotArea>
    <c:plotVisOnly val="1"/>
    <c:dispBlanksAs val="gap"/>
    <c:showDLblsOverMax val="0"/>
  </c:chart>
  <c:spPr>
    <a:solidFill>
      <a:srgbClr val="FFFFFF"/>
    </a:solidFill>
  </c:spPr>
  <c:txPr>
    <a:bodyPr vert="horz" rot="0"/>
    <a:lstStyle/>
    <a:p>
      <a:pPr>
        <a:defRPr lang="en-US" cap="none" sz="11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CB_Block_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 name="CB_0000000000000000000000000000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12</xdr:row>
      <xdr:rowOff>0</xdr:rowOff>
    </xdr:from>
    <xdr:to>
      <xdr:col>0</xdr:col>
      <xdr:colOff>19050</xdr:colOff>
      <xdr:row>12</xdr:row>
      <xdr:rowOff>19050</xdr:rowOff>
    </xdr:to>
    <xdr:pic>
      <xdr:nvPicPr>
        <xdr:cNvPr id="1" name="CB_00000000000000000000000000000001" hidden="1"/>
        <xdr:cNvPicPr preferRelativeResize="1">
          <a:picLocks noChangeAspect="1"/>
        </xdr:cNvPicPr>
      </xdr:nvPicPr>
      <xdr:blipFill>
        <a:blip r:embed="rId1"/>
        <a:stretch>
          <a:fillRect/>
        </a:stretch>
      </xdr:blipFill>
      <xdr:spPr>
        <a:xfrm>
          <a:off x="0" y="2038350"/>
          <a:ext cx="19050" cy="19050"/>
        </a:xfrm>
        <a:prstGeom prst="rect">
          <a:avLst/>
        </a:prstGeom>
        <a:noFill/>
        <a:ln w="9525" cmpd="sng">
          <a:noFill/>
        </a:ln>
      </xdr:spPr>
    </xdr:pic>
    <xdr:clientData/>
  </xdr:twoCellAnchor>
  <xdr:twoCellAnchor editAs="oneCell">
    <xdr:from>
      <xdr:col>0</xdr:col>
      <xdr:colOff>0</xdr:colOff>
      <xdr:row>12</xdr:row>
      <xdr:rowOff>0</xdr:rowOff>
    </xdr:from>
    <xdr:to>
      <xdr:col>0</xdr:col>
      <xdr:colOff>19050</xdr:colOff>
      <xdr:row>12</xdr:row>
      <xdr:rowOff>19050</xdr:rowOff>
    </xdr:to>
    <xdr:pic>
      <xdr:nvPicPr>
        <xdr:cNvPr id="2" name="CB_00000000000000000000000000000003" hidden="1"/>
        <xdr:cNvPicPr preferRelativeResize="1">
          <a:picLocks noChangeAspect="1"/>
        </xdr:cNvPicPr>
      </xdr:nvPicPr>
      <xdr:blipFill>
        <a:blip r:embed="rId1"/>
        <a:stretch>
          <a:fillRect/>
        </a:stretch>
      </xdr:blipFill>
      <xdr:spPr>
        <a:xfrm>
          <a:off x="0" y="2038350"/>
          <a:ext cx="19050" cy="19050"/>
        </a:xfrm>
        <a:prstGeom prst="rect">
          <a:avLst/>
        </a:prstGeom>
        <a:noFill/>
        <a:ln w="9525" cmpd="sng">
          <a:noFill/>
        </a:ln>
      </xdr:spPr>
    </xdr:pic>
    <xdr:clientData/>
  </xdr:twoCellAnchor>
  <xdr:twoCellAnchor editAs="oneCell">
    <xdr:from>
      <xdr:col>0</xdr:col>
      <xdr:colOff>0</xdr:colOff>
      <xdr:row>12</xdr:row>
      <xdr:rowOff>0</xdr:rowOff>
    </xdr:from>
    <xdr:to>
      <xdr:col>0</xdr:col>
      <xdr:colOff>19050</xdr:colOff>
      <xdr:row>12</xdr:row>
      <xdr:rowOff>19050</xdr:rowOff>
    </xdr:to>
    <xdr:pic>
      <xdr:nvPicPr>
        <xdr:cNvPr id="3" name="CB_00000000000000000000000000000000" hidden="1"/>
        <xdr:cNvPicPr preferRelativeResize="1">
          <a:picLocks noChangeAspect="1"/>
        </xdr:cNvPicPr>
      </xdr:nvPicPr>
      <xdr:blipFill>
        <a:blip r:embed="rId1"/>
        <a:stretch>
          <a:fillRect/>
        </a:stretch>
      </xdr:blipFill>
      <xdr:spPr>
        <a:xfrm>
          <a:off x="0" y="2038350"/>
          <a:ext cx="19050" cy="19050"/>
        </a:xfrm>
        <a:prstGeom prst="rect">
          <a:avLst/>
        </a:prstGeom>
        <a:noFill/>
        <a:ln w="9525" cmpd="sng">
          <a:noFill/>
        </a:ln>
      </xdr:spPr>
    </xdr:pic>
    <xdr:clientData/>
  </xdr:twoCellAnchor>
  <xdr:twoCellAnchor>
    <xdr:from>
      <xdr:col>0</xdr:col>
      <xdr:colOff>247650</xdr:colOff>
      <xdr:row>41</xdr:row>
      <xdr:rowOff>57150</xdr:rowOff>
    </xdr:from>
    <xdr:to>
      <xdr:col>6</xdr:col>
      <xdr:colOff>790575</xdr:colOff>
      <xdr:row>84</xdr:row>
      <xdr:rowOff>133350</xdr:rowOff>
    </xdr:to>
    <xdr:graphicFrame>
      <xdr:nvGraphicFramePr>
        <xdr:cNvPr id="4" name="Chart 5"/>
        <xdr:cNvGraphicFramePr/>
      </xdr:nvGraphicFramePr>
      <xdr:xfrm>
        <a:off x="247650" y="9420225"/>
        <a:ext cx="10306050" cy="70389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19050</xdr:colOff>
      <xdr:row>0</xdr:row>
      <xdr:rowOff>19050</xdr:rowOff>
    </xdr:to>
    <xdr:pic>
      <xdr:nvPicPr>
        <xdr:cNvPr id="5" name="CB_Block_0" hidden="1"/>
        <xdr:cNvPicPr preferRelativeResize="1">
          <a:picLocks noChangeAspect="1"/>
        </xdr:cNvPicPr>
      </xdr:nvPicPr>
      <xdr:blipFill>
        <a:blip r:embed="rId1"/>
        <a:stretch>
          <a:fillRect/>
        </a:stretch>
      </xdr:blipFill>
      <xdr:spPr>
        <a:xfrm>
          <a:off x="0" y="0"/>
          <a:ext cx="19050" cy="19050"/>
        </a:xfrm>
        <a:prstGeom prst="rect">
          <a:avLst/>
        </a:prstGeom>
        <a:noFill/>
        <a:ln w="9525" cmpd="sng">
          <a:noFill/>
        </a:ln>
      </xdr:spPr>
    </xdr:pic>
    <xdr:clientData/>
  </xdr:twoCellAnchor>
  <xdr:twoCellAnchor>
    <xdr:from>
      <xdr:col>1</xdr:col>
      <xdr:colOff>0</xdr:colOff>
      <xdr:row>86</xdr:row>
      <xdr:rowOff>0</xdr:rowOff>
    </xdr:from>
    <xdr:to>
      <xdr:col>6</xdr:col>
      <xdr:colOff>742950</xdr:colOff>
      <xdr:row>120</xdr:row>
      <xdr:rowOff>104775</xdr:rowOff>
    </xdr:to>
    <xdr:graphicFrame>
      <xdr:nvGraphicFramePr>
        <xdr:cNvPr id="6" name="Chart 10"/>
        <xdr:cNvGraphicFramePr/>
      </xdr:nvGraphicFramePr>
      <xdr:xfrm>
        <a:off x="381000" y="16649700"/>
        <a:ext cx="10125075" cy="5610225"/>
      </xdr:xfrm>
      <a:graphic>
        <a:graphicData uri="http://schemas.openxmlformats.org/drawingml/2006/chart">
          <c:chart xmlns:c="http://schemas.openxmlformats.org/drawingml/2006/chart" r:id="rId3"/>
        </a:graphicData>
      </a:graphic>
    </xdr:graphicFrame>
    <xdr:clientData/>
  </xdr:twoCellAnchor>
  <xdr:twoCellAnchor editAs="oneCell">
    <xdr:from>
      <xdr:col>0</xdr:col>
      <xdr:colOff>0</xdr:colOff>
      <xdr:row>0</xdr:row>
      <xdr:rowOff>0</xdr:rowOff>
    </xdr:from>
    <xdr:to>
      <xdr:col>0</xdr:col>
      <xdr:colOff>9525</xdr:colOff>
      <xdr:row>0</xdr:row>
      <xdr:rowOff>9525</xdr:rowOff>
    </xdr:to>
    <xdr:pic>
      <xdr:nvPicPr>
        <xdr:cNvPr id="7" name="CB_Block_7.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19050</xdr:colOff>
      <xdr:row>0</xdr:row>
      <xdr:rowOff>19050</xdr:rowOff>
    </xdr:to>
    <xdr:pic>
      <xdr:nvPicPr>
        <xdr:cNvPr id="1" name="CB_00000000000000000000000000000001" hidden="1"/>
        <xdr:cNvPicPr preferRelativeResize="1">
          <a:picLocks noChangeAspect="1"/>
        </xdr:cNvPicPr>
      </xdr:nvPicPr>
      <xdr:blipFill>
        <a:blip r:embed="rId1"/>
        <a:stretch>
          <a:fillRect/>
        </a:stretch>
      </xdr:blipFill>
      <xdr:spPr>
        <a:xfrm>
          <a:off x="0" y="0"/>
          <a:ext cx="19050" cy="19050"/>
        </a:xfrm>
        <a:prstGeom prst="rect">
          <a:avLst/>
        </a:prstGeom>
        <a:noFill/>
        <a:ln w="9525" cmpd="sng">
          <a:noFill/>
        </a:ln>
      </xdr:spPr>
    </xdr:pic>
    <xdr:clientData/>
  </xdr:twoCellAnchor>
  <xdr:twoCellAnchor editAs="oneCell">
    <xdr:from>
      <xdr:col>0</xdr:col>
      <xdr:colOff>0</xdr:colOff>
      <xdr:row>0</xdr:row>
      <xdr:rowOff>0</xdr:rowOff>
    </xdr:from>
    <xdr:to>
      <xdr:col>0</xdr:col>
      <xdr:colOff>19050</xdr:colOff>
      <xdr:row>0</xdr:row>
      <xdr:rowOff>19050</xdr:rowOff>
    </xdr:to>
    <xdr:pic>
      <xdr:nvPicPr>
        <xdr:cNvPr id="2" name="CB_00000000000000000000000000000003" hidden="1"/>
        <xdr:cNvPicPr preferRelativeResize="1">
          <a:picLocks noChangeAspect="1"/>
        </xdr:cNvPicPr>
      </xdr:nvPicPr>
      <xdr:blipFill>
        <a:blip r:embed="rId1"/>
        <a:stretch>
          <a:fillRect/>
        </a:stretch>
      </xdr:blipFill>
      <xdr:spPr>
        <a:xfrm>
          <a:off x="0" y="0"/>
          <a:ext cx="19050" cy="19050"/>
        </a:xfrm>
        <a:prstGeom prst="rect">
          <a:avLst/>
        </a:prstGeom>
        <a:noFill/>
        <a:ln w="9525" cmpd="sng">
          <a:noFill/>
        </a:ln>
      </xdr:spPr>
    </xdr:pic>
    <xdr:clientData/>
  </xdr:twoCellAnchor>
  <xdr:twoCellAnchor editAs="oneCell">
    <xdr:from>
      <xdr:col>0</xdr:col>
      <xdr:colOff>0</xdr:colOff>
      <xdr:row>0</xdr:row>
      <xdr:rowOff>0</xdr:rowOff>
    </xdr:from>
    <xdr:to>
      <xdr:col>0</xdr:col>
      <xdr:colOff>19050</xdr:colOff>
      <xdr:row>0</xdr:row>
      <xdr:rowOff>19050</xdr:rowOff>
    </xdr:to>
    <xdr:pic>
      <xdr:nvPicPr>
        <xdr:cNvPr id="3" name="CB_00000000000000000000000000000000" hidden="1"/>
        <xdr:cNvPicPr preferRelativeResize="1">
          <a:picLocks noChangeAspect="1"/>
        </xdr:cNvPicPr>
      </xdr:nvPicPr>
      <xdr:blipFill>
        <a:blip r:embed="rId1"/>
        <a:stretch>
          <a:fillRect/>
        </a:stretch>
      </xdr:blipFill>
      <xdr:spPr>
        <a:xfrm>
          <a:off x="0" y="0"/>
          <a:ext cx="19050" cy="19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Tanzania\Roads-Transport%20ERR%20Template.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Documents%20and%20Settings\kolawoleos\Local%20Settings\Temporary%20Internet%20Files\OLK26\Documents%20and%20Settings\Benyishaya\Local%20Settings\Temporary%20Internet%20Files\OLK9\mcc-err-tanzani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cc.gov\root\home\dennisbn\Country%20TTs\Vanuatu\ERR%20spreadsheet\Copy%20of%20Econ%20Model%20-%20Revised%20-%20April%20200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mcc.gov/_divisions\Economic%20Analysis\ERR%20Spreadsheets\Web%20Dissemination\Ongoing%20Work\Tanzania\Tanzania%20Water%20&amp;%20Sanitation%20-%20v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mcc.gov/Tanzania\Economic%20Analysis\Roads\Roads-Transport%20ERR%20Tanga_Horohoro%20ED%20AR%20BND%20final%20report%20cost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www.mcc.gov/_divisions\Economic%20Analysis\ERR%20Spreadsheets\Web%20Dissemination\Ongoing%20Work\Tanzania\Tanzania%20Energy%20Zanzibar.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www.mcc.gov/DOCUME~1\BREITB~1\LOCALS~1\Temp\Temporary%20Directory%203%20for%20Tanzania%20Compact%20ERR.zip\Water-Sanitation%20Zanzibar%20Rural%20v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F:\PROJECTS\234171%20CLP%20Gasification\Work\Model\CLP%20model%20-%20Draft%20v5%2023.03.07.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F:\Documents%20and%20Settings\DOY25040\Desktop\MCC\Energy%20ERR%20Template%20modified%20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Documents%20and%20Settings\kolawoleos\Local%20Settings\Temporary%20Internet%20Files\OLK26\Documents%20and%20Settings\Benyishaya\Local%20Settings\Temporary%20Internet%20Files\OLK9\Copy%20of%20mcc-err-tanzania-energydistribution_Tuesda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
      <sheetName val="Key Assumptions"/>
      <sheetName val="IRIs"/>
      <sheetName val="RUC Calculations"/>
      <sheetName val="Health"/>
      <sheetName val="Education"/>
      <sheetName val="ERR"/>
      <sheetName val="Scenario"/>
      <sheetName val="Probability"/>
    </sheetNames>
    <sheetDataSet>
      <sheetData sheetId="1">
        <row r="9">
          <cell r="G9">
            <v>0.6831000000000002</v>
          </cell>
        </row>
        <row r="24">
          <cell r="G24">
            <v>365</v>
          </cell>
        </row>
        <row r="37">
          <cell r="G37">
            <v>0.5</v>
          </cell>
        </row>
        <row r="38">
          <cell r="G38">
            <v>0.0319</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User's Guide"/>
      <sheetName val="Activity Description"/>
      <sheetName val="ERR &amp; Sensitivity Analysis"/>
      <sheetName val="CB_DATA_"/>
    </sheetNames>
    <sheetDataSet>
      <sheetData sheetId="0">
        <row r="8">
          <cell r="C8" t="str">
            <v>Energy Sector Project</v>
          </cell>
        </row>
        <row r="9">
          <cell r="C9" t="str">
            <v>Distribution Systems Rehabilitation and Extension Activity</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mary Tables"/>
      <sheetName val="Intro"/>
      <sheetName val="Main"/>
      <sheetName val="Summary"/>
      <sheetName val="LU"/>
      <sheetName val="Prob"/>
      <sheetName val="Distrib"/>
      <sheetName val="AMAMA1"/>
      <sheetName val="AMAMA2"/>
      <sheetName val="APEPE1"/>
      <sheetName val="ASASA1"/>
      <sheetName val="ASASA2"/>
      <sheetName val="ASHEF1"/>
      <sheetName val="ATATA1"/>
      <sheetName val="BPEAM1"/>
      <sheetName val="BSAEP1"/>
      <sheetName val="BSAML1"/>
      <sheetName val="BVARI1"/>
      <sheetName val="Meet"/>
      <sheetName val="VANRIS"/>
    </sheetNames>
    <sheetDataSet>
      <sheetData sheetId="3">
        <row r="6">
          <cell r="A6" t="str">
            <v>AMAMA1</v>
          </cell>
          <cell r="B6" t="str">
            <v>Lits Lits - Norsup Road Sealing</v>
          </cell>
          <cell r="D6" t="str">
            <v>Malekula</v>
          </cell>
          <cell r="E6" t="str">
            <v>Malampa</v>
          </cell>
          <cell r="F6">
            <v>189.6048</v>
          </cell>
          <cell r="G6">
            <v>1.7556</v>
          </cell>
          <cell r="H6">
            <v>2.0555555555555527</v>
          </cell>
          <cell r="I6">
            <v>0.01903292181069956</v>
          </cell>
          <cell r="J6">
            <v>0.22462370197905585</v>
          </cell>
          <cell r="K6">
            <v>159.72431508259623</v>
          </cell>
          <cell r="L6">
            <v>2.0643322529748724</v>
          </cell>
          <cell r="M6">
            <v>0.18788677288242828</v>
          </cell>
          <cell r="N6">
            <v>0.1802928108096226</v>
          </cell>
          <cell r="O6">
            <v>0.271765946426847</v>
          </cell>
          <cell r="P6">
            <v>0.12571622655559045</v>
          </cell>
          <cell r="Q6">
            <v>1</v>
          </cell>
          <cell r="R6">
            <v>1</v>
          </cell>
          <cell r="S6">
            <v>2007</v>
          </cell>
        </row>
        <row r="7">
          <cell r="A7" t="str">
            <v>AMAMA2</v>
          </cell>
          <cell r="B7" t="str">
            <v>South-West Bay Airstrip Upgrading</v>
          </cell>
          <cell r="D7" t="str">
            <v>Malekula</v>
          </cell>
          <cell r="E7" t="str">
            <v>Malampa</v>
          </cell>
          <cell r="F7">
            <v>65.08</v>
          </cell>
          <cell r="G7">
            <v>0.6025925925925926</v>
          </cell>
          <cell r="H7">
            <v>0</v>
          </cell>
          <cell r="I7">
            <v>0</v>
          </cell>
          <cell r="J7">
            <v>0.11364998061127222</v>
          </cell>
          <cell r="K7">
            <v>4.866971313671759</v>
          </cell>
          <cell r="L7">
            <v>1.0914032036645314</v>
          </cell>
          <cell r="M7">
            <v>0.08619992942037667</v>
          </cell>
          <cell r="N7">
            <v>0.08054563187386796</v>
          </cell>
          <cell r="O7">
            <v>0.1491719125848013</v>
          </cell>
          <cell r="P7">
            <v>0.04585583610297489</v>
          </cell>
          <cell r="Q7">
            <v>1</v>
          </cell>
          <cell r="R7">
            <v>1</v>
          </cell>
          <cell r="S7">
            <v>2007</v>
          </cell>
        </row>
        <row r="8">
          <cell r="A8" t="str">
            <v>APEPE1</v>
          </cell>
          <cell r="B8" t="str">
            <v>Loltong Wharf and N-S Road</v>
          </cell>
          <cell r="D8" t="str">
            <v>Pentecost</v>
          </cell>
          <cell r="E8" t="str">
            <v>Penama</v>
          </cell>
          <cell r="F8">
            <v>247.654</v>
          </cell>
          <cell r="G8">
            <v>2.2930925925925925</v>
          </cell>
          <cell r="H8">
            <v>3.6999999999999993</v>
          </cell>
          <cell r="I8">
            <v>0.03425925925925925</v>
          </cell>
          <cell r="J8">
            <v>0.15606943163381698</v>
          </cell>
          <cell r="K8">
            <v>79.08347162476201</v>
          </cell>
          <cell r="L8">
            <v>1.346935096185802</v>
          </cell>
          <cell r="M8">
            <v>0.12016075318448843</v>
          </cell>
          <cell r="N8">
            <v>0.11283654648106228</v>
          </cell>
          <cell r="O8">
            <v>0.016089379885231746</v>
          </cell>
          <cell r="P8">
            <v>0.06713663336847975</v>
          </cell>
          <cell r="Q8">
            <v>1</v>
          </cell>
          <cell r="R8">
            <v>1</v>
          </cell>
          <cell r="S8">
            <v>2007</v>
          </cell>
        </row>
        <row r="9">
          <cell r="A9" t="str">
            <v>ASASA1</v>
          </cell>
          <cell r="B9" t="str">
            <v>Port Olry Road Upgrading</v>
          </cell>
          <cell r="D9" t="str">
            <v>Santo</v>
          </cell>
          <cell r="E9" t="str">
            <v>Sanma</v>
          </cell>
          <cell r="F9">
            <v>1863.9288000000001</v>
          </cell>
          <cell r="G9">
            <v>17.2586</v>
          </cell>
          <cell r="H9">
            <v>40.94444444444445</v>
          </cell>
          <cell r="I9">
            <v>0.3791152263374486</v>
          </cell>
          <cell r="J9">
            <v>0.3378643130738296</v>
          </cell>
          <cell r="K9">
            <v>4425.839036860351</v>
          </cell>
          <cell r="L9">
            <v>3.661679665848366</v>
          </cell>
          <cell r="M9">
            <v>0.29106356187309074</v>
          </cell>
          <cell r="N9">
            <v>0.28150155877118105</v>
          </cell>
          <cell r="O9">
            <v>0.39892725896301917</v>
          </cell>
          <cell r="P9">
            <v>0.2037081426600791</v>
          </cell>
          <cell r="Q9">
            <v>1</v>
          </cell>
          <cell r="R9">
            <v>1</v>
          </cell>
          <cell r="S9">
            <v>2007</v>
          </cell>
        </row>
        <row r="10">
          <cell r="A10" t="str">
            <v>ASASA2</v>
          </cell>
          <cell r="B10" t="str">
            <v>South Coast Bridges and Culverts</v>
          </cell>
          <cell r="D10" t="str">
            <v>Santo</v>
          </cell>
          <cell r="E10" t="str">
            <v>Sanma</v>
          </cell>
          <cell r="F10">
            <v>202.82399999999998</v>
          </cell>
          <cell r="G10">
            <v>1.878</v>
          </cell>
          <cell r="H10">
            <v>0</v>
          </cell>
          <cell r="I10">
            <v>0</v>
          </cell>
          <cell r="J10">
            <v>0.24276840985467887</v>
          </cell>
          <cell r="K10">
            <v>174.0999826086306</v>
          </cell>
          <cell r="L10">
            <v>2.049130613895647</v>
          </cell>
          <cell r="M10">
            <v>0.19700424159358113</v>
          </cell>
          <cell r="N10">
            <v>0.18789673951715924</v>
          </cell>
          <cell r="O10">
            <v>0.3057487982976323</v>
          </cell>
          <cell r="P10">
            <v>0.12686653484309338</v>
          </cell>
          <cell r="Q10">
            <v>1</v>
          </cell>
          <cell r="R10">
            <v>1</v>
          </cell>
          <cell r="S10">
            <v>2007</v>
          </cell>
        </row>
        <row r="11">
          <cell r="A11" t="str">
            <v>ASHEF1</v>
          </cell>
          <cell r="B11" t="str">
            <v>Round-Island Road Upgrading</v>
          </cell>
          <cell r="D11" t="str">
            <v>Efate</v>
          </cell>
          <cell r="E11" t="str">
            <v>Shefa</v>
          </cell>
          <cell r="F11">
            <v>2520.612</v>
          </cell>
          <cell r="G11">
            <v>23.339000000000002</v>
          </cell>
          <cell r="H11">
            <v>52.5</v>
          </cell>
          <cell r="I11">
            <v>0.4861111111111111</v>
          </cell>
          <cell r="J11">
            <v>0.20550479502577151</v>
          </cell>
          <cell r="K11">
            <v>1885.729162103877</v>
          </cell>
          <cell r="L11">
            <v>1.8423788997682973</v>
          </cell>
          <cell r="M11">
            <v>0.16988037798308492</v>
          </cell>
          <cell r="N11">
            <v>0.16249056620484598</v>
          </cell>
          <cell r="O11">
            <v>0.2509892022389731</v>
          </cell>
          <cell r="P11">
            <v>0.11008159066260667</v>
          </cell>
          <cell r="Q11">
            <v>1</v>
          </cell>
          <cell r="R11">
            <v>1</v>
          </cell>
          <cell r="S11">
            <v>2007</v>
          </cell>
        </row>
        <row r="12">
          <cell r="A12" t="str">
            <v>ATATA1</v>
          </cell>
          <cell r="B12" t="str">
            <v>Whitesands Road Upgrading</v>
          </cell>
          <cell r="D12" t="str">
            <v>Tanna</v>
          </cell>
          <cell r="E12" t="str">
            <v>Tafea</v>
          </cell>
          <cell r="F12">
            <v>403.00199999999995</v>
          </cell>
          <cell r="G12">
            <v>3.7314999999999996</v>
          </cell>
          <cell r="H12">
            <v>0</v>
          </cell>
          <cell r="I12">
            <v>0</v>
          </cell>
          <cell r="J12">
            <v>0.176571845377738</v>
          </cell>
          <cell r="K12">
            <v>204.41274323363672</v>
          </cell>
          <cell r="L12">
            <v>1.619941829781381</v>
          </cell>
          <cell r="M12">
            <v>0.14456524340112237</v>
          </cell>
          <cell r="N12">
            <v>0.13797068071259416</v>
          </cell>
          <cell r="O12">
            <v>0.2177927682566017</v>
          </cell>
          <cell r="P12">
            <v>0.0939303405692848</v>
          </cell>
          <cell r="Q12">
            <v>1</v>
          </cell>
          <cell r="R12">
            <v>1</v>
          </cell>
          <cell r="S12">
            <v>2007</v>
          </cell>
        </row>
        <row r="13">
          <cell r="A13" t="str">
            <v>BPEAM1</v>
          </cell>
          <cell r="B13" t="str">
            <v>Ambae Creek Crossings Reinstatement</v>
          </cell>
          <cell r="D13" t="str">
            <v>Ambae</v>
          </cell>
          <cell r="E13" t="str">
            <v>Penama</v>
          </cell>
          <cell r="F13">
            <v>132.472</v>
          </cell>
          <cell r="G13">
            <v>1.2265925925925927</v>
          </cell>
          <cell r="H13">
            <v>0</v>
          </cell>
          <cell r="I13">
            <v>0</v>
          </cell>
          <cell r="J13">
            <v>0.12314963811312898</v>
          </cell>
          <cell r="K13">
            <v>16.066209299402473</v>
          </cell>
          <cell r="L13">
            <v>1.1482311585286173</v>
          </cell>
          <cell r="M13">
            <v>0.09315129877661123</v>
          </cell>
          <cell r="N13">
            <v>0.08701571493564024</v>
          </cell>
          <cell r="O13">
            <v>0.1624878441863667</v>
          </cell>
          <cell r="P13">
            <v>0.05031998681090321</v>
          </cell>
          <cell r="Q13">
            <v>1</v>
          </cell>
          <cell r="R13">
            <v>1</v>
          </cell>
          <cell r="S13">
            <v>2007</v>
          </cell>
        </row>
        <row r="14">
          <cell r="A14" t="str">
            <v>BSAEP1</v>
          </cell>
          <cell r="B14" t="str">
            <v>Lamen Bay Wharf Reinstatement</v>
          </cell>
          <cell r="D14" t="str">
            <v>Epi</v>
          </cell>
          <cell r="E14" t="str">
            <v>Shefa</v>
          </cell>
          <cell r="F14">
            <v>122.536</v>
          </cell>
          <cell r="G14">
            <v>1.1345925925925926</v>
          </cell>
          <cell r="H14">
            <v>0</v>
          </cell>
          <cell r="I14">
            <v>0</v>
          </cell>
          <cell r="J14">
            <v>0.10091447210991594</v>
          </cell>
          <cell r="K14">
            <v>0.5851207375704743</v>
          </cell>
          <cell r="L14">
            <v>1.005836224196495</v>
          </cell>
          <cell r="M14">
            <v>0.07414162579499352</v>
          </cell>
          <cell r="N14">
            <v>0.06861975740754238</v>
          </cell>
          <cell r="O14">
            <v>0.13547536346423877</v>
          </cell>
          <cell r="P14">
            <v>0.035685163178576916</v>
          </cell>
          <cell r="Q14">
            <v>1</v>
          </cell>
          <cell r="R14">
            <v>1</v>
          </cell>
          <cell r="S14">
            <v>2007</v>
          </cell>
        </row>
        <row r="15">
          <cell r="A15" t="str">
            <v>BSAML1</v>
          </cell>
          <cell r="B15" t="str">
            <v>Malo Roads Upgrading</v>
          </cell>
          <cell r="D15" t="str">
            <v>Malo</v>
          </cell>
          <cell r="E15" t="str">
            <v>Sanma</v>
          </cell>
          <cell r="F15">
            <v>115.40800000000002</v>
          </cell>
          <cell r="G15">
            <v>1.0685925925925928</v>
          </cell>
          <cell r="H15">
            <v>4</v>
          </cell>
          <cell r="I15">
            <v>0.037037037037037035</v>
          </cell>
          <cell r="J15">
            <v>0.168387486955777</v>
          </cell>
          <cell r="K15">
            <v>45.99216170650264</v>
          </cell>
          <cell r="L15">
            <v>1.3776013836392784</v>
          </cell>
          <cell r="M15">
            <v>0.12734818413458404</v>
          </cell>
          <cell r="N15">
            <v>0.11897501062329664</v>
          </cell>
          <cell r="O15">
            <v>0.22286032753779406</v>
          </cell>
          <cell r="P15">
            <v>0.06655361522113327</v>
          </cell>
          <cell r="Q15">
            <v>1</v>
          </cell>
          <cell r="R15">
            <v>1</v>
          </cell>
          <cell r="S15">
            <v>2007</v>
          </cell>
        </row>
        <row r="16">
          <cell r="A16" t="str">
            <v>BVARI1</v>
          </cell>
          <cell r="B16" t="str">
            <v>Technical assistance to PWD</v>
          </cell>
          <cell r="D16" t="str">
            <v>Country</v>
          </cell>
          <cell r="E16" t="str">
            <v>Country</v>
          </cell>
          <cell r="F16">
            <v>1347.6000000000001</v>
          </cell>
          <cell r="G16">
            <v>12.47777777777778</v>
          </cell>
          <cell r="H16">
            <v>0</v>
          </cell>
          <cell r="I16">
            <v>0</v>
          </cell>
          <cell r="J16">
            <v>0.16058552903336543</v>
          </cell>
          <cell r="K16">
            <v>262.48883072070845</v>
          </cell>
          <cell r="L16">
            <v>1.285461776824978</v>
          </cell>
          <cell r="M16">
            <v>0.1151492708742208</v>
          </cell>
          <cell r="N16">
            <v>0.10604506949655668</v>
          </cell>
          <cell r="O16">
            <v>0.22244484054528116</v>
          </cell>
          <cell r="P16">
            <v>0.05661199067741331</v>
          </cell>
          <cell r="Q16">
            <v>1</v>
          </cell>
          <cell r="R16">
            <v>1</v>
          </cell>
          <cell r="S16">
            <v>2007</v>
          </cell>
        </row>
      </sheetData>
      <sheetData sheetId="4">
        <row r="3">
          <cell r="A3" t="str">
            <v>AMAMA1</v>
          </cell>
          <cell r="B3" t="str">
            <v>Malampa</v>
          </cell>
          <cell r="C3" t="str">
            <v>Malekula</v>
          </cell>
          <cell r="D3" t="str">
            <v>Lits Lits - Norsup Road Sealing</v>
          </cell>
          <cell r="E3">
            <v>3127.71</v>
          </cell>
          <cell r="F3">
            <v>168</v>
          </cell>
          <cell r="R3">
            <v>189.6048</v>
          </cell>
          <cell r="S3">
            <v>2.3</v>
          </cell>
          <cell r="T3">
            <v>8.8</v>
          </cell>
          <cell r="U3">
            <v>7</v>
          </cell>
        </row>
        <row r="4">
          <cell r="A4" t="str">
            <v>AMAMA2</v>
          </cell>
          <cell r="B4" t="str">
            <v>Malampa</v>
          </cell>
          <cell r="C4" t="str">
            <v>Malekula</v>
          </cell>
          <cell r="D4" t="str">
            <v>South-West Bay Airstrip Upgrading</v>
          </cell>
          <cell r="E4">
            <v>2510.8599999999997</v>
          </cell>
          <cell r="Q4">
            <v>104</v>
          </cell>
          <cell r="R4">
            <v>65.08</v>
          </cell>
          <cell r="S4">
            <v>1</v>
          </cell>
          <cell r="T4">
            <v>1</v>
          </cell>
        </row>
        <row r="5">
          <cell r="A5" t="str">
            <v>APEPE1</v>
          </cell>
          <cell r="B5" t="str">
            <v>Penama</v>
          </cell>
          <cell r="C5" t="str">
            <v>Pentecost</v>
          </cell>
          <cell r="D5" t="str">
            <v>Loltong Wharf and N-S Road</v>
          </cell>
          <cell r="E5">
            <v>3074.7299999999996</v>
          </cell>
          <cell r="F5">
            <v>31</v>
          </cell>
          <cell r="R5">
            <v>83.71</v>
          </cell>
          <cell r="S5">
            <v>4.3</v>
          </cell>
          <cell r="T5">
            <v>2.1</v>
          </cell>
        </row>
        <row r="6">
          <cell r="A6" t="str">
            <v>APEPE2</v>
          </cell>
          <cell r="B6" t="str">
            <v>Penama</v>
          </cell>
          <cell r="C6" t="str">
            <v>Pentecost</v>
          </cell>
          <cell r="D6" t="str">
            <v>Loltong Wharf and N-S Road</v>
          </cell>
          <cell r="E6">
            <v>4783.29</v>
          </cell>
          <cell r="H6">
            <v>80</v>
          </cell>
          <cell r="I6">
            <v>1000</v>
          </cell>
          <cell r="J6">
            <v>16</v>
          </cell>
          <cell r="K6">
            <v>1</v>
          </cell>
          <cell r="L6">
            <v>1000</v>
          </cell>
          <cell r="N6">
            <v>2017</v>
          </cell>
          <cell r="O6">
            <v>25.2125</v>
          </cell>
          <cell r="P6">
            <v>290.487</v>
          </cell>
          <cell r="R6">
            <v>163.944</v>
          </cell>
          <cell r="S6">
            <v>1.5</v>
          </cell>
          <cell r="T6">
            <v>0</v>
          </cell>
        </row>
        <row r="8">
          <cell r="A8" t="str">
            <v>ASASA1</v>
          </cell>
          <cell r="B8" t="str">
            <v>Sanma</v>
          </cell>
          <cell r="C8" t="str">
            <v>Santo</v>
          </cell>
          <cell r="D8" t="str">
            <v>Port Olry Road Upgrading</v>
          </cell>
          <cell r="E8">
            <v>7403.759999999999</v>
          </cell>
          <cell r="F8">
            <v>200</v>
          </cell>
          <cell r="R8">
            <v>1863.9288000000001</v>
          </cell>
          <cell r="S8">
            <v>17.5</v>
          </cell>
          <cell r="T8">
            <v>31</v>
          </cell>
          <cell r="U8">
            <v>7</v>
          </cell>
          <cell r="AF8">
            <v>0.9</v>
          </cell>
        </row>
        <row r="9">
          <cell r="A9" t="str">
            <v>ASASA2</v>
          </cell>
          <cell r="B9" t="str">
            <v>Sanma</v>
          </cell>
          <cell r="C9" t="str">
            <v>Santo</v>
          </cell>
          <cell r="D9" t="str">
            <v>South Coast Bridges and Culverts</v>
          </cell>
          <cell r="E9">
            <v>7152.9</v>
          </cell>
          <cell r="F9">
            <v>33</v>
          </cell>
          <cell r="R9">
            <v>202.82399999999998</v>
          </cell>
          <cell r="S9">
            <v>17.6</v>
          </cell>
          <cell r="T9">
            <v>17.6</v>
          </cell>
        </row>
        <row r="10">
          <cell r="A10" t="str">
            <v>ASHEF1</v>
          </cell>
          <cell r="B10" t="str">
            <v>Shefa</v>
          </cell>
          <cell r="C10" t="str">
            <v>Efate</v>
          </cell>
          <cell r="D10" t="str">
            <v>Round-Island Road Upgrading</v>
          </cell>
          <cell r="E10">
            <v>13914.819999999998</v>
          </cell>
          <cell r="F10">
            <v>60</v>
          </cell>
          <cell r="R10">
            <v>2520.612</v>
          </cell>
          <cell r="S10">
            <v>22.5</v>
          </cell>
          <cell r="T10">
            <v>40</v>
          </cell>
          <cell r="U10">
            <v>7</v>
          </cell>
        </row>
        <row r="11">
          <cell r="A11" t="str">
            <v>ATATA1</v>
          </cell>
          <cell r="B11" t="str">
            <v>Tafea</v>
          </cell>
          <cell r="C11" t="str">
            <v>Tanna</v>
          </cell>
          <cell r="D11" t="str">
            <v>Whitesands Road Upgrading</v>
          </cell>
          <cell r="E11">
            <v>5675.910000000001</v>
          </cell>
          <cell r="F11">
            <v>100</v>
          </cell>
          <cell r="R11">
            <v>403.002</v>
          </cell>
          <cell r="S11">
            <v>10.5</v>
          </cell>
          <cell r="T11">
            <v>10.5</v>
          </cell>
        </row>
        <row r="12">
          <cell r="A12" t="str">
            <v>ATATA2</v>
          </cell>
          <cell r="B12" t="str">
            <v>Tafea</v>
          </cell>
          <cell r="C12" t="str">
            <v>Tanna</v>
          </cell>
          <cell r="D12" t="str">
            <v>South Coast Road Upgrading</v>
          </cell>
          <cell r="E12">
            <v>1823.82</v>
          </cell>
          <cell r="F12">
            <v>10</v>
          </cell>
          <cell r="R12">
            <v>0</v>
          </cell>
          <cell r="S12">
            <v>0</v>
          </cell>
          <cell r="T12">
            <v>0</v>
          </cell>
        </row>
        <row r="13">
          <cell r="A13" t="str">
            <v>BPEAM1</v>
          </cell>
          <cell r="B13" t="str">
            <v>Penama</v>
          </cell>
          <cell r="C13" t="str">
            <v>Ambae</v>
          </cell>
          <cell r="D13" t="str">
            <v>Ambae Creek Crossings Reinstatement</v>
          </cell>
          <cell r="E13">
            <v>1534.4</v>
          </cell>
          <cell r="F13">
            <v>10</v>
          </cell>
          <cell r="R13">
            <v>132.472</v>
          </cell>
          <cell r="S13">
            <v>1</v>
          </cell>
          <cell r="T13">
            <v>1</v>
          </cell>
        </row>
        <row r="15">
          <cell r="A15" t="str">
            <v>BSAEP1</v>
          </cell>
          <cell r="B15" t="str">
            <v>Shefa</v>
          </cell>
          <cell r="C15" t="str">
            <v>Epi</v>
          </cell>
          <cell r="D15" t="str">
            <v>Lamen Bay Wharf Reinstatement</v>
          </cell>
          <cell r="E15">
            <v>1865.94</v>
          </cell>
          <cell r="H15">
            <v>400</v>
          </cell>
          <cell r="I15">
            <v>500</v>
          </cell>
          <cell r="J15">
            <v>0</v>
          </cell>
          <cell r="L15">
            <v>250</v>
          </cell>
          <cell r="M15">
            <v>420</v>
          </cell>
          <cell r="N15">
            <v>1170</v>
          </cell>
          <cell r="O15">
            <v>2.925</v>
          </cell>
          <cell r="P15">
            <v>149.5</v>
          </cell>
          <cell r="R15">
            <v>122.536</v>
          </cell>
          <cell r="S15">
            <v>1.6</v>
          </cell>
          <cell r="T15">
            <v>1.6</v>
          </cell>
        </row>
        <row r="16">
          <cell r="A16" t="str">
            <v>BSAML1</v>
          </cell>
          <cell r="B16" t="str">
            <v>Sanma</v>
          </cell>
          <cell r="C16" t="str">
            <v>Malo</v>
          </cell>
          <cell r="D16" t="str">
            <v>Malo Roads Upgrading</v>
          </cell>
          <cell r="E16">
            <v>1645.3700000000001</v>
          </cell>
          <cell r="F16">
            <v>30</v>
          </cell>
          <cell r="R16">
            <v>115.40800000000002</v>
          </cell>
          <cell r="S16">
            <v>8</v>
          </cell>
          <cell r="T16">
            <v>4</v>
          </cell>
        </row>
        <row r="18">
          <cell r="A18" t="str">
            <v>BVARI1</v>
          </cell>
          <cell r="B18" t="str">
            <v>Country</v>
          </cell>
          <cell r="C18" t="str">
            <v>Country</v>
          </cell>
          <cell r="D18" t="str">
            <v>Technical assistance to PWD</v>
          </cell>
          <cell r="E18">
            <v>0</v>
          </cell>
          <cell r="R18">
            <v>1212.8400000000001</v>
          </cell>
        </row>
        <row r="39">
          <cell r="D39" t="str">
            <v>Total: Manually selected subprojects</v>
          </cell>
          <cell r="E39">
            <v>54513.51000000001</v>
          </cell>
          <cell r="I39">
            <v>1500</v>
          </cell>
          <cell r="J39">
            <v>16</v>
          </cell>
          <cell r="K39">
            <v>1</v>
          </cell>
          <cell r="L39">
            <v>1250</v>
          </cell>
          <cell r="M39">
            <v>420</v>
          </cell>
          <cell r="N39">
            <v>3187</v>
          </cell>
          <cell r="O39">
            <v>28.1375</v>
          </cell>
          <cell r="P39">
            <v>439.987</v>
          </cell>
          <cell r="Q39">
            <v>104</v>
          </cell>
          <cell r="R39">
            <v>7075.961600000001</v>
          </cell>
          <cell r="S39">
            <v>87.8</v>
          </cell>
          <cell r="T39">
            <v>117.6</v>
          </cell>
        </row>
        <row r="40">
          <cell r="R40" t="str">
            <v>= US$ 65.5 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User's Guide"/>
      <sheetName val="Project Description"/>
      <sheetName val="ERR &amp; Sensitivity Analysis"/>
      <sheetName val="Summary"/>
      <sheetName val="Assumptions"/>
      <sheetName val="Dar Ruvu"/>
      <sheetName val="Dar NRW"/>
      <sheetName val="Morogoro"/>
      <sheetName val="Annex III"/>
    </sheetNames>
    <sheetDataSet>
      <sheetData sheetId="4">
        <row r="6">
          <cell r="F6">
            <v>20</v>
          </cell>
        </row>
        <row r="9">
          <cell r="F9">
            <v>0.07</v>
          </cell>
        </row>
        <row r="14">
          <cell r="E14" t="str">
            <v>A</v>
          </cell>
        </row>
        <row r="15">
          <cell r="E15" t="str">
            <v>B</v>
          </cell>
        </row>
        <row r="16">
          <cell r="E16" t="str">
            <v>C</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tro"/>
      <sheetName val="Key Assumptions"/>
      <sheetName val="TH Sum"/>
      <sheetName val="TH1"/>
      <sheetName val="TH2"/>
      <sheetName val="TH4"/>
      <sheetName val="TanIRI"/>
    </sheetNames>
    <sheetDataSet>
      <sheetData sheetId="1">
        <row r="41">
          <cell r="H41">
            <v>0.04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User's Guide"/>
      <sheetName val="Activity Description"/>
      <sheetName val="ERR &amp; Sensitivity Analysis"/>
      <sheetName val="Results"/>
      <sheetName val="Assumptions"/>
      <sheetName val="ERR Calculations"/>
      <sheetName val="Planting"/>
      <sheetName val="Annex III"/>
      <sheetName val="LRMC"/>
      <sheetName val="gas option"/>
      <sheetName val="Social and Environmental"/>
      <sheetName val="Alt economic analysis"/>
    </sheetNames>
    <sheetDataSet>
      <sheetData sheetId="4">
        <row r="7">
          <cell r="W7" t="str">
            <v>Type</v>
          </cell>
          <cell r="X7" t="str">
            <v>cable1</v>
          </cell>
          <cell r="Y7" t="str">
            <v>cable2</v>
          </cell>
          <cell r="Z7" t="str">
            <v>cable3</v>
          </cell>
          <cell r="AA7" t="str">
            <v>wind</v>
          </cell>
          <cell r="AB7" t="str">
            <v>diesel</v>
          </cell>
        </row>
        <row r="8">
          <cell r="M8">
            <v>1</v>
          </cell>
          <cell r="N8">
            <v>0</v>
          </cell>
          <cell r="O8">
            <v>0</v>
          </cell>
          <cell r="W8" t="str">
            <v>Capex $/kW</v>
          </cell>
          <cell r="X8">
            <v>500</v>
          </cell>
          <cell r="Y8">
            <v>0</v>
          </cell>
          <cell r="Z8">
            <v>483</v>
          </cell>
          <cell r="AA8">
            <v>2700</v>
          </cell>
          <cell r="AB8">
            <v>1500</v>
          </cell>
        </row>
        <row r="9">
          <cell r="L9">
            <v>2007</v>
          </cell>
          <cell r="M9">
            <v>10</v>
          </cell>
          <cell r="N9">
            <v>5</v>
          </cell>
          <cell r="O9">
            <v>5</v>
          </cell>
          <cell r="P9">
            <v>10</v>
          </cell>
          <cell r="W9" t="str">
            <v>Opex $/kW/p.a.</v>
          </cell>
          <cell r="X9">
            <v>39</v>
          </cell>
          <cell r="Y9">
            <v>39</v>
          </cell>
          <cell r="Z9">
            <v>39</v>
          </cell>
          <cell r="AA9">
            <v>35</v>
          </cell>
          <cell r="AB9">
            <v>70</v>
          </cell>
        </row>
        <row r="10">
          <cell r="L10">
            <v>2008</v>
          </cell>
          <cell r="M10">
            <v>10</v>
          </cell>
          <cell r="N10">
            <v>5</v>
          </cell>
          <cell r="O10">
            <v>50</v>
          </cell>
          <cell r="P10">
            <v>10</v>
          </cell>
          <cell r="W10" t="str">
            <v>Opex $/kWh</v>
          </cell>
          <cell r="X10">
            <v>0</v>
          </cell>
          <cell r="Y10">
            <v>0</v>
          </cell>
          <cell r="Z10">
            <v>0</v>
          </cell>
          <cell r="AA10">
            <v>0</v>
          </cell>
          <cell r="AB10">
            <v>0.006</v>
          </cell>
        </row>
        <row r="11">
          <cell r="L11">
            <v>2009</v>
          </cell>
          <cell r="M11">
            <v>10</v>
          </cell>
          <cell r="N11">
            <v>20</v>
          </cell>
          <cell r="O11">
            <v>80</v>
          </cell>
          <cell r="P11">
            <v>10</v>
          </cell>
          <cell r="W11" t="str">
            <v>fuel $/kWh</v>
          </cell>
          <cell r="X11">
            <v>0.03</v>
          </cell>
          <cell r="Y11">
            <v>0.03</v>
          </cell>
          <cell r="Z11">
            <v>0.04</v>
          </cell>
          <cell r="AA11">
            <v>0</v>
          </cell>
          <cell r="AB11">
            <v>0.09932250000000001</v>
          </cell>
        </row>
        <row r="12">
          <cell r="G12">
            <v>0.56</v>
          </cell>
          <cell r="H12">
            <v>0.58</v>
          </cell>
          <cell r="I12">
            <v>0.6</v>
          </cell>
          <cell r="L12">
            <v>2010</v>
          </cell>
          <cell r="M12">
            <v>10</v>
          </cell>
          <cell r="N12">
            <v>30</v>
          </cell>
          <cell r="O12">
            <v>20</v>
          </cell>
          <cell r="P12">
            <v>10</v>
          </cell>
          <cell r="W12" t="str">
            <v>Life</v>
          </cell>
          <cell r="X12">
            <v>34</v>
          </cell>
          <cell r="Y12">
            <v>6</v>
          </cell>
          <cell r="Z12">
            <v>40</v>
          </cell>
          <cell r="AA12">
            <v>20</v>
          </cell>
          <cell r="AB12">
            <v>20</v>
          </cell>
        </row>
        <row r="13">
          <cell r="H13">
            <v>0.98</v>
          </cell>
          <cell r="L13">
            <v>2011</v>
          </cell>
          <cell r="M13">
            <v>2</v>
          </cell>
          <cell r="N13">
            <v>30</v>
          </cell>
          <cell r="O13">
            <v>0</v>
          </cell>
          <cell r="P13">
            <v>2</v>
          </cell>
          <cell r="W13" t="str">
            <v>Load factor</v>
          </cell>
          <cell r="X13">
            <v>0.56</v>
          </cell>
          <cell r="Y13">
            <v>0.8</v>
          </cell>
          <cell r="Z13">
            <v>0.61</v>
          </cell>
          <cell r="AA13">
            <v>0.34</v>
          </cell>
          <cell r="AB13">
            <v>0</v>
          </cell>
        </row>
        <row r="14">
          <cell r="L14">
            <v>2012</v>
          </cell>
          <cell r="M14">
            <v>2</v>
          </cell>
          <cell r="N14">
            <v>0</v>
          </cell>
          <cell r="O14">
            <v>0</v>
          </cell>
          <cell r="P14">
            <v>2</v>
          </cell>
        </row>
        <row r="15">
          <cell r="L15">
            <v>2013</v>
          </cell>
          <cell r="M15">
            <v>2</v>
          </cell>
          <cell r="N15">
            <v>0</v>
          </cell>
          <cell r="O15">
            <v>0</v>
          </cell>
          <cell r="P15">
            <v>2</v>
          </cell>
        </row>
        <row r="16">
          <cell r="L16">
            <v>2014</v>
          </cell>
          <cell r="M16">
            <v>2</v>
          </cell>
          <cell r="N16">
            <v>0</v>
          </cell>
          <cell r="O16">
            <v>0</v>
          </cell>
          <cell r="P16">
            <v>2</v>
          </cell>
        </row>
        <row r="17">
          <cell r="L17">
            <v>2015</v>
          </cell>
          <cell r="M17">
            <v>2</v>
          </cell>
          <cell r="N17">
            <v>0</v>
          </cell>
          <cell r="O17">
            <v>0</v>
          </cell>
          <cell r="P17">
            <v>2</v>
          </cell>
        </row>
        <row r="18">
          <cell r="L18">
            <v>2016</v>
          </cell>
          <cell r="M18">
            <v>2</v>
          </cell>
          <cell r="N18">
            <v>0</v>
          </cell>
          <cell r="O18">
            <v>0</v>
          </cell>
          <cell r="P18">
            <v>2</v>
          </cell>
        </row>
        <row r="19">
          <cell r="L19">
            <v>2017</v>
          </cell>
          <cell r="M19">
            <v>2</v>
          </cell>
          <cell r="N19">
            <v>0</v>
          </cell>
          <cell r="O19">
            <v>0</v>
          </cell>
          <cell r="P19">
            <v>2</v>
          </cell>
        </row>
        <row r="20">
          <cell r="L20">
            <v>2018</v>
          </cell>
          <cell r="M20">
            <v>2</v>
          </cell>
          <cell r="N20">
            <v>0</v>
          </cell>
          <cell r="O20">
            <v>0</v>
          </cell>
          <cell r="P20">
            <v>2</v>
          </cell>
        </row>
        <row r="21">
          <cell r="L21">
            <v>2019</v>
          </cell>
          <cell r="M21">
            <v>2</v>
          </cell>
          <cell r="N21">
            <v>0</v>
          </cell>
          <cell r="O21">
            <v>0</v>
          </cell>
          <cell r="P21">
            <v>2</v>
          </cell>
        </row>
        <row r="22">
          <cell r="L22">
            <v>2020</v>
          </cell>
          <cell r="M22">
            <v>2</v>
          </cell>
          <cell r="N22">
            <v>0</v>
          </cell>
          <cell r="O22">
            <v>0</v>
          </cell>
          <cell r="P22">
            <v>2</v>
          </cell>
        </row>
        <row r="23">
          <cell r="L23">
            <v>2021</v>
          </cell>
          <cell r="M23">
            <v>2</v>
          </cell>
          <cell r="N23">
            <v>0</v>
          </cell>
          <cell r="O23">
            <v>0</v>
          </cell>
          <cell r="P23">
            <v>2</v>
          </cell>
        </row>
        <row r="24">
          <cell r="L24">
            <v>2022</v>
          </cell>
          <cell r="M24">
            <v>2</v>
          </cell>
          <cell r="N24">
            <v>0</v>
          </cell>
          <cell r="O24">
            <v>0</v>
          </cell>
          <cell r="P24">
            <v>2</v>
          </cell>
        </row>
        <row r="25">
          <cell r="L25">
            <v>2023</v>
          </cell>
          <cell r="M25">
            <v>2</v>
          </cell>
          <cell r="N25">
            <v>0</v>
          </cell>
          <cell r="O25">
            <v>0</v>
          </cell>
          <cell r="P25">
            <v>2</v>
          </cell>
        </row>
        <row r="26">
          <cell r="L26">
            <v>2024</v>
          </cell>
          <cell r="M26">
            <v>2</v>
          </cell>
          <cell r="N26">
            <v>0</v>
          </cell>
          <cell r="O26">
            <v>0</v>
          </cell>
          <cell r="P26">
            <v>2</v>
          </cell>
        </row>
        <row r="27">
          <cell r="L27">
            <v>2025</v>
          </cell>
          <cell r="M27">
            <v>2</v>
          </cell>
          <cell r="N27">
            <v>0</v>
          </cell>
          <cell r="O27">
            <v>0</v>
          </cell>
          <cell r="P27">
            <v>2</v>
          </cell>
        </row>
        <row r="28">
          <cell r="L28">
            <v>2026</v>
          </cell>
          <cell r="M28">
            <v>2</v>
          </cell>
          <cell r="N28">
            <v>0</v>
          </cell>
          <cell r="O28">
            <v>0</v>
          </cell>
          <cell r="P28">
            <v>2</v>
          </cell>
        </row>
        <row r="29">
          <cell r="H29">
            <v>40</v>
          </cell>
          <cell r="L29">
            <v>2027</v>
          </cell>
          <cell r="M29">
            <v>2</v>
          </cell>
          <cell r="N29">
            <v>0</v>
          </cell>
          <cell r="O29">
            <v>0</v>
          </cell>
          <cell r="P29">
            <v>2</v>
          </cell>
        </row>
        <row r="30">
          <cell r="H30">
            <v>0.5</v>
          </cell>
          <cell r="L30">
            <v>2028</v>
          </cell>
          <cell r="M30">
            <v>2</v>
          </cell>
          <cell r="N30">
            <v>0</v>
          </cell>
          <cell r="O30">
            <v>0</v>
          </cell>
          <cell r="P30">
            <v>2</v>
          </cell>
        </row>
        <row r="31">
          <cell r="H31">
            <v>195</v>
          </cell>
          <cell r="L31">
            <v>2029</v>
          </cell>
          <cell r="M31">
            <v>2</v>
          </cell>
          <cell r="N31">
            <v>0</v>
          </cell>
          <cell r="O31">
            <v>0</v>
          </cell>
          <cell r="P31">
            <v>2</v>
          </cell>
        </row>
        <row r="32">
          <cell r="L32">
            <v>2030</v>
          </cell>
          <cell r="M32">
            <v>2</v>
          </cell>
          <cell r="N32">
            <v>0</v>
          </cell>
          <cell r="O32">
            <v>0</v>
          </cell>
          <cell r="P32">
            <v>2</v>
          </cell>
        </row>
        <row r="33">
          <cell r="L33">
            <v>2031</v>
          </cell>
          <cell r="M33">
            <v>2</v>
          </cell>
          <cell r="N33">
            <v>0</v>
          </cell>
          <cell r="O33">
            <v>0</v>
          </cell>
          <cell r="P33">
            <v>2</v>
          </cell>
        </row>
        <row r="34">
          <cell r="L34">
            <v>2032</v>
          </cell>
          <cell r="M34">
            <v>2</v>
          </cell>
          <cell r="N34">
            <v>0</v>
          </cell>
          <cell r="O34">
            <v>0</v>
          </cell>
          <cell r="P34">
            <v>2</v>
          </cell>
        </row>
        <row r="35">
          <cell r="H35">
            <v>0.02</v>
          </cell>
          <cell r="L35">
            <v>2033</v>
          </cell>
          <cell r="M35">
            <v>2</v>
          </cell>
          <cell r="N35">
            <v>0</v>
          </cell>
          <cell r="O35">
            <v>0</v>
          </cell>
          <cell r="P35">
            <v>2</v>
          </cell>
        </row>
        <row r="36">
          <cell r="H36">
            <v>2011</v>
          </cell>
        </row>
        <row r="47">
          <cell r="H47">
            <v>0</v>
          </cell>
        </row>
        <row r="49">
          <cell r="H49">
            <v>0</v>
          </cell>
        </row>
      </sheetData>
      <sheetData sheetId="6">
        <row r="4">
          <cell r="F4" t="str">
            <v>1980cable1</v>
          </cell>
          <cell r="G4" t="str">
            <v>2014cable2</v>
          </cell>
          <cell r="H4" t="str">
            <v>2020cable3</v>
          </cell>
          <cell r="I4" t="str">
            <v>2009diesel</v>
          </cell>
          <cell r="J4" t="str">
            <v>2011diesel</v>
          </cell>
          <cell r="K4" t="str">
            <v>2016diesel</v>
          </cell>
          <cell r="L4" t="str">
            <v>2028diesel</v>
          </cell>
          <cell r="M4" t="str">
            <v>2029diesel</v>
          </cell>
          <cell r="N4" t="str">
            <v>2031diesel</v>
          </cell>
          <cell r="O4" t="str">
            <v>2029diesel</v>
          </cell>
          <cell r="P4" t="str">
            <v>2031diesel</v>
          </cell>
          <cell r="Q4" t="str">
            <v>2010wind</v>
          </cell>
          <cell r="R4" t="str">
            <v>2030wind</v>
          </cell>
        </row>
        <row r="5">
          <cell r="Q5">
            <v>15</v>
          </cell>
          <cell r="R5">
            <v>30</v>
          </cell>
        </row>
        <row r="6">
          <cell r="F6">
            <v>45</v>
          </cell>
          <cell r="G6">
            <v>45</v>
          </cell>
          <cell r="H6">
            <v>100</v>
          </cell>
          <cell r="I6">
            <v>14</v>
          </cell>
          <cell r="J6">
            <v>28</v>
          </cell>
          <cell r="K6">
            <v>28</v>
          </cell>
          <cell r="L6">
            <v>28</v>
          </cell>
          <cell r="M6">
            <v>14</v>
          </cell>
          <cell r="N6">
            <v>56</v>
          </cell>
          <cell r="O6">
            <v>0</v>
          </cell>
          <cell r="P6">
            <v>0</v>
          </cell>
          <cell r="Q6">
            <v>0</v>
          </cell>
          <cell r="R6">
            <v>0</v>
          </cell>
        </row>
        <row r="7">
          <cell r="F7">
            <v>1980</v>
          </cell>
          <cell r="G7">
            <v>2014</v>
          </cell>
          <cell r="H7">
            <v>2020</v>
          </cell>
          <cell r="I7">
            <v>2009</v>
          </cell>
          <cell r="J7">
            <v>2011</v>
          </cell>
          <cell r="K7">
            <v>2016</v>
          </cell>
          <cell r="L7">
            <v>2028</v>
          </cell>
          <cell r="M7">
            <v>2029</v>
          </cell>
          <cell r="N7">
            <v>2031</v>
          </cell>
          <cell r="O7">
            <v>2029</v>
          </cell>
          <cell r="P7">
            <v>2031</v>
          </cell>
          <cell r="Q7">
            <v>2010</v>
          </cell>
          <cell r="R7">
            <v>2030</v>
          </cell>
        </row>
        <row r="8">
          <cell r="F8" t="str">
            <v>cable1</v>
          </cell>
          <cell r="G8" t="str">
            <v>cable2</v>
          </cell>
          <cell r="H8" t="str">
            <v>cable3</v>
          </cell>
          <cell r="I8" t="str">
            <v>diesel</v>
          </cell>
          <cell r="J8" t="str">
            <v>diesel</v>
          </cell>
          <cell r="K8" t="str">
            <v>diesel</v>
          </cell>
          <cell r="L8" t="str">
            <v>diesel</v>
          </cell>
          <cell r="M8" t="str">
            <v>diesel</v>
          </cell>
          <cell r="N8" t="str">
            <v>diesel</v>
          </cell>
          <cell r="O8" t="str">
            <v>diesel</v>
          </cell>
          <cell r="P8" t="str">
            <v>diesel</v>
          </cell>
          <cell r="Q8" t="str">
            <v>wind</v>
          </cell>
          <cell r="R8" t="str">
            <v>wind</v>
          </cell>
        </row>
        <row r="9">
          <cell r="F9">
            <v>22.5</v>
          </cell>
          <cell r="G9">
            <v>0</v>
          </cell>
          <cell r="H9">
            <v>48.3</v>
          </cell>
          <cell r="I9">
            <v>21</v>
          </cell>
          <cell r="J9">
            <v>42</v>
          </cell>
          <cell r="K9">
            <v>42</v>
          </cell>
          <cell r="L9">
            <v>42</v>
          </cell>
          <cell r="M9">
            <v>21</v>
          </cell>
          <cell r="N9">
            <v>84</v>
          </cell>
          <cell r="O9">
            <v>0</v>
          </cell>
          <cell r="P9">
            <v>0</v>
          </cell>
          <cell r="Q9">
            <v>0</v>
          </cell>
          <cell r="R9">
            <v>0</v>
          </cell>
        </row>
        <row r="10">
          <cell r="F10">
            <v>34</v>
          </cell>
          <cell r="G10">
            <v>6</v>
          </cell>
          <cell r="H10">
            <v>40</v>
          </cell>
          <cell r="I10">
            <v>20</v>
          </cell>
          <cell r="J10">
            <v>20</v>
          </cell>
          <cell r="K10">
            <v>20</v>
          </cell>
          <cell r="L10">
            <v>20</v>
          </cell>
          <cell r="M10">
            <v>20</v>
          </cell>
          <cell r="N10">
            <v>20</v>
          </cell>
          <cell r="O10">
            <v>20</v>
          </cell>
          <cell r="P10">
            <v>20</v>
          </cell>
          <cell r="Q10">
            <v>20</v>
          </cell>
          <cell r="R10">
            <v>20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Intro"/>
      <sheetName val="Summary"/>
      <sheetName val="Assumptions"/>
      <sheetName val="Dunga Tunguu-U"/>
      <sheetName val="Ndagoni"/>
      <sheetName val="Kambini"/>
      <sheetName val="Machui-U"/>
      <sheetName val="Mizingani"/>
      <sheetName val="Vitongoji"/>
      <sheetName val="Wanbaa"/>
      <sheetName val="Nungwi-U"/>
      <sheetName val="Matemwe-U"/>
      <sheetName val="Notes"/>
    </sheetNames>
    <sheetDataSet>
      <sheetData sheetId="2">
        <row r="5">
          <cell r="F5">
            <v>2007</v>
          </cell>
        </row>
        <row r="7">
          <cell r="F7">
            <v>1353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itle"/>
      <sheetName val="Results"/>
      <sheetName val="Assumptions"/>
      <sheetName val="Outages"/>
      <sheetName val="Cash Flow"/>
      <sheetName val="Taxation"/>
      <sheetName val="Debt Repay"/>
      <sheetName val="Drawdown"/>
      <sheetName val="Fin Calcs"/>
      <sheetName val="Escalation"/>
      <sheetName val="Work Area"/>
    </sheetNames>
    <sheetDataSet>
      <sheetData sheetId="2">
        <row r="125">
          <cell r="D125">
            <v>0.1122</v>
          </cell>
        </row>
        <row r="127">
          <cell r="D127">
            <v>10</v>
          </cell>
        </row>
        <row r="129">
          <cell r="D129">
            <v>0.3366</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Intro"/>
      <sheetName val="Summary"/>
      <sheetName val="Basics"/>
      <sheetName val="WTP"/>
      <sheetName val="Quality-Improvement"/>
      <sheetName val="LRMC"/>
      <sheetName val="social &amp; environmental benefits"/>
      <sheetName val="Induced Production"/>
      <sheetName val="Benefit Profile"/>
      <sheetName val="Kigoma"/>
      <sheetName val="Mbeya"/>
      <sheetName val="Morogoro"/>
      <sheetName val="Mwanza"/>
      <sheetName val="Tanga"/>
      <sheetName val="Zanzibar"/>
    </sheetNames>
    <sheetDataSet>
      <sheetData sheetId="2">
        <row r="8">
          <cell r="G8">
            <v>1300</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User's Guide"/>
      <sheetName val="CB_DATA_"/>
      <sheetName val="Activity Description"/>
      <sheetName val="ERR &amp; Sensitivity Analysis"/>
      <sheetName val="Summary"/>
      <sheetName val="Tanga"/>
      <sheetName val="Dodoma"/>
      <sheetName val="Morogoro"/>
      <sheetName val="Iringa"/>
      <sheetName val="Mwanza"/>
      <sheetName val="Mbeya"/>
      <sheetName val="Assumptions"/>
      <sheetName val="Tariffs"/>
      <sheetName val="WTP"/>
      <sheetName val="Quality improvement"/>
      <sheetName val="Social &amp; environmental"/>
      <sheetName val="notes"/>
      <sheetName val="ERR cal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vmlDrawing" Target="../drawings/vmlDrawing4.v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5.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3"/>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1"/>
  <dimension ref="B5:I42"/>
  <sheetViews>
    <sheetView showGridLines="0" zoomScale="75" zoomScaleNormal="75" zoomScaleSheetLayoutView="35" workbookViewId="0" topLeftCell="A1">
      <selection activeCell="A1" sqref="A1"/>
    </sheetView>
  </sheetViews>
  <sheetFormatPr defaultColWidth="9.140625" defaultRowHeight="12.75"/>
  <cols>
    <col min="1" max="1" width="5.7109375" style="49" customWidth="1"/>
    <col min="2" max="2" width="51.8515625" style="49" customWidth="1"/>
    <col min="3" max="3" width="117.57421875" style="49" customWidth="1"/>
    <col min="4" max="4" width="5.7109375" style="49" customWidth="1"/>
    <col min="5" max="5" width="23.8515625" style="49" customWidth="1"/>
    <col min="6" max="16384" width="9.140625" style="49" customWidth="1"/>
  </cols>
  <sheetData>
    <row r="5" spans="2:3" ht="20.25">
      <c r="B5" s="237" t="s">
        <v>104</v>
      </c>
      <c r="C5" s="237"/>
    </row>
    <row r="6" spans="2:3" ht="12.75">
      <c r="B6" s="248" t="s">
        <v>150</v>
      </c>
      <c r="C6" s="248"/>
    </row>
    <row r="7" spans="2:3" ht="12.75">
      <c r="B7" s="248"/>
      <c r="C7" s="248"/>
    </row>
    <row r="8" spans="2:3" ht="12.75">
      <c r="B8" s="248"/>
      <c r="C8" s="248"/>
    </row>
    <row r="9" spans="2:3" ht="20.25" customHeight="1">
      <c r="B9" s="248"/>
      <c r="C9" s="248"/>
    </row>
    <row r="10" spans="2:3" ht="12.75">
      <c r="B10" s="248"/>
      <c r="C10" s="248"/>
    </row>
    <row r="11" spans="2:3" ht="13.5" thickBot="1">
      <c r="B11" s="251" t="s">
        <v>177</v>
      </c>
      <c r="C11" s="251"/>
    </row>
    <row r="12" spans="2:3" ht="18.75" thickTop="1">
      <c r="B12" s="246" t="s">
        <v>110</v>
      </c>
      <c r="C12" s="119" t="s">
        <v>111</v>
      </c>
    </row>
    <row r="13" spans="2:3" ht="18.75" thickBot="1">
      <c r="B13" s="247"/>
      <c r="C13" s="120" t="s">
        <v>154</v>
      </c>
    </row>
    <row r="14" spans="2:3" ht="18.75" thickTop="1">
      <c r="B14" s="121" t="s">
        <v>112</v>
      </c>
      <c r="C14" s="122" t="s">
        <v>169</v>
      </c>
    </row>
    <row r="15" spans="2:3" ht="18">
      <c r="B15" s="123" t="s">
        <v>113</v>
      </c>
      <c r="C15" s="124" t="s">
        <v>152</v>
      </c>
    </row>
    <row r="16" spans="2:3" ht="76.5" customHeight="1">
      <c r="B16" s="121" t="s">
        <v>114</v>
      </c>
      <c r="C16" s="125" t="s">
        <v>181</v>
      </c>
    </row>
    <row r="17" spans="2:3" ht="36">
      <c r="B17" s="126" t="s">
        <v>115</v>
      </c>
      <c r="C17" s="127" t="s">
        <v>174</v>
      </c>
    </row>
    <row r="18" spans="2:3" ht="36">
      <c r="B18" s="128" t="s">
        <v>124</v>
      </c>
      <c r="C18" s="129" t="s">
        <v>175</v>
      </c>
    </row>
    <row r="19" spans="2:3" ht="18">
      <c r="B19" s="128" t="s">
        <v>116</v>
      </c>
      <c r="C19" s="129" t="s">
        <v>153</v>
      </c>
    </row>
    <row r="20" spans="2:3" ht="18.75" thickBot="1">
      <c r="B20" s="249" t="s">
        <v>117</v>
      </c>
      <c r="C20" s="250"/>
    </row>
    <row r="21" spans="2:3" ht="18">
      <c r="B21" s="240" t="s">
        <v>118</v>
      </c>
      <c r="C21" s="241"/>
    </row>
    <row r="22" spans="2:3" ht="15">
      <c r="B22" s="238" t="s">
        <v>119</v>
      </c>
      <c r="C22" s="239"/>
    </row>
    <row r="23" spans="2:3" ht="18">
      <c r="B23" s="242"/>
      <c r="C23" s="243"/>
    </row>
    <row r="24" spans="2:3" ht="18">
      <c r="B24" s="244" t="s">
        <v>120</v>
      </c>
      <c r="C24" s="245"/>
    </row>
    <row r="25" spans="2:3" ht="15">
      <c r="B25" s="238" t="s">
        <v>121</v>
      </c>
      <c r="C25" s="239"/>
    </row>
    <row r="26" spans="2:3" ht="15">
      <c r="B26" s="130"/>
      <c r="C26" s="131"/>
    </row>
    <row r="27" spans="2:3" ht="18">
      <c r="B27" s="244" t="s">
        <v>122</v>
      </c>
      <c r="C27" s="245"/>
    </row>
    <row r="28" spans="2:3" ht="15">
      <c r="B28" s="238" t="s">
        <v>121</v>
      </c>
      <c r="C28" s="239"/>
    </row>
    <row r="29" spans="2:3" ht="12.75" customHeight="1">
      <c r="B29" s="132"/>
      <c r="C29" s="133"/>
    </row>
    <row r="30" spans="2:3" ht="12.75" customHeight="1">
      <c r="B30" s="244" t="s">
        <v>161</v>
      </c>
      <c r="C30" s="245"/>
    </row>
    <row r="31" spans="2:3" ht="15">
      <c r="B31" s="238" t="s">
        <v>162</v>
      </c>
      <c r="C31" s="239"/>
    </row>
    <row r="32" spans="2:3" ht="12.75" customHeight="1">
      <c r="B32" s="132"/>
      <c r="C32" s="133"/>
    </row>
    <row r="33" spans="2:3" ht="18">
      <c r="B33" s="244" t="s">
        <v>163</v>
      </c>
      <c r="C33" s="245"/>
    </row>
    <row r="34" spans="2:3" ht="15">
      <c r="B34" s="238" t="s">
        <v>123</v>
      </c>
      <c r="C34" s="239"/>
    </row>
    <row r="35" spans="2:3" ht="12.75" customHeight="1">
      <c r="B35" s="132"/>
      <c r="C35" s="133"/>
    </row>
    <row r="36" spans="2:3" ht="18.75" customHeight="1">
      <c r="B36" s="244" t="s">
        <v>164</v>
      </c>
      <c r="C36" s="245"/>
    </row>
    <row r="37" spans="2:9" ht="12.75" customHeight="1">
      <c r="B37" s="238" t="s">
        <v>165</v>
      </c>
      <c r="C37" s="239"/>
      <c r="D37"/>
      <c r="E37"/>
      <c r="F37"/>
      <c r="G37"/>
      <c r="H37"/>
      <c r="I37"/>
    </row>
    <row r="38" spans="2:3" ht="12.75" customHeight="1">
      <c r="B38" s="132"/>
      <c r="C38" s="133"/>
    </row>
    <row r="39" spans="2:3" ht="15" customHeight="1">
      <c r="B39" s="244" t="s">
        <v>166</v>
      </c>
      <c r="C39" s="245"/>
    </row>
    <row r="40" spans="2:3" ht="15">
      <c r="B40" s="238" t="s">
        <v>167</v>
      </c>
      <c r="C40" s="239"/>
    </row>
    <row r="41" spans="2:3" ht="12.75" customHeight="1" thickBot="1">
      <c r="B41" s="134"/>
      <c r="C41" s="135"/>
    </row>
    <row r="42" ht="12.75" customHeight="1" thickTop="1">
      <c r="C42" s="136"/>
    </row>
    <row r="44" ht="12.75" customHeight="1"/>
    <row r="45" ht="15" customHeight="1"/>
    <row r="47" ht="12.75" customHeight="1"/>
    <row r="48" ht="15" customHeight="1"/>
    <row r="50" ht="12.75" customHeight="1"/>
    <row r="51" ht="15" customHeight="1"/>
    <row r="53" ht="12.75" customHeight="1"/>
    <row r="54" ht="15" customHeight="1"/>
    <row r="56" ht="12.75" customHeight="1"/>
    <row r="58" ht="12.75" customHeight="1"/>
    <row r="59" ht="12.75" customHeight="1"/>
  </sheetData>
  <sheetProtection formatCells="0" insertColumns="0" insertRows="0" insertHyperlinks="0" deleteColumns="0" deleteRows="0" sort="0" autoFilter="0" pivotTables="0"/>
  <mergeCells count="20">
    <mergeCell ref="B37:C37"/>
    <mergeCell ref="B36:C36"/>
    <mergeCell ref="B39:C39"/>
    <mergeCell ref="B40:C40"/>
    <mergeCell ref="B33:C33"/>
    <mergeCell ref="B34:C34"/>
    <mergeCell ref="B12:B13"/>
    <mergeCell ref="B6:C10"/>
    <mergeCell ref="B30:C30"/>
    <mergeCell ref="B31:C31"/>
    <mergeCell ref="B20:C20"/>
    <mergeCell ref="B11:C11"/>
    <mergeCell ref="B5:C5"/>
    <mergeCell ref="B28:C28"/>
    <mergeCell ref="B21:C21"/>
    <mergeCell ref="B22:C22"/>
    <mergeCell ref="B23:C23"/>
    <mergeCell ref="B27:C27"/>
    <mergeCell ref="B24:C24"/>
    <mergeCell ref="B25:C25"/>
  </mergeCells>
  <hyperlinks>
    <hyperlink ref="B27" location="'ERR &amp; Sensitivity Analysis'!A1" display="ERR &amp; Sensitivity Analysis"/>
    <hyperlink ref="B21" location="'Activity Description'!A1" display="Activity Description"/>
    <hyperlink ref="B27:C27" location="'ERR Calculation MCC'!A1" display="ERR Calculation MCC"/>
    <hyperlink ref="B24" location="'ERR &amp; Sensitivity Analysis'!A1" display="ERR &amp; Sensitivity Analysis"/>
    <hyperlink ref="B30:C30" location="'ERR Private bank loan funding'!A1" display="ERR Private Bank Loan Funding"/>
    <hyperlink ref="B33:C33" location="'Key Assumptions and Parameters'!A1" display="Key Assumptions and Parameters"/>
    <hyperlink ref="B36" location="'ERR GRN funding'!A1" display="ERR GRN Funding"/>
    <hyperlink ref="B39" location="'Model of Loan Fund'!A1" display="Model of Loan Fund"/>
  </hyperlinks>
  <printOptions horizontalCentered="1"/>
  <pageMargins left="0.25" right="0.25" top="1" bottom="1" header="0.5" footer="0.36"/>
  <pageSetup horizontalDpi="600" verticalDpi="600" orientation="portrait" scale="51" r:id="rId2"/>
  <headerFooter alignWithMargins="0">
    <oddHeader xml:space="preserve">&amp;L&amp;G&amp;R&amp;27&amp;A  &amp;10
  </oddHeader>
    <oddFooter>&amp;R&amp;P</oddFooter>
  </headerFooter>
  <legacyDrawingHF r:id="rId1"/>
</worksheet>
</file>

<file path=xl/worksheets/sheet3.xml><?xml version="1.0" encoding="utf-8"?>
<worksheet xmlns="http://schemas.openxmlformats.org/spreadsheetml/2006/main" xmlns:r="http://schemas.openxmlformats.org/officeDocument/2006/relationships">
  <sheetPr codeName="Sheet2"/>
  <dimension ref="A5:E45"/>
  <sheetViews>
    <sheetView showGridLines="0" tabSelected="1" zoomScale="70" zoomScaleNormal="70" zoomScaleSheetLayoutView="35" workbookViewId="0" topLeftCell="A1">
      <selection activeCell="B6" sqref="B6:C10"/>
    </sheetView>
  </sheetViews>
  <sheetFormatPr defaultColWidth="9.140625" defaultRowHeight="12.75"/>
  <cols>
    <col min="1" max="1" width="5.7109375" style="49" customWidth="1"/>
    <col min="2" max="2" width="30.00390625" style="49" customWidth="1"/>
    <col min="3" max="3" width="117.57421875" style="49" customWidth="1"/>
    <col min="4" max="4" width="5.7109375" style="49" customWidth="1"/>
    <col min="5" max="5" width="23.8515625" style="49" customWidth="1"/>
    <col min="6" max="16384" width="9.140625" style="49" customWidth="1"/>
  </cols>
  <sheetData>
    <row r="5" spans="2:3" ht="20.25">
      <c r="B5" s="237" t="s">
        <v>104</v>
      </c>
      <c r="C5" s="237"/>
    </row>
    <row r="6" spans="2:3" ht="12.75">
      <c r="B6" s="248" t="s">
        <v>150</v>
      </c>
      <c r="C6" s="248"/>
    </row>
    <row r="7" spans="2:3" ht="12.75">
      <c r="B7" s="248"/>
      <c r="C7" s="248"/>
    </row>
    <row r="8" spans="2:3" ht="12.75">
      <c r="B8" s="248"/>
      <c r="C8" s="248"/>
    </row>
    <row r="9" spans="2:3" ht="20.25" customHeight="1">
      <c r="B9" s="248"/>
      <c r="C9" s="248"/>
    </row>
    <row r="10" spans="2:3" ht="12.75">
      <c r="B10" s="248"/>
      <c r="C10" s="248"/>
    </row>
    <row r="11" spans="2:3" ht="12.75">
      <c r="B11" s="251" t="s">
        <v>177</v>
      </c>
      <c r="C11" s="251"/>
    </row>
    <row r="12" spans="1:5" ht="18">
      <c r="A12"/>
      <c r="B12" s="255" t="s">
        <v>125</v>
      </c>
      <c r="C12" s="255"/>
      <c r="D12"/>
      <c r="E12"/>
    </row>
    <row r="13" spans="1:5" ht="18">
      <c r="A13"/>
      <c r="B13" s="137"/>
      <c r="C13" s="137"/>
      <c r="D13"/>
      <c r="E13"/>
    </row>
    <row r="14" spans="1:5" ht="102" customHeight="1">
      <c r="A14"/>
      <c r="B14" s="257" t="s">
        <v>180</v>
      </c>
      <c r="C14" s="257"/>
      <c r="D14"/>
      <c r="E14"/>
    </row>
    <row r="15" spans="1:5" ht="18">
      <c r="A15"/>
      <c r="B15" s="138"/>
      <c r="C15" s="139"/>
      <c r="D15"/>
      <c r="E15"/>
    </row>
    <row r="16" spans="1:5" ht="18">
      <c r="A16"/>
      <c r="B16" s="256" t="s">
        <v>126</v>
      </c>
      <c r="C16" s="256"/>
      <c r="D16"/>
      <c r="E16"/>
    </row>
    <row r="17" spans="1:5" ht="18">
      <c r="A17"/>
      <c r="B17" s="200"/>
      <c r="C17" s="200"/>
      <c r="D17"/>
      <c r="E17"/>
    </row>
    <row r="18" spans="2:3" ht="12.75">
      <c r="B18" s="252" t="s">
        <v>156</v>
      </c>
      <c r="C18" s="252"/>
    </row>
    <row r="19" spans="2:3" ht="12.75">
      <c r="B19" s="252"/>
      <c r="C19" s="252"/>
    </row>
    <row r="20" spans="2:3" ht="12.75">
      <c r="B20" s="252"/>
      <c r="C20" s="252"/>
    </row>
    <row r="21" spans="2:3" ht="12.75">
      <c r="B21" s="252"/>
      <c r="C21" s="252"/>
    </row>
    <row r="22" spans="2:3" ht="12.75">
      <c r="B22" s="252"/>
      <c r="C22" s="252"/>
    </row>
    <row r="23" spans="2:3" ht="12.75">
      <c r="B23" s="252"/>
      <c r="C23" s="252"/>
    </row>
    <row r="24" spans="2:3" ht="12.75">
      <c r="B24" s="252"/>
      <c r="C24" s="252"/>
    </row>
    <row r="25" spans="2:3" ht="12.75">
      <c r="B25" s="252"/>
      <c r="C25" s="252"/>
    </row>
    <row r="26" spans="2:3" ht="12.75">
      <c r="B26" s="252"/>
      <c r="C26" s="252"/>
    </row>
    <row r="27" spans="2:3" ht="12.75">
      <c r="B27" s="252"/>
      <c r="C27" s="252"/>
    </row>
    <row r="28" spans="2:3" ht="20.25" customHeight="1">
      <c r="B28" s="252"/>
      <c r="C28" s="252"/>
    </row>
    <row r="29" ht="12.75"/>
    <row r="30" spans="2:3" ht="15.75" customHeight="1">
      <c r="B30" s="252" t="s">
        <v>171</v>
      </c>
      <c r="C30" s="252"/>
    </row>
    <row r="31" spans="2:3" ht="12.75" customHeight="1">
      <c r="B31" s="252"/>
      <c r="C31" s="252"/>
    </row>
    <row r="32" spans="2:3" ht="12.75" customHeight="1">
      <c r="B32" s="252"/>
      <c r="C32" s="252"/>
    </row>
    <row r="33" spans="2:3" ht="12.75" customHeight="1">
      <c r="B33" s="252"/>
      <c r="C33" s="252"/>
    </row>
    <row r="34" spans="2:3" ht="18" customHeight="1">
      <c r="B34" s="252"/>
      <c r="C34" s="252"/>
    </row>
    <row r="35" ht="12.75"/>
    <row r="36" spans="2:3" ht="25.5" customHeight="1">
      <c r="B36" s="253" t="s">
        <v>172</v>
      </c>
      <c r="C36" s="254"/>
    </row>
    <row r="37" spans="2:3" ht="15.75">
      <c r="B37" s="140"/>
      <c r="C37" s="140"/>
    </row>
    <row r="38" spans="2:3" ht="15.75">
      <c r="B38" s="140"/>
      <c r="C38" s="140"/>
    </row>
    <row r="39" spans="2:3" ht="15.75">
      <c r="B39" s="140"/>
      <c r="C39" s="140"/>
    </row>
    <row r="40" spans="2:3" ht="15.75">
      <c r="B40" s="140"/>
      <c r="C40" s="140"/>
    </row>
    <row r="41" spans="2:3" ht="15.75">
      <c r="B41" s="140"/>
      <c r="C41" s="140"/>
    </row>
    <row r="42" spans="2:3" ht="15.75">
      <c r="B42" s="140"/>
      <c r="C42" s="140"/>
    </row>
    <row r="43" spans="2:3" ht="15.75">
      <c r="B43" s="140"/>
      <c r="C43" s="140"/>
    </row>
    <row r="44" spans="2:3" ht="15.75">
      <c r="B44" s="140"/>
      <c r="C44" s="140"/>
    </row>
    <row r="45" spans="2:3" ht="15.75">
      <c r="B45" s="140"/>
      <c r="C45" s="140"/>
    </row>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customHeight="1"/>
    <row r="70" ht="12.75" customHeight="1"/>
    <row r="71" ht="12.75"/>
    <row r="72" ht="12.75"/>
    <row r="73" ht="12.75"/>
  </sheetData>
  <sheetProtection formatCells="0" insertColumns="0" insertRows="0" insertHyperlinks="0" deleteColumns="0" deleteRows="0" sort="0" autoFilter="0" pivotTables="0"/>
  <mergeCells count="9">
    <mergeCell ref="B18:C28"/>
    <mergeCell ref="B30:C34"/>
    <mergeCell ref="B36:C36"/>
    <mergeCell ref="B5:C5"/>
    <mergeCell ref="B6:C10"/>
    <mergeCell ref="B12:C12"/>
    <mergeCell ref="B16:C16"/>
    <mergeCell ref="B14:C14"/>
    <mergeCell ref="B11:C11"/>
  </mergeCells>
  <printOptions horizontalCentered="1"/>
  <pageMargins left="0.25" right="0.25" top="1" bottom="1" header="0.5" footer="0.36"/>
  <pageSetup horizontalDpi="600" verticalDpi="600" orientation="portrait" scale="51" r:id="rId2"/>
  <headerFooter alignWithMargins="0">
    <oddHeader xml:space="preserve">&amp;L&amp;G&amp;R&amp;27&amp;A  &amp;10
  </oddHeader>
    <oddFooter>&amp;R&amp;P</oddFooter>
  </headerFooter>
  <legacyDrawingHF r:id="rId1"/>
</worksheet>
</file>

<file path=xl/worksheets/sheet4.xml><?xml version="1.0" encoding="utf-8"?>
<worksheet xmlns="http://schemas.openxmlformats.org/spreadsheetml/2006/main" xmlns:r="http://schemas.openxmlformats.org/officeDocument/2006/relationships">
  <sheetPr codeName="Sheet19"/>
  <dimension ref="B6:K123"/>
  <sheetViews>
    <sheetView showGridLines="0" zoomScale="65" zoomScaleNormal="65" workbookViewId="0" topLeftCell="A1">
      <selection activeCell="A1" sqref="A1"/>
    </sheetView>
  </sheetViews>
  <sheetFormatPr defaultColWidth="9.140625" defaultRowHeight="12.75"/>
  <cols>
    <col min="1" max="1" width="5.7109375" style="141" customWidth="1"/>
    <col min="2" max="2" width="25.00390625" style="141" customWidth="1"/>
    <col min="3" max="3" width="55.57421875" style="49" customWidth="1"/>
    <col min="4" max="4" width="21.421875" style="141" customWidth="1"/>
    <col min="5" max="5" width="17.140625" style="142" customWidth="1"/>
    <col min="6" max="6" width="21.57421875" style="141" customWidth="1"/>
    <col min="7" max="7" width="18.28125" style="141" customWidth="1"/>
    <col min="8" max="8" width="5.7109375" style="141" customWidth="1"/>
    <col min="9" max="9" width="5.8515625" style="141" customWidth="1"/>
    <col min="10" max="10" width="12.8515625" style="141" bestFit="1" customWidth="1"/>
    <col min="11" max="11" width="5.7109375" style="141" customWidth="1"/>
    <col min="12" max="16384" width="9.140625" style="141" customWidth="1"/>
  </cols>
  <sheetData>
    <row r="1" ht="12.75"/>
    <row r="6" spans="2:7" ht="20.25" customHeight="1">
      <c r="B6" s="237" t="s">
        <v>104</v>
      </c>
      <c r="C6" s="237"/>
      <c r="D6" s="237"/>
      <c r="E6" s="237"/>
      <c r="F6" s="237"/>
      <c r="G6" s="237"/>
    </row>
    <row r="7" spans="2:7" ht="12.75">
      <c r="B7" s="248" t="s">
        <v>150</v>
      </c>
      <c r="C7" s="248"/>
      <c r="D7" s="248"/>
      <c r="E7" s="248"/>
      <c r="F7" s="248"/>
      <c r="G7" s="248"/>
    </row>
    <row r="8" spans="2:7" ht="12.75">
      <c r="B8" s="248"/>
      <c r="C8" s="248"/>
      <c r="D8" s="248"/>
      <c r="E8" s="248"/>
      <c r="F8" s="248"/>
      <c r="G8" s="248"/>
    </row>
    <row r="9" spans="2:7" ht="12.75">
      <c r="B9" s="248"/>
      <c r="C9" s="248"/>
      <c r="D9" s="248"/>
      <c r="E9" s="248"/>
      <c r="F9" s="248"/>
      <c r="G9" s="248"/>
    </row>
    <row r="10" spans="2:7" ht="12.75">
      <c r="B10" s="248"/>
      <c r="C10" s="248"/>
      <c r="D10" s="248"/>
      <c r="E10" s="248"/>
      <c r="F10" s="248"/>
      <c r="G10" s="248"/>
    </row>
    <row r="11" spans="2:7" ht="12.75">
      <c r="B11" s="248"/>
      <c r="C11" s="248"/>
      <c r="D11" s="248"/>
      <c r="E11" s="248"/>
      <c r="F11" s="248"/>
      <c r="G11" s="248"/>
    </row>
    <row r="12" spans="2:7" ht="12.75" customHeight="1">
      <c r="B12" s="251" t="s">
        <v>178</v>
      </c>
      <c r="C12" s="251"/>
      <c r="D12" s="251"/>
      <c r="E12" s="251"/>
      <c r="F12" s="251"/>
      <c r="G12" s="251"/>
    </row>
    <row r="13" ht="12.75"/>
    <row r="14" ht="12.75">
      <c r="F14" s="143"/>
    </row>
    <row r="15" spans="2:7" ht="18" customHeight="1">
      <c r="B15" s="275" t="s">
        <v>127</v>
      </c>
      <c r="C15" s="275"/>
      <c r="D15" s="275"/>
      <c r="E15" s="275"/>
      <c r="F15" s="275"/>
      <c r="G15" s="275" t="s">
        <v>128</v>
      </c>
    </row>
    <row r="16" ht="13.5" thickBot="1"/>
    <row r="17" spans="2:7" ht="13.5" thickTop="1">
      <c r="B17" s="144" t="s">
        <v>129</v>
      </c>
      <c r="C17" s="145"/>
      <c r="D17" s="146"/>
      <c r="E17" s="147"/>
      <c r="F17" s="146"/>
      <c r="G17" s="148"/>
    </row>
    <row r="18" spans="2:7" ht="12.75">
      <c r="B18" s="269" t="s">
        <v>155</v>
      </c>
      <c r="C18" s="270"/>
      <c r="D18" s="270"/>
      <c r="E18" s="270"/>
      <c r="F18" s="270"/>
      <c r="G18" s="271"/>
    </row>
    <row r="19" spans="2:7" ht="12.75">
      <c r="B19" s="269"/>
      <c r="C19" s="270"/>
      <c r="D19" s="270"/>
      <c r="E19" s="270"/>
      <c r="F19" s="270"/>
      <c r="G19" s="271"/>
    </row>
    <row r="20" spans="2:7" ht="13.5" thickBot="1">
      <c r="B20" s="272"/>
      <c r="C20" s="273"/>
      <c r="D20" s="273"/>
      <c r="E20" s="273"/>
      <c r="F20" s="273"/>
      <c r="G20" s="274"/>
    </row>
    <row r="21" ht="13.5" thickTop="1"/>
    <row r="22" spans="2:7" ht="39" customHeight="1">
      <c r="B22" s="149"/>
      <c r="C22" s="150" t="s">
        <v>130</v>
      </c>
      <c r="D22" s="151" t="str">
        <f>IF(D26=E26,IF(D27=E27,"Y","N"),"N")</f>
        <v>Y</v>
      </c>
      <c r="E22" s="152" t="str">
        <f>IF(E30=G30,IF(E31=G31,"Y","N"),"N")</f>
        <v>Y</v>
      </c>
      <c r="F22" s="149"/>
      <c r="G22" s="149"/>
    </row>
    <row r="23" spans="2:7" ht="12.75" customHeight="1">
      <c r="B23" s="149"/>
      <c r="C23" s="153"/>
      <c r="D23" s="149"/>
      <c r="E23" s="149"/>
      <c r="F23" s="149"/>
      <c r="G23" s="149"/>
    </row>
    <row r="24" spans="2:7" ht="18">
      <c r="B24" s="264" t="s">
        <v>131</v>
      </c>
      <c r="C24" s="234" t="s">
        <v>132</v>
      </c>
      <c r="D24" s="235" t="s">
        <v>133</v>
      </c>
      <c r="E24" s="236"/>
      <c r="F24" s="236"/>
      <c r="G24" s="233"/>
    </row>
    <row r="25" spans="2:9" ht="54.75" thickBot="1">
      <c r="B25" s="265"/>
      <c r="C25" s="266"/>
      <c r="D25" s="154" t="s">
        <v>134</v>
      </c>
      <c r="E25" s="155" t="s">
        <v>135</v>
      </c>
      <c r="F25" s="155" t="s">
        <v>136</v>
      </c>
      <c r="G25" s="155" t="s">
        <v>137</v>
      </c>
      <c r="I25" s="149"/>
    </row>
    <row r="26" spans="2:10" ht="36">
      <c r="B26" s="156" t="s">
        <v>138</v>
      </c>
      <c r="C26" s="157" t="s">
        <v>139</v>
      </c>
      <c r="D26" s="158">
        <v>1</v>
      </c>
      <c r="E26" s="159">
        <v>1</v>
      </c>
      <c r="F26" s="160" t="s">
        <v>140</v>
      </c>
      <c r="G26" s="161">
        <f>D26</f>
        <v>1</v>
      </c>
      <c r="I26" s="267" t="s">
        <v>141</v>
      </c>
      <c r="J26" s="268"/>
    </row>
    <row r="27" spans="2:10" ht="36">
      <c r="B27" s="162" t="s">
        <v>138</v>
      </c>
      <c r="C27" s="163" t="s">
        <v>142</v>
      </c>
      <c r="D27" s="164">
        <v>1</v>
      </c>
      <c r="E27" s="165">
        <v>1</v>
      </c>
      <c r="F27" s="166" t="s">
        <v>140</v>
      </c>
      <c r="G27" s="167">
        <f>D27</f>
        <v>1</v>
      </c>
      <c r="I27" s="259" t="s">
        <v>118</v>
      </c>
      <c r="J27" s="260"/>
    </row>
    <row r="28" spans="2:10" ht="18">
      <c r="B28" s="168"/>
      <c r="C28" s="169"/>
      <c r="D28" s="170"/>
      <c r="E28" s="171"/>
      <c r="F28" s="171"/>
      <c r="G28" s="172"/>
      <c r="I28" s="261" t="s">
        <v>143</v>
      </c>
      <c r="J28" s="262"/>
    </row>
    <row r="29" spans="2:9" s="175" customFormat="1" ht="36">
      <c r="B29" s="228" t="s">
        <v>144</v>
      </c>
      <c r="C29" s="173" t="s">
        <v>159</v>
      </c>
      <c r="D29" s="227">
        <v>44000</v>
      </c>
      <c r="E29" s="198">
        <v>44000</v>
      </c>
      <c r="F29" s="174" t="s">
        <v>160</v>
      </c>
      <c r="G29" s="231">
        <f>IF(D22="Y",D29,E29)</f>
        <v>44000</v>
      </c>
      <c r="I29" s="176"/>
    </row>
    <row r="30" spans="2:9" s="175" customFormat="1" ht="18">
      <c r="B30" s="225" t="s">
        <v>144</v>
      </c>
      <c r="C30" s="229" t="s">
        <v>176</v>
      </c>
      <c r="D30" s="230">
        <v>10500</v>
      </c>
      <c r="E30" s="226">
        <v>10500</v>
      </c>
      <c r="F30" s="159" t="s">
        <v>148</v>
      </c>
      <c r="G30" s="232">
        <f>IF(D22="Y",D30,E30)</f>
        <v>10500</v>
      </c>
      <c r="I30" s="176"/>
    </row>
    <row r="31" spans="2:10" s="175" customFormat="1" ht="27" customHeight="1">
      <c r="B31" s="177" t="s">
        <v>144</v>
      </c>
      <c r="C31" s="16" t="s">
        <v>21</v>
      </c>
      <c r="D31" s="164">
        <v>0.19</v>
      </c>
      <c r="E31" s="165">
        <v>0.19</v>
      </c>
      <c r="F31" s="199" t="s">
        <v>149</v>
      </c>
      <c r="G31" s="178">
        <f>IF(D22="Y",D31,E31)</f>
        <v>0.19</v>
      </c>
      <c r="I31" s="176"/>
      <c r="J31" s="197"/>
    </row>
    <row r="32" spans="2:8" ht="20.25">
      <c r="B32" s="179"/>
      <c r="C32" s="180"/>
      <c r="D32" s="179"/>
      <c r="F32"/>
      <c r="G32"/>
      <c r="H32"/>
    </row>
    <row r="33" spans="2:8" s="181" customFormat="1" ht="18">
      <c r="B33" s="263">
        <f>IF($D$22="N","NOTE: Current calculations are based on USER INPUT and are not the original MCC estimates.",IF($E$22="N","NOTE: Current calculations are based on USER INPUT and are not the original MCC estimates.",""))</f>
      </c>
      <c r="C33" s="263"/>
      <c r="D33" s="263"/>
      <c r="E33" s="263"/>
      <c r="F33" s="263"/>
      <c r="G33" s="263"/>
      <c r="H33" s="84"/>
    </row>
    <row r="34" spans="2:8" ht="20.25">
      <c r="B34" s="182"/>
      <c r="C34" s="182"/>
      <c r="D34" s="182"/>
      <c r="E34" s="182"/>
      <c r="F34" s="183"/>
      <c r="G34" s="182"/>
      <c r="H34"/>
    </row>
    <row r="35" spans="2:7" ht="18">
      <c r="B35" s="184"/>
      <c r="C35" s="185" t="s">
        <v>168</v>
      </c>
      <c r="D35" s="186">
        <f>'ERR Private Bank Loan Funding'!C39</f>
        <v>0.21077240105407133</v>
      </c>
      <c r="E35"/>
      <c r="F35"/>
      <c r="G35"/>
    </row>
    <row r="36" spans="3:7" ht="12.75">
      <c r="C36" s="187"/>
      <c r="D36" s="188"/>
      <c r="E36"/>
      <c r="F36"/>
      <c r="G36"/>
    </row>
    <row r="37" spans="3:11" ht="18">
      <c r="C37" s="185" t="s">
        <v>145</v>
      </c>
      <c r="D37" s="189">
        <v>0.211</v>
      </c>
      <c r="E37"/>
      <c r="F37"/>
      <c r="G37"/>
      <c r="K37" s="141" t="s">
        <v>146</v>
      </c>
    </row>
    <row r="38" spans="3:4" ht="12.75">
      <c r="C38" s="187"/>
      <c r="D38" s="190" t="s">
        <v>146</v>
      </c>
    </row>
    <row r="123" spans="2:7" ht="27" customHeight="1">
      <c r="B123" s="258" t="s">
        <v>170</v>
      </c>
      <c r="C123" s="258"/>
      <c r="D123" s="258"/>
      <c r="E123" s="258"/>
      <c r="F123" s="258"/>
      <c r="G123" s="258"/>
    </row>
  </sheetData>
  <mergeCells count="13">
    <mergeCell ref="B18:G20"/>
    <mergeCell ref="B6:G6"/>
    <mergeCell ref="B7:G11"/>
    <mergeCell ref="B12:G12"/>
    <mergeCell ref="B15:G15"/>
    <mergeCell ref="B24:B25"/>
    <mergeCell ref="D24:G24"/>
    <mergeCell ref="C24:C25"/>
    <mergeCell ref="I26:J26"/>
    <mergeCell ref="B123:G123"/>
    <mergeCell ref="I27:J27"/>
    <mergeCell ref="I28:J28"/>
    <mergeCell ref="B33:G33"/>
  </mergeCells>
  <hyperlinks>
    <hyperlink ref="I27" location="'Activity Description'!A1" display="   Activity Description"/>
    <hyperlink ref="I28" location="'User''s Guide'!A1" display="User's Guide"/>
  </hyperlinks>
  <printOptions horizontalCentered="1"/>
  <pageMargins left="0.25" right="0.25" top="1" bottom="1" header="0.5" footer="0.36"/>
  <pageSetup horizontalDpi="600" verticalDpi="600" orientation="portrait" scale="36" r:id="rId4"/>
  <headerFooter alignWithMargins="0">
    <oddHeader xml:space="preserve">&amp;L&amp;G&amp;R&amp;27&amp;A  &amp;10
  </oddHeader>
    <oddFooter>&amp;R&amp;P</oddFooter>
  </headerFooter>
  <drawing r:id="rId2"/>
  <legacyDrawing r:id="rId1"/>
  <legacyDrawingHF r:id="rId3"/>
</worksheet>
</file>

<file path=xl/worksheets/sheet5.xml><?xml version="1.0" encoding="utf-8"?>
<worksheet xmlns="http://schemas.openxmlformats.org/spreadsheetml/2006/main" xmlns:r="http://schemas.openxmlformats.org/officeDocument/2006/relationships">
  <sheetPr codeName="Sheet4">
    <pageSetUpPr fitToPage="1"/>
  </sheetPr>
  <dimension ref="B2:Y103"/>
  <sheetViews>
    <sheetView showGridLines="0" zoomScale="60" zoomScaleNormal="60" workbookViewId="0" topLeftCell="A1">
      <selection activeCell="A1" sqref="A1"/>
    </sheetView>
  </sheetViews>
  <sheetFormatPr defaultColWidth="9.140625" defaultRowHeight="12.75"/>
  <cols>
    <col min="1" max="1" width="5.7109375" style="50" customWidth="1"/>
    <col min="2" max="2" width="55.00390625" style="52" customWidth="1"/>
    <col min="3" max="3" width="20.57421875" style="55" bestFit="1" customWidth="1"/>
    <col min="4" max="4" width="10.8515625" style="50" bestFit="1" customWidth="1"/>
    <col min="5" max="5" width="20.57421875" style="50" bestFit="1" customWidth="1"/>
    <col min="6" max="24" width="18.28125" style="50" bestFit="1" customWidth="1"/>
    <col min="25" max="16384" width="9.140625" style="50" customWidth="1"/>
  </cols>
  <sheetData>
    <row r="1" ht="18"/>
    <row r="2" spans="2:24" ht="18" customHeight="1">
      <c r="B2" s="277" t="s">
        <v>104</v>
      </c>
      <c r="C2" s="277"/>
      <c r="D2" s="277"/>
      <c r="E2" s="277"/>
      <c r="F2" s="277"/>
      <c r="G2" s="277"/>
      <c r="H2" s="277"/>
      <c r="I2" s="277"/>
      <c r="J2" s="277"/>
      <c r="K2" s="277"/>
      <c r="L2" s="277"/>
      <c r="M2" s="277"/>
      <c r="N2" s="277"/>
      <c r="O2" s="277"/>
      <c r="P2" s="277"/>
      <c r="Q2" s="277"/>
      <c r="R2" s="277"/>
      <c r="S2" s="277"/>
      <c r="T2" s="277"/>
      <c r="U2" s="277"/>
      <c r="V2" s="277"/>
      <c r="W2" s="277"/>
      <c r="X2" s="277"/>
    </row>
    <row r="3" spans="2:24" ht="18" customHeight="1">
      <c r="B3" s="278" t="s">
        <v>150</v>
      </c>
      <c r="C3" s="278"/>
      <c r="D3" s="278"/>
      <c r="E3" s="278"/>
      <c r="F3" s="278"/>
      <c r="G3" s="278"/>
      <c r="H3" s="278"/>
      <c r="I3" s="278"/>
      <c r="J3" s="278"/>
      <c r="K3" s="278"/>
      <c r="L3" s="278"/>
      <c r="M3" s="278"/>
      <c r="N3" s="278"/>
      <c r="O3" s="278"/>
      <c r="P3" s="278"/>
      <c r="Q3" s="278"/>
      <c r="R3" s="278"/>
      <c r="S3" s="278"/>
      <c r="T3" s="278"/>
      <c r="U3" s="278"/>
      <c r="V3" s="278"/>
      <c r="W3" s="278"/>
      <c r="X3" s="278"/>
    </row>
    <row r="4" spans="2:24" ht="18" customHeight="1">
      <c r="B4" s="278"/>
      <c r="C4" s="278"/>
      <c r="D4" s="278"/>
      <c r="E4" s="278"/>
      <c r="F4" s="278"/>
      <c r="G4" s="278"/>
      <c r="H4" s="278"/>
      <c r="I4" s="278"/>
      <c r="J4" s="278"/>
      <c r="K4" s="278"/>
      <c r="L4" s="278"/>
      <c r="M4" s="278"/>
      <c r="N4" s="278"/>
      <c r="O4" s="278"/>
      <c r="P4" s="278"/>
      <c r="Q4" s="278"/>
      <c r="R4" s="278"/>
      <c r="S4" s="278"/>
      <c r="T4" s="278"/>
      <c r="U4" s="278"/>
      <c r="V4" s="278"/>
      <c r="W4" s="278"/>
      <c r="X4" s="278"/>
    </row>
    <row r="5" spans="2:24" ht="18" customHeight="1">
      <c r="B5" s="278"/>
      <c r="C5" s="278"/>
      <c r="D5" s="278"/>
      <c r="E5" s="278"/>
      <c r="F5" s="278"/>
      <c r="G5" s="278"/>
      <c r="H5" s="278"/>
      <c r="I5" s="278"/>
      <c r="J5" s="278"/>
      <c r="K5" s="278"/>
      <c r="L5" s="278"/>
      <c r="M5" s="278"/>
      <c r="N5" s="278"/>
      <c r="O5" s="278"/>
      <c r="P5" s="278"/>
      <c r="Q5" s="278"/>
      <c r="R5" s="278"/>
      <c r="S5" s="278"/>
      <c r="T5" s="278"/>
      <c r="U5" s="278"/>
      <c r="V5" s="278"/>
      <c r="W5" s="278"/>
      <c r="X5" s="278"/>
    </row>
    <row r="6" spans="2:24" ht="18" customHeight="1">
      <c r="B6" s="278"/>
      <c r="C6" s="278"/>
      <c r="D6" s="278"/>
      <c r="E6" s="278"/>
      <c r="F6" s="278"/>
      <c r="G6" s="278"/>
      <c r="H6" s="278"/>
      <c r="I6" s="278"/>
      <c r="J6" s="278"/>
      <c r="K6" s="278"/>
      <c r="L6" s="278"/>
      <c r="M6" s="278"/>
      <c r="N6" s="278"/>
      <c r="O6" s="278"/>
      <c r="P6" s="278"/>
      <c r="Q6" s="278"/>
      <c r="R6" s="278"/>
      <c r="S6" s="278"/>
      <c r="T6" s="278"/>
      <c r="U6" s="278"/>
      <c r="V6" s="278"/>
      <c r="W6" s="278"/>
      <c r="X6" s="278"/>
    </row>
    <row r="7" spans="2:24" ht="18" customHeight="1">
      <c r="B7" s="278"/>
      <c r="C7" s="278"/>
      <c r="D7" s="278"/>
      <c r="E7" s="278"/>
      <c r="F7" s="278"/>
      <c r="G7" s="278"/>
      <c r="H7" s="278"/>
      <c r="I7" s="278"/>
      <c r="J7" s="278"/>
      <c r="K7" s="278"/>
      <c r="L7" s="278"/>
      <c r="M7" s="278"/>
      <c r="N7" s="278"/>
      <c r="O7" s="278"/>
      <c r="P7" s="278"/>
      <c r="Q7" s="278"/>
      <c r="R7" s="278"/>
      <c r="S7" s="278"/>
      <c r="T7" s="278"/>
      <c r="U7" s="278"/>
      <c r="V7" s="278"/>
      <c r="W7" s="278"/>
      <c r="X7" s="278"/>
    </row>
    <row r="8" spans="2:25" ht="18">
      <c r="B8" s="277" t="s">
        <v>177</v>
      </c>
      <c r="C8" s="277"/>
      <c r="D8" s="277"/>
      <c r="E8" s="277"/>
      <c r="F8" s="277"/>
      <c r="G8" s="277"/>
      <c r="H8" s="277"/>
      <c r="I8" s="277"/>
      <c r="J8" s="277"/>
      <c r="K8" s="277"/>
      <c r="L8" s="277"/>
      <c r="M8" s="277"/>
      <c r="N8" s="277"/>
      <c r="O8" s="277"/>
      <c r="P8" s="277"/>
      <c r="Q8" s="277"/>
      <c r="R8" s="277"/>
      <c r="S8" s="277"/>
      <c r="T8" s="277"/>
      <c r="U8" s="277"/>
      <c r="V8" s="277"/>
      <c r="W8" s="277"/>
      <c r="X8" s="277"/>
      <c r="Y8" s="277"/>
    </row>
    <row r="9" spans="2:25" ht="18.75">
      <c r="B9" s="53"/>
      <c r="C9" s="54"/>
      <c r="D9" s="279"/>
      <c r="E9" s="279"/>
      <c r="F9" s="279"/>
      <c r="G9" s="279"/>
      <c r="H9" s="279"/>
      <c r="I9" s="279"/>
      <c r="J9" s="279"/>
      <c r="K9" s="279"/>
      <c r="L9" s="279"/>
      <c r="M9" s="51"/>
      <c r="N9" s="51"/>
      <c r="O9" s="51"/>
      <c r="P9" s="51"/>
      <c r="Q9" s="51"/>
      <c r="R9" s="51"/>
      <c r="S9" s="51"/>
      <c r="T9" s="51"/>
      <c r="U9" s="51"/>
      <c r="V9" s="51"/>
      <c r="W9" s="51"/>
      <c r="X9" s="51"/>
      <c r="Y9" s="51"/>
    </row>
    <row r="10" spans="2:25" ht="18.75">
      <c r="B10" s="53"/>
      <c r="C10" s="54"/>
      <c r="D10" s="276"/>
      <c r="E10" s="276"/>
      <c r="F10" s="276"/>
      <c r="G10" s="276"/>
      <c r="H10" s="276"/>
      <c r="I10" s="276"/>
      <c r="J10" s="276"/>
      <c r="K10" s="51"/>
      <c r="L10" s="51"/>
      <c r="M10" s="51"/>
      <c r="N10" s="51"/>
      <c r="O10" s="51"/>
      <c r="P10" s="51"/>
      <c r="Q10" s="51"/>
      <c r="R10" s="51"/>
      <c r="S10" s="51"/>
      <c r="T10" s="51"/>
      <c r="U10" s="51"/>
      <c r="V10" s="51"/>
      <c r="W10" s="51"/>
      <c r="X10" s="51"/>
      <c r="Y10" s="51"/>
    </row>
    <row r="11" spans="2:25" s="202" customFormat="1" ht="18">
      <c r="B11" s="86"/>
      <c r="C11" s="89"/>
      <c r="D11" s="87" t="s">
        <v>0</v>
      </c>
      <c r="E11" s="87">
        <v>1</v>
      </c>
      <c r="F11" s="87">
        <v>2</v>
      </c>
      <c r="G11" s="87">
        <v>3</v>
      </c>
      <c r="H11" s="87">
        <v>4</v>
      </c>
      <c r="I11" s="87">
        <v>5</v>
      </c>
      <c r="J11" s="87">
        <v>6</v>
      </c>
      <c r="K11" s="87">
        <v>7</v>
      </c>
      <c r="L11" s="87">
        <v>8</v>
      </c>
      <c r="M11" s="87">
        <v>9</v>
      </c>
      <c r="N11" s="87">
        <v>10</v>
      </c>
      <c r="O11" s="87">
        <v>11</v>
      </c>
      <c r="P11" s="87">
        <v>12</v>
      </c>
      <c r="Q11" s="87">
        <v>13</v>
      </c>
      <c r="R11" s="87">
        <v>14</v>
      </c>
      <c r="S11" s="87">
        <v>15</v>
      </c>
      <c r="T11" s="87">
        <v>16</v>
      </c>
      <c r="U11" s="87">
        <v>17</v>
      </c>
      <c r="V11" s="87">
        <v>18</v>
      </c>
      <c r="W11" s="87">
        <v>19</v>
      </c>
      <c r="X11" s="90">
        <v>20</v>
      </c>
      <c r="Y11" s="201"/>
    </row>
    <row r="12" spans="2:24" s="202" customFormat="1" ht="18">
      <c r="B12" s="86" t="s">
        <v>1</v>
      </c>
      <c r="C12" s="203"/>
      <c r="D12" s="204"/>
      <c r="E12" s="204"/>
      <c r="F12" s="204"/>
      <c r="G12" s="204"/>
      <c r="H12" s="204"/>
      <c r="I12" s="204"/>
      <c r="J12" s="204"/>
      <c r="K12" s="204"/>
      <c r="L12" s="204"/>
      <c r="M12" s="204"/>
      <c r="N12" s="204"/>
      <c r="O12" s="204"/>
      <c r="P12" s="204"/>
      <c r="Q12" s="204"/>
      <c r="R12" s="204"/>
      <c r="S12" s="204"/>
      <c r="T12" s="204"/>
      <c r="U12" s="204"/>
      <c r="V12" s="204"/>
      <c r="W12" s="204"/>
      <c r="X12" s="205"/>
    </row>
    <row r="13" spans="2:24" s="202" customFormat="1" ht="58.5" customHeight="1">
      <c r="B13" s="96" t="s">
        <v>106</v>
      </c>
      <c r="C13" s="99" t="s">
        <v>173</v>
      </c>
      <c r="D13" s="97"/>
      <c r="E13" s="104">
        <f>119.77*1000000/5</f>
        <v>23954000</v>
      </c>
      <c r="F13" s="104">
        <f>119.77*1000000/5*0.9</f>
        <v>21558600</v>
      </c>
      <c r="G13" s="104">
        <f>119.77*1000000/5*0.8</f>
        <v>19163200</v>
      </c>
      <c r="H13" s="104">
        <f>119.77*1000000/5*0.7</f>
        <v>16767799.999999998</v>
      </c>
      <c r="I13" s="104">
        <f>119.77*1000000/5*0.6</f>
        <v>14372400</v>
      </c>
      <c r="J13" s="104">
        <f>119.77*1000000/5*0.5</f>
        <v>11977000</v>
      </c>
      <c r="K13" s="104">
        <f>119.77*1000000/5*0.4</f>
        <v>9581600</v>
      </c>
      <c r="L13" s="104">
        <f>119.77*1000000/5*0.3</f>
        <v>7186200</v>
      </c>
      <c r="M13" s="104">
        <f>119.77*1000000/5*0.2</f>
        <v>4790800</v>
      </c>
      <c r="N13" s="104">
        <f>119.77*1000000/5*0.1</f>
        <v>2395400</v>
      </c>
      <c r="O13" s="104">
        <v>0</v>
      </c>
      <c r="P13" s="104">
        <v>0</v>
      </c>
      <c r="Q13" s="104">
        <v>0</v>
      </c>
      <c r="R13" s="104">
        <v>0</v>
      </c>
      <c r="S13" s="104">
        <v>0</v>
      </c>
      <c r="T13" s="104">
        <v>0</v>
      </c>
      <c r="U13" s="104">
        <v>0</v>
      </c>
      <c r="V13" s="104">
        <v>0</v>
      </c>
      <c r="W13" s="104">
        <v>0</v>
      </c>
      <c r="X13" s="206">
        <v>0</v>
      </c>
    </row>
    <row r="14" spans="2:24" s="202" customFormat="1" ht="24" customHeight="1">
      <c r="B14" s="96" t="s">
        <v>105</v>
      </c>
      <c r="C14" s="100">
        <f>NPV(0.1,E13:N13)</f>
        <v>92353039.54995</v>
      </c>
      <c r="D14" s="97"/>
      <c r="E14" s="104"/>
      <c r="F14" s="104"/>
      <c r="G14" s="104"/>
      <c r="H14" s="104"/>
      <c r="I14" s="104"/>
      <c r="J14" s="104"/>
      <c r="K14" s="104"/>
      <c r="L14" s="104"/>
      <c r="M14" s="104"/>
      <c r="N14" s="104"/>
      <c r="O14" s="104"/>
      <c r="P14" s="104"/>
      <c r="Q14" s="104"/>
      <c r="R14" s="104"/>
      <c r="S14" s="104"/>
      <c r="T14" s="104"/>
      <c r="U14" s="104"/>
      <c r="V14" s="104"/>
      <c r="W14" s="104"/>
      <c r="X14" s="206"/>
    </row>
    <row r="15" spans="2:24" s="202" customFormat="1" ht="36">
      <c r="B15" s="103" t="s">
        <v>54</v>
      </c>
      <c r="C15" s="105"/>
      <c r="D15" s="104">
        <f>SUM(E15:X15)</f>
        <v>12547.33333333333</v>
      </c>
      <c r="E15" s="104">
        <f>+E13/'Key Assumptions and Parameters'!$C$32</f>
        <v>2281.3333333333335</v>
      </c>
      <c r="F15" s="104">
        <f>+F13/'Key Assumptions and Parameters'!$C$32</f>
        <v>2053.2</v>
      </c>
      <c r="G15" s="104">
        <f>+G13/'Key Assumptions and Parameters'!$C$32</f>
        <v>1825.0666666666666</v>
      </c>
      <c r="H15" s="104">
        <f>+H13/'Key Assumptions and Parameters'!$C$32</f>
        <v>1596.9333333333332</v>
      </c>
      <c r="I15" s="104">
        <f>+I13/'Key Assumptions and Parameters'!$C$32</f>
        <v>1368.8</v>
      </c>
      <c r="J15" s="104">
        <f>+J13/'Key Assumptions and Parameters'!$C$32</f>
        <v>1140.6666666666667</v>
      </c>
      <c r="K15" s="104">
        <f>+K13/'Key Assumptions and Parameters'!$C$32</f>
        <v>912.5333333333333</v>
      </c>
      <c r="L15" s="104">
        <f>+L13/'Key Assumptions and Parameters'!$C$32</f>
        <v>684.4</v>
      </c>
      <c r="M15" s="104">
        <f>+M13/'Key Assumptions and Parameters'!$C$32</f>
        <v>456.26666666666665</v>
      </c>
      <c r="N15" s="104">
        <f>+N13/'Key Assumptions and Parameters'!$C$32</f>
        <v>228.13333333333333</v>
      </c>
      <c r="O15" s="104">
        <f>+O13/'Key Assumptions and Parameters'!$C$32</f>
        <v>0</v>
      </c>
      <c r="P15" s="104">
        <f>+P13/'Key Assumptions and Parameters'!$C$32</f>
        <v>0</v>
      </c>
      <c r="Q15" s="104">
        <f>+Q13/'Key Assumptions and Parameters'!$C$32</f>
        <v>0</v>
      </c>
      <c r="R15" s="104">
        <f>+R13/'Key Assumptions and Parameters'!$C$32</f>
        <v>0</v>
      </c>
      <c r="S15" s="104">
        <f>+S13/'Key Assumptions and Parameters'!$C$32</f>
        <v>0</v>
      </c>
      <c r="T15" s="104">
        <f>+T13/'Key Assumptions and Parameters'!$C$32</f>
        <v>0</v>
      </c>
      <c r="U15" s="104">
        <f>+U13/'Key Assumptions and Parameters'!$C$32</f>
        <v>0</v>
      </c>
      <c r="V15" s="104">
        <f>+V13/'Key Assumptions and Parameters'!$C$32</f>
        <v>0</v>
      </c>
      <c r="W15" s="104">
        <f>+W13/'Key Assumptions and Parameters'!$C$32</f>
        <v>0</v>
      </c>
      <c r="X15" s="206">
        <f>+X13/'Key Assumptions and Parameters'!$C$32</f>
        <v>0</v>
      </c>
    </row>
    <row r="16" spans="2:24" s="202" customFormat="1" ht="36">
      <c r="B16" s="103" t="s">
        <v>53</v>
      </c>
      <c r="C16" s="98">
        <f>+E20-E15</f>
        <v>12718.666666666666</v>
      </c>
      <c r="D16" s="106"/>
      <c r="E16" s="106"/>
      <c r="F16" s="104"/>
      <c r="G16" s="104"/>
      <c r="H16" s="104"/>
      <c r="I16" s="104"/>
      <c r="J16" s="104"/>
      <c r="K16" s="104"/>
      <c r="L16" s="104"/>
      <c r="M16" s="104"/>
      <c r="N16" s="104"/>
      <c r="O16" s="104"/>
      <c r="P16" s="104"/>
      <c r="Q16" s="104"/>
      <c r="R16" s="104"/>
      <c r="S16" s="104"/>
      <c r="T16" s="104"/>
      <c r="U16" s="104"/>
      <c r="V16" s="104"/>
      <c r="W16" s="104"/>
      <c r="X16" s="206"/>
    </row>
    <row r="17" spans="2:24" s="202" customFormat="1" ht="54">
      <c r="B17" s="103" t="s">
        <v>107</v>
      </c>
      <c r="C17" s="105"/>
      <c r="D17" s="104">
        <f>SUM(E17:X17)</f>
        <v>309030.14734916814</v>
      </c>
      <c r="E17" s="104">
        <f>+C16</f>
        <v>12718.666666666666</v>
      </c>
      <c r="F17" s="104">
        <f>+$C$16*(1.02)</f>
        <v>12973.039999999999</v>
      </c>
      <c r="G17" s="104">
        <f>+F17*(1.02)</f>
        <v>13232.5008</v>
      </c>
      <c r="H17" s="104">
        <f aca="true" t="shared" si="0" ref="H17:X17">+G17*(1.02)</f>
        <v>13497.150816</v>
      </c>
      <c r="I17" s="104">
        <f t="shared" si="0"/>
        <v>13767.093832319999</v>
      </c>
      <c r="J17" s="104">
        <f t="shared" si="0"/>
        <v>14042.435708966399</v>
      </c>
      <c r="K17" s="104">
        <f t="shared" si="0"/>
        <v>14323.284423145727</v>
      </c>
      <c r="L17" s="104">
        <f t="shared" si="0"/>
        <v>14609.750111608642</v>
      </c>
      <c r="M17" s="104">
        <f t="shared" si="0"/>
        <v>14901.945113840815</v>
      </c>
      <c r="N17" s="104">
        <f t="shared" si="0"/>
        <v>15199.98401611763</v>
      </c>
      <c r="O17" s="104">
        <f t="shared" si="0"/>
        <v>15503.983696439984</v>
      </c>
      <c r="P17" s="104">
        <f t="shared" si="0"/>
        <v>15814.063370368784</v>
      </c>
      <c r="Q17" s="104">
        <f t="shared" si="0"/>
        <v>16130.34463777616</v>
      </c>
      <c r="R17" s="104">
        <f t="shared" si="0"/>
        <v>16452.95153053168</v>
      </c>
      <c r="S17" s="104">
        <f t="shared" si="0"/>
        <v>16782.010561142317</v>
      </c>
      <c r="T17" s="104">
        <f t="shared" si="0"/>
        <v>17117.650772365163</v>
      </c>
      <c r="U17" s="104">
        <f t="shared" si="0"/>
        <v>17460.003787812468</v>
      </c>
      <c r="V17" s="104">
        <f t="shared" si="0"/>
        <v>17809.203863568717</v>
      </c>
      <c r="W17" s="104">
        <f t="shared" si="0"/>
        <v>18165.38794084009</v>
      </c>
      <c r="X17" s="206">
        <f t="shared" si="0"/>
        <v>18528.69569965689</v>
      </c>
    </row>
    <row r="18" spans="2:24" s="202" customFormat="1" ht="21" customHeight="1">
      <c r="B18" s="103" t="s">
        <v>48</v>
      </c>
      <c r="C18" s="105"/>
      <c r="D18" s="104">
        <f>SUM(E18:X18)</f>
        <v>6273.666666666665</v>
      </c>
      <c r="E18" s="104">
        <f>+E15*0.5</f>
        <v>1140.6666666666667</v>
      </c>
      <c r="F18" s="104">
        <f aca="true" t="shared" si="1" ref="F18:X18">+F15*0.5</f>
        <v>1026.6</v>
      </c>
      <c r="G18" s="104">
        <f t="shared" si="1"/>
        <v>912.5333333333333</v>
      </c>
      <c r="H18" s="104">
        <f t="shared" si="1"/>
        <v>798.4666666666666</v>
      </c>
      <c r="I18" s="104">
        <f t="shared" si="1"/>
        <v>684.4</v>
      </c>
      <c r="J18" s="104">
        <f t="shared" si="1"/>
        <v>570.3333333333334</v>
      </c>
      <c r="K18" s="104">
        <f t="shared" si="1"/>
        <v>456.26666666666665</v>
      </c>
      <c r="L18" s="104">
        <f t="shared" si="1"/>
        <v>342.2</v>
      </c>
      <c r="M18" s="104">
        <f t="shared" si="1"/>
        <v>228.13333333333333</v>
      </c>
      <c r="N18" s="104">
        <f t="shared" si="1"/>
        <v>114.06666666666666</v>
      </c>
      <c r="O18" s="104">
        <f t="shared" si="1"/>
        <v>0</v>
      </c>
      <c r="P18" s="104">
        <f t="shared" si="1"/>
        <v>0</v>
      </c>
      <c r="Q18" s="104">
        <f t="shared" si="1"/>
        <v>0</v>
      </c>
      <c r="R18" s="104">
        <f t="shared" si="1"/>
        <v>0</v>
      </c>
      <c r="S18" s="104">
        <f t="shared" si="1"/>
        <v>0</v>
      </c>
      <c r="T18" s="104">
        <f t="shared" si="1"/>
        <v>0</v>
      </c>
      <c r="U18" s="104">
        <f t="shared" si="1"/>
        <v>0</v>
      </c>
      <c r="V18" s="104">
        <f t="shared" si="1"/>
        <v>0</v>
      </c>
      <c r="W18" s="104">
        <f t="shared" si="1"/>
        <v>0</v>
      </c>
      <c r="X18" s="206">
        <f t="shared" si="1"/>
        <v>0</v>
      </c>
    </row>
    <row r="19" spans="2:24" s="202" customFormat="1" ht="18">
      <c r="B19" s="103" t="s">
        <v>55</v>
      </c>
      <c r="C19" s="105"/>
      <c r="D19" s="106"/>
      <c r="E19" s="104">
        <f>+E18+E17</f>
        <v>13859.333333333332</v>
      </c>
      <c r="F19" s="104">
        <f aca="true" t="shared" si="2" ref="F19:X19">+F18+F17</f>
        <v>13999.64</v>
      </c>
      <c r="G19" s="104">
        <f t="shared" si="2"/>
        <v>14145.034133333333</v>
      </c>
      <c r="H19" s="104">
        <f t="shared" si="2"/>
        <v>14295.617482666667</v>
      </c>
      <c r="I19" s="104">
        <f t="shared" si="2"/>
        <v>14451.493832319999</v>
      </c>
      <c r="J19" s="104">
        <f t="shared" si="2"/>
        <v>14612.769042299733</v>
      </c>
      <c r="K19" s="104">
        <f t="shared" si="2"/>
        <v>14779.551089812394</v>
      </c>
      <c r="L19" s="104">
        <f t="shared" si="2"/>
        <v>14951.950111608643</v>
      </c>
      <c r="M19" s="104">
        <f t="shared" si="2"/>
        <v>15130.078447174148</v>
      </c>
      <c r="N19" s="104">
        <f t="shared" si="2"/>
        <v>15314.050682784298</v>
      </c>
      <c r="O19" s="104">
        <f t="shared" si="2"/>
        <v>15503.983696439984</v>
      </c>
      <c r="P19" s="104">
        <f t="shared" si="2"/>
        <v>15814.063370368784</v>
      </c>
      <c r="Q19" s="104">
        <f t="shared" si="2"/>
        <v>16130.34463777616</v>
      </c>
      <c r="R19" s="104">
        <f t="shared" si="2"/>
        <v>16452.95153053168</v>
      </c>
      <c r="S19" s="104">
        <f t="shared" si="2"/>
        <v>16782.010561142317</v>
      </c>
      <c r="T19" s="104">
        <f t="shared" si="2"/>
        <v>17117.650772365163</v>
      </c>
      <c r="U19" s="104">
        <f t="shared" si="2"/>
        <v>17460.003787812468</v>
      </c>
      <c r="V19" s="104">
        <f t="shared" si="2"/>
        <v>17809.203863568717</v>
      </c>
      <c r="W19" s="104">
        <f t="shared" si="2"/>
        <v>18165.38794084009</v>
      </c>
      <c r="X19" s="206">
        <f t="shared" si="2"/>
        <v>18528.69569965689</v>
      </c>
    </row>
    <row r="20" spans="2:24" s="202" customFormat="1" ht="36">
      <c r="B20" s="103" t="s">
        <v>50</v>
      </c>
      <c r="C20" s="105"/>
      <c r="D20" s="106"/>
      <c r="E20" s="104">
        <f>15000</f>
        <v>15000</v>
      </c>
      <c r="F20" s="104">
        <f>15000</f>
        <v>15000</v>
      </c>
      <c r="G20" s="104">
        <f>15000</f>
        <v>15000</v>
      </c>
      <c r="H20" s="104">
        <f>15000</f>
        <v>15000</v>
      </c>
      <c r="I20" s="104">
        <f>15000</f>
        <v>15000</v>
      </c>
      <c r="J20" s="104">
        <f>15000</f>
        <v>15000</v>
      </c>
      <c r="K20" s="104">
        <f>15000</f>
        <v>15000</v>
      </c>
      <c r="L20" s="104">
        <f>15000</f>
        <v>15000</v>
      </c>
      <c r="M20" s="104">
        <f>15000</f>
        <v>15000</v>
      </c>
      <c r="N20" s="104">
        <f>15000</f>
        <v>15000</v>
      </c>
      <c r="O20" s="104">
        <f>15000</f>
        <v>15000</v>
      </c>
      <c r="P20" s="104">
        <f>15000</f>
        <v>15000</v>
      </c>
      <c r="Q20" s="104">
        <f>15000</f>
        <v>15000</v>
      </c>
      <c r="R20" s="104">
        <f>15000</f>
        <v>15000</v>
      </c>
      <c r="S20" s="104">
        <f>15000</f>
        <v>15000</v>
      </c>
      <c r="T20" s="104">
        <f>15000</f>
        <v>15000</v>
      </c>
      <c r="U20" s="104">
        <f>15000</f>
        <v>15000</v>
      </c>
      <c r="V20" s="104">
        <f>15000</f>
        <v>15000</v>
      </c>
      <c r="W20" s="104">
        <f>15000</f>
        <v>15000</v>
      </c>
      <c r="X20" s="206">
        <f>15000</f>
        <v>15000</v>
      </c>
    </row>
    <row r="21" spans="2:24" s="202" customFormat="1" ht="36">
      <c r="B21" s="103" t="s">
        <v>30</v>
      </c>
      <c r="C21" s="105"/>
      <c r="D21" s="106"/>
      <c r="E21" s="104">
        <f>+MAX(0,+E19-E20)</f>
        <v>0</v>
      </c>
      <c r="F21" s="104">
        <f aca="true" t="shared" si="3" ref="F21:X21">+MAX(0,+F19-F20)</f>
        <v>0</v>
      </c>
      <c r="G21" s="104">
        <f t="shared" si="3"/>
        <v>0</v>
      </c>
      <c r="H21" s="104">
        <f t="shared" si="3"/>
        <v>0</v>
      </c>
      <c r="I21" s="104">
        <f t="shared" si="3"/>
        <v>0</v>
      </c>
      <c r="J21" s="104">
        <f t="shared" si="3"/>
        <v>0</v>
      </c>
      <c r="K21" s="104">
        <f t="shared" si="3"/>
        <v>0</v>
      </c>
      <c r="L21" s="104">
        <f t="shared" si="3"/>
        <v>0</v>
      </c>
      <c r="M21" s="104">
        <f t="shared" si="3"/>
        <v>130.0784471741481</v>
      </c>
      <c r="N21" s="104">
        <f t="shared" si="3"/>
        <v>314.05068278429826</v>
      </c>
      <c r="O21" s="104">
        <f t="shared" si="3"/>
        <v>503.98369643998376</v>
      </c>
      <c r="P21" s="104">
        <f t="shared" si="3"/>
        <v>814.0633703687836</v>
      </c>
      <c r="Q21" s="104">
        <f t="shared" si="3"/>
        <v>1130.3446377761593</v>
      </c>
      <c r="R21" s="104">
        <f t="shared" si="3"/>
        <v>1452.9515305316818</v>
      </c>
      <c r="S21" s="104">
        <f t="shared" si="3"/>
        <v>1782.0105611423169</v>
      </c>
      <c r="T21" s="104">
        <f t="shared" si="3"/>
        <v>2117.650772365163</v>
      </c>
      <c r="U21" s="104">
        <f t="shared" si="3"/>
        <v>2460.0037878124676</v>
      </c>
      <c r="V21" s="104">
        <f t="shared" si="3"/>
        <v>2809.2038635687168</v>
      </c>
      <c r="W21" s="104">
        <f t="shared" si="3"/>
        <v>3165.38794084009</v>
      </c>
      <c r="X21" s="206">
        <f t="shared" si="3"/>
        <v>3528.6956996568915</v>
      </c>
    </row>
    <row r="22" spans="2:24" s="202" customFormat="1" ht="18">
      <c r="B22" s="103" t="s">
        <v>22</v>
      </c>
      <c r="C22" s="105"/>
      <c r="D22" s="106"/>
      <c r="E22" s="104">
        <f>+E20*'Key Assumptions and Parameters'!$C$57</f>
        <v>2850</v>
      </c>
      <c r="F22" s="104">
        <f>+F20*'Key Assumptions and Parameters'!$C$57</f>
        <v>2850</v>
      </c>
      <c r="G22" s="104">
        <f>+G20*'Key Assumptions and Parameters'!$C$57</f>
        <v>2850</v>
      </c>
      <c r="H22" s="104">
        <f>+H20*'Key Assumptions and Parameters'!$C$57</f>
        <v>2850</v>
      </c>
      <c r="I22" s="104">
        <f>+I20*'Key Assumptions and Parameters'!$C$57</f>
        <v>2850</v>
      </c>
      <c r="J22" s="104">
        <f>+J20*'Key Assumptions and Parameters'!$C$57</f>
        <v>2850</v>
      </c>
      <c r="K22" s="104">
        <f>+K20*'Key Assumptions and Parameters'!$C$57</f>
        <v>2850</v>
      </c>
      <c r="L22" s="104">
        <f>+L20*'Key Assumptions and Parameters'!$C$57</f>
        <v>2850</v>
      </c>
      <c r="M22" s="104">
        <f>+M20*'Key Assumptions and Parameters'!$C$57</f>
        <v>2850</v>
      </c>
      <c r="N22" s="104">
        <f>+N20*'Key Assumptions and Parameters'!$C$57</f>
        <v>2850</v>
      </c>
      <c r="O22" s="104">
        <f>+O20*'Key Assumptions and Parameters'!$C$57</f>
        <v>2850</v>
      </c>
      <c r="P22" s="104">
        <f>+P20*'Key Assumptions and Parameters'!$C$57</f>
        <v>2850</v>
      </c>
      <c r="Q22" s="104">
        <f>+Q20*'Key Assumptions and Parameters'!$C$57</f>
        <v>2850</v>
      </c>
      <c r="R22" s="104">
        <f>+R20*'Key Assumptions and Parameters'!$C$57</f>
        <v>2850</v>
      </c>
      <c r="S22" s="104">
        <f>+S20*'Key Assumptions and Parameters'!$C$57</f>
        <v>2850</v>
      </c>
      <c r="T22" s="104">
        <f>+T20*'Key Assumptions and Parameters'!$C$57</f>
        <v>2850</v>
      </c>
      <c r="U22" s="104">
        <f>+U20*'Key Assumptions and Parameters'!$C$57</f>
        <v>2850</v>
      </c>
      <c r="V22" s="104">
        <f>+V20*'Key Assumptions and Parameters'!$C$57</f>
        <v>2850</v>
      </c>
      <c r="W22" s="104">
        <f>+W20*'Key Assumptions and Parameters'!$C$57</f>
        <v>2850</v>
      </c>
      <c r="X22" s="206">
        <f>+X20*'Key Assumptions and Parameters'!$C$57</f>
        <v>2850</v>
      </c>
    </row>
    <row r="23" spans="2:24" s="202" customFormat="1" ht="18">
      <c r="B23" s="103" t="s">
        <v>23</v>
      </c>
      <c r="C23" s="105"/>
      <c r="D23" s="106"/>
      <c r="E23" s="104">
        <f>+E20*'Key Assumptions and Parameters'!$E$18</f>
        <v>1217751160.6208017</v>
      </c>
      <c r="F23" s="104">
        <f>+F20*'Key Assumptions and Parameters'!$E$18</f>
        <v>1217751160.6208017</v>
      </c>
      <c r="G23" s="104">
        <f>+G20*'Key Assumptions and Parameters'!$E$18</f>
        <v>1217751160.6208017</v>
      </c>
      <c r="H23" s="104">
        <f>+H20*'Key Assumptions and Parameters'!$E$18</f>
        <v>1217751160.6208017</v>
      </c>
      <c r="I23" s="104">
        <f>+I20*'Key Assumptions and Parameters'!$E$18</f>
        <v>1217751160.6208017</v>
      </c>
      <c r="J23" s="104">
        <f>+J20*'Key Assumptions and Parameters'!$E$18</f>
        <v>1217751160.6208017</v>
      </c>
      <c r="K23" s="104">
        <f>+K20*'Key Assumptions and Parameters'!$E$18</f>
        <v>1217751160.6208017</v>
      </c>
      <c r="L23" s="104">
        <f>+L20*'Key Assumptions and Parameters'!$E$18</f>
        <v>1217751160.6208017</v>
      </c>
      <c r="M23" s="104">
        <f>+M20*'Key Assumptions and Parameters'!$E$18</f>
        <v>1217751160.6208017</v>
      </c>
      <c r="N23" s="104">
        <f>+N20*'Key Assumptions and Parameters'!$E$18</f>
        <v>1217751160.6208017</v>
      </c>
      <c r="O23" s="104">
        <f>+O20*'Key Assumptions and Parameters'!$E$18</f>
        <v>1217751160.6208017</v>
      </c>
      <c r="P23" s="104">
        <f>+P20*'Key Assumptions and Parameters'!$E$18</f>
        <v>1217751160.6208017</v>
      </c>
      <c r="Q23" s="104">
        <f>+Q20*'Key Assumptions and Parameters'!$E$18</f>
        <v>1217751160.6208017</v>
      </c>
      <c r="R23" s="104">
        <f>+R20*'Key Assumptions and Parameters'!$E$18</f>
        <v>1217751160.6208017</v>
      </c>
      <c r="S23" s="104">
        <f>+S20*'Key Assumptions and Parameters'!$E$18</f>
        <v>1217751160.6208017</v>
      </c>
      <c r="T23" s="104">
        <f>+T20*'Key Assumptions and Parameters'!$E$18</f>
        <v>1217751160.6208017</v>
      </c>
      <c r="U23" s="104">
        <f>+U20*'Key Assumptions and Parameters'!$E$18</f>
        <v>1217751160.6208017</v>
      </c>
      <c r="V23" s="104">
        <f>+V20*'Key Assumptions and Parameters'!$E$18</f>
        <v>1217751160.6208017</v>
      </c>
      <c r="W23" s="104">
        <f>+W20*'Key Assumptions and Parameters'!$E$18</f>
        <v>1217751160.6208017</v>
      </c>
      <c r="X23" s="206">
        <f>+X20*'Key Assumptions and Parameters'!$E$18</f>
        <v>1217751160.6208017</v>
      </c>
    </row>
    <row r="24" spans="2:24" s="202" customFormat="1" ht="18">
      <c r="B24" s="103" t="s">
        <v>24</v>
      </c>
      <c r="C24" s="105"/>
      <c r="D24" s="106"/>
      <c r="E24" s="104">
        <f>+E22*'Key Assumptions and Parameters'!$C$14</f>
        <v>1188668249.2366686</v>
      </c>
      <c r="F24" s="104">
        <f>+F22*'Key Assumptions and Parameters'!$C$14</f>
        <v>1188668249.2366686</v>
      </c>
      <c r="G24" s="104">
        <f>+G22*'Key Assumptions and Parameters'!$C$14</f>
        <v>1188668249.2366686</v>
      </c>
      <c r="H24" s="104">
        <f>+H22*'Key Assumptions and Parameters'!$C$14</f>
        <v>1188668249.2366686</v>
      </c>
      <c r="I24" s="104">
        <f>+I22*'Key Assumptions and Parameters'!$C$14</f>
        <v>1188668249.2366686</v>
      </c>
      <c r="J24" s="104">
        <f>+J22*'Key Assumptions and Parameters'!$C$14</f>
        <v>1188668249.2366686</v>
      </c>
      <c r="K24" s="104">
        <f>+K22*'Key Assumptions and Parameters'!$C$14</f>
        <v>1188668249.2366686</v>
      </c>
      <c r="L24" s="104">
        <f>+L22*'Key Assumptions and Parameters'!$C$14</f>
        <v>1188668249.2366686</v>
      </c>
      <c r="M24" s="104">
        <f>+M22*'Key Assumptions and Parameters'!$C$14</f>
        <v>1188668249.2366686</v>
      </c>
      <c r="N24" s="104">
        <f>+N22*'Key Assumptions and Parameters'!$C$14</f>
        <v>1188668249.2366686</v>
      </c>
      <c r="O24" s="104">
        <f>+O22*'Key Assumptions and Parameters'!$C$14</f>
        <v>1188668249.2366686</v>
      </c>
      <c r="P24" s="104">
        <f>+P22*'Key Assumptions and Parameters'!$C$14</f>
        <v>1188668249.2366686</v>
      </c>
      <c r="Q24" s="104">
        <f>+Q22*'Key Assumptions and Parameters'!$C$14</f>
        <v>1188668249.2366686</v>
      </c>
      <c r="R24" s="104">
        <f>+R22*'Key Assumptions and Parameters'!$C$14</f>
        <v>1188668249.2366686</v>
      </c>
      <c r="S24" s="104">
        <f>+S22*'Key Assumptions and Parameters'!$C$14</f>
        <v>1188668249.2366686</v>
      </c>
      <c r="T24" s="104">
        <f>+T22*'Key Assumptions and Parameters'!$C$14</f>
        <v>1188668249.2366686</v>
      </c>
      <c r="U24" s="104">
        <f>+U22*'Key Assumptions and Parameters'!$C$14</f>
        <v>1188668249.2366686</v>
      </c>
      <c r="V24" s="104">
        <f>+V22*'Key Assumptions and Parameters'!$C$14</f>
        <v>1188668249.2366686</v>
      </c>
      <c r="W24" s="104">
        <f>+W22*'Key Assumptions and Parameters'!$C$14</f>
        <v>1188668249.2366686</v>
      </c>
      <c r="X24" s="206">
        <f>+X22*'Key Assumptions and Parameters'!$C$14</f>
        <v>1188668249.2366686</v>
      </c>
    </row>
    <row r="25" spans="2:24" s="202" customFormat="1" ht="18">
      <c r="B25" s="103" t="s">
        <v>25</v>
      </c>
      <c r="C25" s="105"/>
      <c r="D25" s="106"/>
      <c r="E25" s="104">
        <f>+E24-E23</f>
        <v>-29082911.3841331</v>
      </c>
      <c r="F25" s="104">
        <f aca="true" t="shared" si="4" ref="F25:X25">+F24-F23</f>
        <v>-29082911.3841331</v>
      </c>
      <c r="G25" s="104">
        <f t="shared" si="4"/>
        <v>-29082911.3841331</v>
      </c>
      <c r="H25" s="104">
        <f t="shared" si="4"/>
        <v>-29082911.3841331</v>
      </c>
      <c r="I25" s="104">
        <f t="shared" si="4"/>
        <v>-29082911.3841331</v>
      </c>
      <c r="J25" s="104">
        <f t="shared" si="4"/>
        <v>-29082911.3841331</v>
      </c>
      <c r="K25" s="104">
        <f t="shared" si="4"/>
        <v>-29082911.3841331</v>
      </c>
      <c r="L25" s="104">
        <f t="shared" si="4"/>
        <v>-29082911.3841331</v>
      </c>
      <c r="M25" s="104">
        <f t="shared" si="4"/>
        <v>-29082911.3841331</v>
      </c>
      <c r="N25" s="104">
        <f t="shared" si="4"/>
        <v>-29082911.3841331</v>
      </c>
      <c r="O25" s="104">
        <f t="shared" si="4"/>
        <v>-29082911.3841331</v>
      </c>
      <c r="P25" s="104">
        <f t="shared" si="4"/>
        <v>-29082911.3841331</v>
      </c>
      <c r="Q25" s="104">
        <f t="shared" si="4"/>
        <v>-29082911.3841331</v>
      </c>
      <c r="R25" s="104">
        <f t="shared" si="4"/>
        <v>-29082911.3841331</v>
      </c>
      <c r="S25" s="104">
        <f t="shared" si="4"/>
        <v>-29082911.3841331</v>
      </c>
      <c r="T25" s="104">
        <f t="shared" si="4"/>
        <v>-29082911.3841331</v>
      </c>
      <c r="U25" s="104">
        <f t="shared" si="4"/>
        <v>-29082911.3841331</v>
      </c>
      <c r="V25" s="104">
        <f t="shared" si="4"/>
        <v>-29082911.3841331</v>
      </c>
      <c r="W25" s="104">
        <f t="shared" si="4"/>
        <v>-29082911.3841331</v>
      </c>
      <c r="X25" s="206">
        <f t="shared" si="4"/>
        <v>-29082911.3841331</v>
      </c>
    </row>
    <row r="26" spans="2:24" s="202" customFormat="1" ht="18">
      <c r="B26" s="86" t="s">
        <v>26</v>
      </c>
      <c r="C26" s="203"/>
      <c r="D26" s="204"/>
      <c r="E26" s="207"/>
      <c r="F26" s="207"/>
      <c r="G26" s="207"/>
      <c r="H26" s="207"/>
      <c r="I26" s="207"/>
      <c r="J26" s="207"/>
      <c r="K26" s="207"/>
      <c r="L26" s="207"/>
      <c r="M26" s="207"/>
      <c r="N26" s="207"/>
      <c r="O26" s="207"/>
      <c r="P26" s="207"/>
      <c r="Q26" s="207"/>
      <c r="R26" s="207"/>
      <c r="S26" s="207"/>
      <c r="T26" s="207"/>
      <c r="U26" s="207"/>
      <c r="V26" s="207"/>
      <c r="W26" s="207"/>
      <c r="X26" s="208"/>
    </row>
    <row r="27" spans="2:24" s="202" customFormat="1" ht="35.25" customHeight="1">
      <c r="B27" s="96" t="s">
        <v>108</v>
      </c>
      <c r="C27" s="99"/>
      <c r="D27" s="104">
        <f>SUM(E27:X27)</f>
        <v>48050.938739857345</v>
      </c>
      <c r="E27" s="104">
        <f>+E15</f>
        <v>2281.3333333333335</v>
      </c>
      <c r="F27" s="104">
        <f>+F15</f>
        <v>2053.2</v>
      </c>
      <c r="G27" s="104">
        <f>+G15</f>
        <v>1825.0666666666666</v>
      </c>
      <c r="H27" s="104">
        <f>+'Model of Loan Fund'!D27</f>
        <v>2464.1963964621955</v>
      </c>
      <c r="I27" s="104">
        <f>+'Model of Loan Fund'!E27</f>
        <v>2464.1963964621955</v>
      </c>
      <c r="J27" s="104">
        <f>+'Model of Loan Fund'!F27</f>
        <v>2464.1963964621955</v>
      </c>
      <c r="K27" s="104">
        <f>+'Model of Loan Fund'!G27</f>
        <v>2464.1963964621955</v>
      </c>
      <c r="L27" s="104">
        <f>+'Model of Loan Fund'!H27</f>
        <v>2464.1963964621955</v>
      </c>
      <c r="M27" s="104">
        <f>+'Model of Loan Fund'!I27</f>
        <v>2464.1963964621955</v>
      </c>
      <c r="N27" s="104">
        <f>+'Model of Loan Fund'!J27</f>
        <v>2464.1963964621955</v>
      </c>
      <c r="O27" s="104">
        <f>+'Model of Loan Fund'!K27</f>
        <v>2464.1963964621955</v>
      </c>
      <c r="P27" s="104">
        <f>+'Model of Loan Fund'!L27</f>
        <v>2464.1963964621955</v>
      </c>
      <c r="Q27" s="104">
        <f>+'Model of Loan Fund'!M27</f>
        <v>2464.1963964621955</v>
      </c>
      <c r="R27" s="104">
        <f>+'Model of Loan Fund'!N27</f>
        <v>2464.1963964621955</v>
      </c>
      <c r="S27" s="104">
        <f>+'Model of Loan Fund'!O27</f>
        <v>2464.1963964621955</v>
      </c>
      <c r="T27" s="104">
        <f>+'Model of Loan Fund'!P27</f>
        <v>2464.1963964621955</v>
      </c>
      <c r="U27" s="104">
        <f>+'Model of Loan Fund'!Q27</f>
        <v>2464.1963964621955</v>
      </c>
      <c r="V27" s="104">
        <f>+'Model of Loan Fund'!R27</f>
        <v>2464.1963964621955</v>
      </c>
      <c r="W27" s="104">
        <f>+'Model of Loan Fund'!S27</f>
        <v>2464.1963964621955</v>
      </c>
      <c r="X27" s="206">
        <f>+'Model of Loan Fund'!T27</f>
        <v>2464.1963964621955</v>
      </c>
    </row>
    <row r="28" spans="2:24" s="202" customFormat="1" ht="36">
      <c r="B28" s="103" t="s">
        <v>32</v>
      </c>
      <c r="C28" s="105"/>
      <c r="D28" s="104">
        <f>SUM(E28:X28)</f>
        <v>309030.14734916814</v>
      </c>
      <c r="E28" s="104">
        <f>+C16</f>
        <v>12718.666666666666</v>
      </c>
      <c r="F28" s="104">
        <f>+$C$16*(1.02)</f>
        <v>12973.039999999999</v>
      </c>
      <c r="G28" s="104">
        <f>+F28*(1.02)</f>
        <v>13232.5008</v>
      </c>
      <c r="H28" s="104">
        <f aca="true" t="shared" si="5" ref="H28:X28">+G28*(1.02)</f>
        <v>13497.150816</v>
      </c>
      <c r="I28" s="104">
        <f t="shared" si="5"/>
        <v>13767.093832319999</v>
      </c>
      <c r="J28" s="104">
        <f t="shared" si="5"/>
        <v>14042.435708966399</v>
      </c>
      <c r="K28" s="104">
        <f t="shared" si="5"/>
        <v>14323.284423145727</v>
      </c>
      <c r="L28" s="104">
        <f t="shared" si="5"/>
        <v>14609.750111608642</v>
      </c>
      <c r="M28" s="104">
        <f t="shared" si="5"/>
        <v>14901.945113840815</v>
      </c>
      <c r="N28" s="104">
        <f t="shared" si="5"/>
        <v>15199.98401611763</v>
      </c>
      <c r="O28" s="104">
        <f t="shared" si="5"/>
        <v>15503.983696439984</v>
      </c>
      <c r="P28" s="104">
        <f t="shared" si="5"/>
        <v>15814.063370368784</v>
      </c>
      <c r="Q28" s="104">
        <f t="shared" si="5"/>
        <v>16130.34463777616</v>
      </c>
      <c r="R28" s="104">
        <f t="shared" si="5"/>
        <v>16452.95153053168</v>
      </c>
      <c r="S28" s="104">
        <f t="shared" si="5"/>
        <v>16782.010561142317</v>
      </c>
      <c r="T28" s="104">
        <f t="shared" si="5"/>
        <v>17117.650772365163</v>
      </c>
      <c r="U28" s="104">
        <f t="shared" si="5"/>
        <v>17460.003787812468</v>
      </c>
      <c r="V28" s="104">
        <f t="shared" si="5"/>
        <v>17809.203863568717</v>
      </c>
      <c r="W28" s="104">
        <f t="shared" si="5"/>
        <v>18165.38794084009</v>
      </c>
      <c r="X28" s="206">
        <f t="shared" si="5"/>
        <v>18528.69569965689</v>
      </c>
    </row>
    <row r="29" spans="2:24" s="202" customFormat="1" ht="36">
      <c r="B29" s="103" t="s">
        <v>49</v>
      </c>
      <c r="C29" s="105"/>
      <c r="D29" s="104">
        <f>SUM(E29:X29)</f>
        <v>38440.75099188585</v>
      </c>
      <c r="E29" s="104">
        <f>+E27*0.8</f>
        <v>1825.0666666666668</v>
      </c>
      <c r="F29" s="104">
        <f aca="true" t="shared" si="6" ref="F29:X29">+F27*0.8</f>
        <v>1642.56</v>
      </c>
      <c r="G29" s="104">
        <f t="shared" si="6"/>
        <v>1460.0533333333333</v>
      </c>
      <c r="H29" s="104">
        <f t="shared" si="6"/>
        <v>1971.3571171697565</v>
      </c>
      <c r="I29" s="104">
        <f t="shared" si="6"/>
        <v>1971.3571171697565</v>
      </c>
      <c r="J29" s="104">
        <f t="shared" si="6"/>
        <v>1971.3571171697565</v>
      </c>
      <c r="K29" s="104">
        <f t="shared" si="6"/>
        <v>1971.3571171697565</v>
      </c>
      <c r="L29" s="104">
        <f t="shared" si="6"/>
        <v>1971.3571171697565</v>
      </c>
      <c r="M29" s="104">
        <f t="shared" si="6"/>
        <v>1971.3571171697565</v>
      </c>
      <c r="N29" s="104">
        <f t="shared" si="6"/>
        <v>1971.3571171697565</v>
      </c>
      <c r="O29" s="104">
        <f t="shared" si="6"/>
        <v>1971.3571171697565</v>
      </c>
      <c r="P29" s="104">
        <f t="shared" si="6"/>
        <v>1971.3571171697565</v>
      </c>
      <c r="Q29" s="104">
        <f t="shared" si="6"/>
        <v>1971.3571171697565</v>
      </c>
      <c r="R29" s="104">
        <f t="shared" si="6"/>
        <v>1971.3571171697565</v>
      </c>
      <c r="S29" s="104">
        <f t="shared" si="6"/>
        <v>1971.3571171697565</v>
      </c>
      <c r="T29" s="104">
        <f t="shared" si="6"/>
        <v>1971.3571171697565</v>
      </c>
      <c r="U29" s="104">
        <f t="shared" si="6"/>
        <v>1971.3571171697565</v>
      </c>
      <c r="V29" s="104">
        <f t="shared" si="6"/>
        <v>1971.3571171697565</v>
      </c>
      <c r="W29" s="104">
        <f t="shared" si="6"/>
        <v>1971.3571171697565</v>
      </c>
      <c r="X29" s="206">
        <f t="shared" si="6"/>
        <v>1971.3571171697565</v>
      </c>
    </row>
    <row r="30" spans="2:24" s="202" customFormat="1" ht="36">
      <c r="B30" s="103" t="s">
        <v>50</v>
      </c>
      <c r="C30" s="105"/>
      <c r="D30" s="106"/>
      <c r="E30" s="104">
        <v>15000</v>
      </c>
      <c r="F30" s="104">
        <f>+E30</f>
        <v>15000</v>
      </c>
      <c r="G30" s="104">
        <f aca="true" t="shared" si="7" ref="G30:X30">+F30</f>
        <v>15000</v>
      </c>
      <c r="H30" s="104">
        <f t="shared" si="7"/>
        <v>15000</v>
      </c>
      <c r="I30" s="104">
        <f t="shared" si="7"/>
        <v>15000</v>
      </c>
      <c r="J30" s="104">
        <f t="shared" si="7"/>
        <v>15000</v>
      </c>
      <c r="K30" s="104">
        <f t="shared" si="7"/>
        <v>15000</v>
      </c>
      <c r="L30" s="104">
        <f t="shared" si="7"/>
        <v>15000</v>
      </c>
      <c r="M30" s="104">
        <f t="shared" si="7"/>
        <v>15000</v>
      </c>
      <c r="N30" s="104">
        <f t="shared" si="7"/>
        <v>15000</v>
      </c>
      <c r="O30" s="104">
        <f t="shared" si="7"/>
        <v>15000</v>
      </c>
      <c r="P30" s="104">
        <f t="shared" si="7"/>
        <v>15000</v>
      </c>
      <c r="Q30" s="104">
        <f t="shared" si="7"/>
        <v>15000</v>
      </c>
      <c r="R30" s="104">
        <f t="shared" si="7"/>
        <v>15000</v>
      </c>
      <c r="S30" s="104">
        <f t="shared" si="7"/>
        <v>15000</v>
      </c>
      <c r="T30" s="104">
        <f t="shared" si="7"/>
        <v>15000</v>
      </c>
      <c r="U30" s="104">
        <f t="shared" si="7"/>
        <v>15000</v>
      </c>
      <c r="V30" s="104">
        <f t="shared" si="7"/>
        <v>15000</v>
      </c>
      <c r="W30" s="104">
        <f t="shared" si="7"/>
        <v>15000</v>
      </c>
      <c r="X30" s="206">
        <f t="shared" si="7"/>
        <v>15000</v>
      </c>
    </row>
    <row r="31" spans="2:24" s="202" customFormat="1" ht="36">
      <c r="B31" s="103" t="s">
        <v>56</v>
      </c>
      <c r="C31" s="105"/>
      <c r="D31" s="106"/>
      <c r="E31" s="104">
        <f aca="true" t="shared" si="8" ref="E31:X31">+E28+E27</f>
        <v>15000</v>
      </c>
      <c r="F31" s="104">
        <f t="shared" si="8"/>
        <v>15026.239999999998</v>
      </c>
      <c r="G31" s="104">
        <f t="shared" si="8"/>
        <v>15057.567466666667</v>
      </c>
      <c r="H31" s="104">
        <f t="shared" si="8"/>
        <v>15961.347212462195</v>
      </c>
      <c r="I31" s="104">
        <f t="shared" si="8"/>
        <v>16231.290228782194</v>
      </c>
      <c r="J31" s="104">
        <f t="shared" si="8"/>
        <v>16506.632105428595</v>
      </c>
      <c r="K31" s="104">
        <f t="shared" si="8"/>
        <v>16787.480819607925</v>
      </c>
      <c r="L31" s="104">
        <f t="shared" si="8"/>
        <v>17073.94650807084</v>
      </c>
      <c r="M31" s="104">
        <f t="shared" si="8"/>
        <v>17366.14151030301</v>
      </c>
      <c r="N31" s="104">
        <f t="shared" si="8"/>
        <v>17664.180412579826</v>
      </c>
      <c r="O31" s="104">
        <f t="shared" si="8"/>
        <v>17968.180092902177</v>
      </c>
      <c r="P31" s="104">
        <f t="shared" si="8"/>
        <v>18278.25976683098</v>
      </c>
      <c r="Q31" s="104">
        <f t="shared" si="8"/>
        <v>18594.541034238355</v>
      </c>
      <c r="R31" s="104">
        <f t="shared" si="8"/>
        <v>18917.14792699388</v>
      </c>
      <c r="S31" s="104">
        <f t="shared" si="8"/>
        <v>19246.20695760451</v>
      </c>
      <c r="T31" s="104">
        <f t="shared" si="8"/>
        <v>19581.847168827357</v>
      </c>
      <c r="U31" s="104">
        <f t="shared" si="8"/>
        <v>19924.20018427466</v>
      </c>
      <c r="V31" s="104">
        <f t="shared" si="8"/>
        <v>20273.40026003091</v>
      </c>
      <c r="W31" s="104">
        <f t="shared" si="8"/>
        <v>20629.584337302287</v>
      </c>
      <c r="X31" s="206">
        <f t="shared" si="8"/>
        <v>20992.89209611909</v>
      </c>
    </row>
    <row r="32" spans="2:24" s="202" customFormat="1" ht="18">
      <c r="B32" s="103" t="s">
        <v>22</v>
      </c>
      <c r="C32" s="105"/>
      <c r="D32" s="106"/>
      <c r="E32" s="104">
        <f>+E31*'Key Assumptions and Parameters'!$C$57</f>
        <v>2850</v>
      </c>
      <c r="F32" s="104">
        <f>+F31*'Key Assumptions and Parameters'!$C$57</f>
        <v>2854.9855999999995</v>
      </c>
      <c r="G32" s="104">
        <f>+G31*'Key Assumptions and Parameters'!$C$57</f>
        <v>2860.9378186666668</v>
      </c>
      <c r="H32" s="104">
        <f>+H31*'Key Assumptions and Parameters'!$C$57</f>
        <v>3032.655970367817</v>
      </c>
      <c r="I32" s="104">
        <f>+I31*'Key Assumptions and Parameters'!$C$57</f>
        <v>3083.945143468617</v>
      </c>
      <c r="J32" s="104">
        <f>+J31*'Key Assumptions and Parameters'!$C$57</f>
        <v>3136.260100031433</v>
      </c>
      <c r="K32" s="104">
        <f>+K31*'Key Assumptions and Parameters'!$C$57</f>
        <v>3189.621355725506</v>
      </c>
      <c r="L32" s="104">
        <f>+L31*'Key Assumptions and Parameters'!$C$57</f>
        <v>3244.0498365334597</v>
      </c>
      <c r="M32" s="104">
        <f>+M31*'Key Assumptions and Parameters'!$C$57</f>
        <v>3299.5668869575716</v>
      </c>
      <c r="N32" s="104">
        <f>+N31*'Key Assumptions and Parameters'!$C$57</f>
        <v>3356.194278390167</v>
      </c>
      <c r="O32" s="104">
        <f>+O31*'Key Assumptions and Parameters'!$C$57</f>
        <v>3413.9542176514137</v>
      </c>
      <c r="P32" s="104">
        <f>+P31*'Key Assumptions and Parameters'!$C$57</f>
        <v>3472.869355697886</v>
      </c>
      <c r="Q32" s="104">
        <f>+Q31*'Key Assumptions and Parameters'!$C$57</f>
        <v>3532.9627965052873</v>
      </c>
      <c r="R32" s="104">
        <f>+R31*'Key Assumptions and Parameters'!$C$57</f>
        <v>3594.258106128837</v>
      </c>
      <c r="S32" s="104">
        <f>+S31*'Key Assumptions and Parameters'!$C$57</f>
        <v>3656.779321944857</v>
      </c>
      <c r="T32" s="104">
        <f>+T31*'Key Assumptions and Parameters'!$C$57</f>
        <v>3720.5509620771977</v>
      </c>
      <c r="U32" s="104">
        <f>+U31*'Key Assumptions and Parameters'!$C$57</f>
        <v>3785.598035012186</v>
      </c>
      <c r="V32" s="104">
        <f>+V31*'Key Assumptions and Parameters'!$C$57</f>
        <v>3851.946049405873</v>
      </c>
      <c r="W32" s="104">
        <f>+W31*'Key Assumptions and Parameters'!$C$57</f>
        <v>3919.6210240874348</v>
      </c>
      <c r="X32" s="206">
        <f>+X31*'Key Assumptions and Parameters'!$C$57</f>
        <v>3988.649498262627</v>
      </c>
    </row>
    <row r="33" spans="2:24" s="202" customFormat="1" ht="18">
      <c r="B33" s="103" t="s">
        <v>23</v>
      </c>
      <c r="C33" s="105"/>
      <c r="D33" s="106"/>
      <c r="E33" s="104">
        <f>+E30*'Key Assumptions and Parameters'!$E$18+(E31-E30)*'Key Assumptions and Parameters'!$E$27</f>
        <v>1217751160.6208017</v>
      </c>
      <c r="F33" s="104">
        <f>+F30*'Key Assumptions and Parameters'!$E$18+(F31-F30)*'Key Assumptions and Parameters'!$E$27</f>
        <v>1219775715.700066</v>
      </c>
      <c r="G33" s="104">
        <f>+G30*'Key Assumptions and Parameters'!$E$18+(G31-G30)*'Key Assumptions and Parameters'!$E$27</f>
        <v>1222192795.797646</v>
      </c>
      <c r="H33" s="104">
        <f>+H30*'Key Assumptions and Parameters'!$E$18+(H31-H30)*'Key Assumptions and Parameters'!$E$27</f>
        <v>1291924193.4686372</v>
      </c>
      <c r="I33" s="104">
        <f>+I30*'Key Assumptions and Parameters'!$E$18+(I31-I30)*'Key Assumptions and Parameters'!$E$27</f>
        <v>1312751727.9504461</v>
      </c>
      <c r="J33" s="104">
        <f>+J30*'Key Assumptions and Parameters'!$E$18+(J31-J30)*'Key Assumptions and Parameters'!$E$27</f>
        <v>1333995813.121891</v>
      </c>
      <c r="K33" s="104">
        <f>+K30*'Key Assumptions and Parameters'!$E$18+(K31-K30)*'Key Assumptions and Parameters'!$E$27</f>
        <v>1355664779.9967651</v>
      </c>
      <c r="L33" s="104">
        <f>+L30*'Key Assumptions and Parameters'!$E$18+(L31-L30)*'Key Assumptions and Parameters'!$E$27</f>
        <v>1377767126.2091365</v>
      </c>
      <c r="M33" s="104">
        <f>+M30*'Key Assumptions and Parameters'!$E$18+(M31-M30)*'Key Assumptions and Parameters'!$E$27</f>
        <v>1400311519.345755</v>
      </c>
      <c r="N33" s="104">
        <f>+N30*'Key Assumptions and Parameters'!$E$18+(N31-N30)*'Key Assumptions and Parameters'!$E$27</f>
        <v>1423306800.3451064</v>
      </c>
      <c r="O33" s="104">
        <f>+O30*'Key Assumptions and Parameters'!$E$18+(O31-O30)*'Key Assumptions and Parameters'!$E$27</f>
        <v>1446761986.9644446</v>
      </c>
      <c r="P33" s="104">
        <f>+P30*'Key Assumptions and Parameters'!$E$18+(P31-P30)*'Key Assumptions and Parameters'!$E$27</f>
        <v>1470686277.3161697</v>
      </c>
      <c r="Q33" s="104">
        <f>+Q30*'Key Assumptions and Parameters'!$E$18+(Q31-Q30)*'Key Assumptions and Parameters'!$E$27</f>
        <v>1495089053.474929</v>
      </c>
      <c r="R33" s="104">
        <f>+R30*'Key Assumptions and Parameters'!$E$18+(R31-R30)*'Key Assumptions and Parameters'!$E$27</f>
        <v>1519979885.156864</v>
      </c>
      <c r="S33" s="104">
        <f>+S30*'Key Assumptions and Parameters'!$E$18+(S31-S30)*'Key Assumptions and Parameters'!$E$27</f>
        <v>1545368533.4724371</v>
      </c>
      <c r="T33" s="104">
        <f>+T30*'Key Assumptions and Parameters'!$E$18+(T31-T30)*'Key Assumptions and Parameters'!$E$27</f>
        <v>1571264954.754322</v>
      </c>
      <c r="U33" s="104">
        <f>+U30*'Key Assumptions and Parameters'!$E$18+(U31-U30)*'Key Assumptions and Parameters'!$E$27</f>
        <v>1597679304.4618447</v>
      </c>
      <c r="V33" s="104">
        <f>+V30*'Key Assumptions and Parameters'!$E$18+(V31-V30)*'Key Assumptions and Parameters'!$E$27</f>
        <v>1624621941.1635175</v>
      </c>
      <c r="W33" s="104">
        <f>+W30*'Key Assumptions and Parameters'!$E$18+(W31-W30)*'Key Assumptions and Parameters'!$E$27</f>
        <v>1652103430.599224</v>
      </c>
      <c r="X33" s="206">
        <f>+X30*'Key Assumptions and Parameters'!$E$18+(X31-X30)*'Key Assumptions and Parameters'!$E$27</f>
        <v>1680134549.8236446</v>
      </c>
    </row>
    <row r="34" spans="2:24" s="202" customFormat="1" ht="18">
      <c r="B34" s="103" t="s">
        <v>24</v>
      </c>
      <c r="C34" s="105"/>
      <c r="D34" s="106"/>
      <c r="E34" s="104">
        <f>+E32*'Key Assumptions and Parameters'!$C$14</f>
        <v>1188668249.2366686</v>
      </c>
      <c r="F34" s="104">
        <f>+F32*'Key Assumptions and Parameters'!$C$14</f>
        <v>1190747626.227333</v>
      </c>
      <c r="G34" s="104">
        <f>+G32*'Key Assumptions and Parameters'!$C$14</f>
        <v>1193230157.224379</v>
      </c>
      <c r="H34" s="104">
        <f>+H32*'Key Assumptions and Parameters'!$C$14</f>
        <v>1264849776.4330678</v>
      </c>
      <c r="I34" s="104">
        <f>+I32*'Key Assumptions and Parameters'!$C$14</f>
        <v>1286241289.2732518</v>
      </c>
      <c r="J34" s="104">
        <f>+J32*'Key Assumptions and Parameters'!$C$14</f>
        <v>1308060632.3702395</v>
      </c>
      <c r="K34" s="104">
        <f>+K32*'Key Assumptions and Parameters'!$C$14</f>
        <v>1330316362.3291671</v>
      </c>
      <c r="L34" s="104">
        <f>+L32*'Key Assumptions and Parameters'!$C$14</f>
        <v>1353017206.887273</v>
      </c>
      <c r="M34" s="104">
        <f>+M32*'Key Assumptions and Parameters'!$C$14</f>
        <v>1376172068.3365407</v>
      </c>
      <c r="N34" s="104">
        <f>+N32*'Key Assumptions and Parameters'!$C$14</f>
        <v>1399790027.014794</v>
      </c>
      <c r="O34" s="104">
        <f>+O32*'Key Assumptions and Parameters'!$C$14</f>
        <v>1423880344.8666127</v>
      </c>
      <c r="P34" s="104">
        <f>+P32*'Key Assumptions and Parameters'!$C$14</f>
        <v>1448452469.0754678</v>
      </c>
      <c r="Q34" s="104">
        <f>+Q32*'Key Assumptions and Parameters'!$C$14</f>
        <v>1473516035.7684996</v>
      </c>
      <c r="R34" s="104">
        <f>+R32*'Key Assumptions and Parameters'!$C$14</f>
        <v>1499080873.7953925</v>
      </c>
      <c r="S34" s="104">
        <f>+S32*'Key Assumptions and Parameters'!$C$14</f>
        <v>1525157008.5828228</v>
      </c>
      <c r="T34" s="104">
        <f>+T32*'Key Assumptions and Parameters'!$C$14</f>
        <v>1551754666.066002</v>
      </c>
      <c r="U34" s="104">
        <f>+U32*'Key Assumptions and Parameters'!$C$14</f>
        <v>1578884276.6988447</v>
      </c>
      <c r="V34" s="104">
        <f>+V32*'Key Assumptions and Parameters'!$C$14</f>
        <v>1606556479.5443442</v>
      </c>
      <c r="W34" s="104">
        <f>+W32*'Key Assumptions and Parameters'!$C$14</f>
        <v>1634782126.446754</v>
      </c>
      <c r="X34" s="206">
        <f>+X32*'Key Assumptions and Parameters'!$C$14</f>
        <v>1663572286.2872114</v>
      </c>
    </row>
    <row r="35" spans="2:25" s="202" customFormat="1" ht="18">
      <c r="B35" s="103" t="s">
        <v>25</v>
      </c>
      <c r="C35" s="105"/>
      <c r="D35" s="106"/>
      <c r="E35" s="104">
        <f>+E34-E33</f>
        <v>-29082911.3841331</v>
      </c>
      <c r="F35" s="104">
        <f aca="true" t="shared" si="9" ref="F35:X35">+F34-F33</f>
        <v>-29028089.47273302</v>
      </c>
      <c r="G35" s="104">
        <f>+G34-G33</f>
        <v>-28962638.573266983</v>
      </c>
      <c r="H35" s="104">
        <f t="shared" si="9"/>
        <v>-27074417.03556943</v>
      </c>
      <c r="I35" s="104">
        <f>+I34-I33</f>
        <v>-26510438.677194357</v>
      </c>
      <c r="J35" s="104">
        <f>+J34-J33</f>
        <v>-25935180.751651525</v>
      </c>
      <c r="K35" s="104">
        <f t="shared" si="9"/>
        <v>-25348417.66759801</v>
      </c>
      <c r="L35" s="104">
        <f t="shared" si="9"/>
        <v>-24749919.321863413</v>
      </c>
      <c r="M35" s="104">
        <f t="shared" si="9"/>
        <v>-24139451.0092144</v>
      </c>
      <c r="N35" s="104">
        <f t="shared" si="9"/>
        <v>-23516773.330312252</v>
      </c>
      <c r="O35" s="104">
        <f t="shared" si="9"/>
        <v>-22881642.097831964</v>
      </c>
      <c r="P35" s="104">
        <f t="shared" si="9"/>
        <v>-22233808.240701914</v>
      </c>
      <c r="Q35" s="104">
        <f t="shared" si="9"/>
        <v>-21573017.70642948</v>
      </c>
      <c r="R35" s="104">
        <f t="shared" si="9"/>
        <v>-20899011.361471415</v>
      </c>
      <c r="S35" s="104">
        <f t="shared" si="9"/>
        <v>-20211524.889614344</v>
      </c>
      <c r="T35" s="104">
        <f t="shared" si="9"/>
        <v>-19510288.68832016</v>
      </c>
      <c r="U35" s="104">
        <f t="shared" si="9"/>
        <v>-18795027.76300001</v>
      </c>
      <c r="V35" s="104">
        <f t="shared" si="9"/>
        <v>-18065461.61917329</v>
      </c>
      <c r="W35" s="104">
        <f t="shared" si="9"/>
        <v>-17321304.15247011</v>
      </c>
      <c r="X35" s="206">
        <f t="shared" si="9"/>
        <v>-16562263.53643322</v>
      </c>
      <c r="Y35" s="209"/>
    </row>
    <row r="36" spans="2:25" s="202" customFormat="1" ht="18">
      <c r="B36" s="103" t="s">
        <v>39</v>
      </c>
      <c r="C36" s="105"/>
      <c r="D36" s="106"/>
      <c r="E36" s="104">
        <f>(+E35-E25)*'ERR &amp; Sensitivity Analysis'!$G$27</f>
        <v>0</v>
      </c>
      <c r="F36" s="104">
        <f>(+F35-F25)*'ERR &amp; Sensitivity Analysis'!$G$27</f>
        <v>54821.91140007973</v>
      </c>
      <c r="G36" s="104">
        <f>(+G35-G25)*'ERR &amp; Sensitivity Analysis'!$G$27</f>
        <v>120272.81086611748</v>
      </c>
      <c r="H36" s="104">
        <f>(+H35-H25)*'ERR &amp; Sensitivity Analysis'!$G$27</f>
        <v>2008494.348563671</v>
      </c>
      <c r="I36" s="104">
        <f>(+I35-I25)*'ERR &amp; Sensitivity Analysis'!$G$27</f>
        <v>2572472.7069387436</v>
      </c>
      <c r="J36" s="104">
        <f>(+J35-J25)*'ERR &amp; Sensitivity Analysis'!$G$27</f>
        <v>3147730.632481575</v>
      </c>
      <c r="K36" s="104">
        <f>(+K35-K25)*'ERR &amp; Sensitivity Analysis'!$G$27</f>
        <v>3734493.7165350914</v>
      </c>
      <c r="L36" s="104">
        <f>(+L35-L25)*'ERR &amp; Sensitivity Analysis'!$G$27</f>
        <v>4332992.062269688</v>
      </c>
      <c r="M36" s="104">
        <f>(+M35-M25)*'ERR &amp; Sensitivity Analysis'!$G$27</f>
        <v>4943460.374918699</v>
      </c>
      <c r="N36" s="104">
        <f>(+N35-N25)*'ERR &amp; Sensitivity Analysis'!$G$27</f>
        <v>5566138.053820848</v>
      </c>
      <c r="O36" s="104">
        <f>(+O35-O25)*'ERR &amp; Sensitivity Analysis'!$G$27</f>
        <v>6201269.286301136</v>
      </c>
      <c r="P36" s="104">
        <f>(+P35-P25)*'ERR &amp; Sensitivity Analysis'!$G$27</f>
        <v>6849103.143431187</v>
      </c>
      <c r="Q36" s="104">
        <f>(+Q35-Q25)*'ERR &amp; Sensitivity Analysis'!$G$27</f>
        <v>7509893.677703619</v>
      </c>
      <c r="R36" s="104">
        <f>(+R35-R25)*'ERR &amp; Sensitivity Analysis'!$G$27</f>
        <v>8183900.022661686</v>
      </c>
      <c r="S36" s="104">
        <f>(+S35-S25)*'ERR &amp; Sensitivity Analysis'!$G$27</f>
        <v>8871386.494518757</v>
      </c>
      <c r="T36" s="104">
        <f>(+T35-T25)*'ERR &amp; Sensitivity Analysis'!$G$27</f>
        <v>9572622.69581294</v>
      </c>
      <c r="U36" s="104">
        <f>(+U35-U25)*'ERR &amp; Sensitivity Analysis'!$G$27</f>
        <v>10287883.621133089</v>
      </c>
      <c r="V36" s="104">
        <f>(+V35-V25)*'ERR &amp; Sensitivity Analysis'!$G$27</f>
        <v>11017449.764959812</v>
      </c>
      <c r="W36" s="104">
        <f>(+W35-W25)*'ERR &amp; Sensitivity Analysis'!$G$27</f>
        <v>11761607.231662989</v>
      </c>
      <c r="X36" s="206">
        <f>(+X35-X25)*'ERR &amp; Sensitivity Analysis'!$G$27</f>
        <v>12520647.84769988</v>
      </c>
      <c r="Y36" s="209"/>
    </row>
    <row r="37" spans="2:25" s="202" customFormat="1" ht="18">
      <c r="B37" s="103" t="s">
        <v>40</v>
      </c>
      <c r="C37" s="105"/>
      <c r="D37" s="106"/>
      <c r="E37" s="104">
        <f>(838940*(1.09)*7)*'ERR &amp; Sensitivity Analysis'!$G$26</f>
        <v>6401112.200000001</v>
      </c>
      <c r="F37" s="104">
        <f>((7*632583)*1.09)*'ERR &amp; Sensitivity Analysis'!$G$26</f>
        <v>4826608.29</v>
      </c>
      <c r="G37" s="104">
        <f>((7*632565)*1.09)*'ERR &amp; Sensitivity Analysis'!$G$26</f>
        <v>4826470.95</v>
      </c>
      <c r="H37" s="104">
        <f>0*'ERR &amp; Sensitivity Analysis'!$G$26</f>
        <v>0</v>
      </c>
      <c r="I37" s="104">
        <f>0*'ERR &amp; Sensitivity Analysis'!$G$26</f>
        <v>0</v>
      </c>
      <c r="J37" s="104"/>
      <c r="K37" s="104"/>
      <c r="L37" s="104"/>
      <c r="M37" s="104"/>
      <c r="N37" s="104"/>
      <c r="O37" s="104"/>
      <c r="P37" s="104"/>
      <c r="Q37" s="104"/>
      <c r="R37" s="104"/>
      <c r="S37" s="104"/>
      <c r="T37" s="104"/>
      <c r="U37" s="104"/>
      <c r="V37" s="104"/>
      <c r="W37" s="104"/>
      <c r="X37" s="206"/>
      <c r="Y37" s="209"/>
    </row>
    <row r="38" spans="2:24" s="202" customFormat="1" ht="18.75" customHeight="1">
      <c r="B38" s="103" t="s">
        <v>41</v>
      </c>
      <c r="C38" s="105"/>
      <c r="D38" s="106"/>
      <c r="E38" s="104">
        <f>(+E36-E37)</f>
        <v>-6401112.200000001</v>
      </c>
      <c r="F38" s="104">
        <f>(+F36-F37)</f>
        <v>-4771786.37859992</v>
      </c>
      <c r="G38" s="104">
        <f aca="true" t="shared" si="10" ref="G38:X38">+G36-G37</f>
        <v>-4706198.139133883</v>
      </c>
      <c r="H38" s="104">
        <f t="shared" si="10"/>
        <v>2008494.348563671</v>
      </c>
      <c r="I38" s="104">
        <f t="shared" si="10"/>
        <v>2572472.7069387436</v>
      </c>
      <c r="J38" s="104">
        <f t="shared" si="10"/>
        <v>3147730.632481575</v>
      </c>
      <c r="K38" s="104">
        <f t="shared" si="10"/>
        <v>3734493.7165350914</v>
      </c>
      <c r="L38" s="104">
        <f t="shared" si="10"/>
        <v>4332992.062269688</v>
      </c>
      <c r="M38" s="104">
        <f t="shared" si="10"/>
        <v>4943460.374918699</v>
      </c>
      <c r="N38" s="104">
        <f t="shared" si="10"/>
        <v>5566138.053820848</v>
      </c>
      <c r="O38" s="104">
        <f t="shared" si="10"/>
        <v>6201269.286301136</v>
      </c>
      <c r="P38" s="104">
        <f t="shared" si="10"/>
        <v>6849103.143431187</v>
      </c>
      <c r="Q38" s="104">
        <f t="shared" si="10"/>
        <v>7509893.677703619</v>
      </c>
      <c r="R38" s="104">
        <f t="shared" si="10"/>
        <v>8183900.022661686</v>
      </c>
      <c r="S38" s="104">
        <f t="shared" si="10"/>
        <v>8871386.494518757</v>
      </c>
      <c r="T38" s="104">
        <f t="shared" si="10"/>
        <v>9572622.69581294</v>
      </c>
      <c r="U38" s="104">
        <f t="shared" si="10"/>
        <v>10287883.621133089</v>
      </c>
      <c r="V38" s="104">
        <f t="shared" si="10"/>
        <v>11017449.764959812</v>
      </c>
      <c r="W38" s="104">
        <f t="shared" si="10"/>
        <v>11761607.231662989</v>
      </c>
      <c r="X38" s="206">
        <f t="shared" si="10"/>
        <v>12520647.84769988</v>
      </c>
    </row>
    <row r="39" spans="2:24" s="202" customFormat="1" ht="18">
      <c r="B39" s="210" t="s">
        <v>42</v>
      </c>
      <c r="C39" s="211">
        <f>+IRR(D38:W38)</f>
        <v>0.21077240105407133</v>
      </c>
      <c r="D39" s="212"/>
      <c r="E39" s="106"/>
      <c r="F39" s="106"/>
      <c r="G39" s="106"/>
      <c r="H39" s="106"/>
      <c r="I39" s="106"/>
      <c r="J39" s="106"/>
      <c r="K39" s="106"/>
      <c r="L39" s="106"/>
      <c r="M39" s="106"/>
      <c r="N39" s="106"/>
      <c r="O39" s="106"/>
      <c r="P39" s="106"/>
      <c r="Q39" s="106"/>
      <c r="R39" s="106"/>
      <c r="S39" s="106"/>
      <c r="T39" s="106"/>
      <c r="U39" s="106"/>
      <c r="V39" s="106"/>
      <c r="W39" s="106"/>
      <c r="X39" s="213"/>
    </row>
    <row r="40" spans="2:24" s="202" customFormat="1" ht="36">
      <c r="B40" s="103" t="s">
        <v>66</v>
      </c>
      <c r="C40" s="105"/>
      <c r="D40" s="106"/>
      <c r="E40" s="104">
        <f aca="true" t="shared" si="11" ref="E40:X40">E38+E37</f>
        <v>0</v>
      </c>
      <c r="F40" s="104">
        <f t="shared" si="11"/>
        <v>54821.91140007973</v>
      </c>
      <c r="G40" s="104">
        <f t="shared" si="11"/>
        <v>120272.81086611748</v>
      </c>
      <c r="H40" s="104">
        <f t="shared" si="11"/>
        <v>2008494.348563671</v>
      </c>
      <c r="I40" s="104">
        <f t="shared" si="11"/>
        <v>2572472.7069387436</v>
      </c>
      <c r="J40" s="104">
        <f t="shared" si="11"/>
        <v>3147730.632481575</v>
      </c>
      <c r="K40" s="104">
        <f t="shared" si="11"/>
        <v>3734493.7165350914</v>
      </c>
      <c r="L40" s="104">
        <f t="shared" si="11"/>
        <v>4332992.062269688</v>
      </c>
      <c r="M40" s="104">
        <f t="shared" si="11"/>
        <v>4943460.374918699</v>
      </c>
      <c r="N40" s="104">
        <f t="shared" si="11"/>
        <v>5566138.053820848</v>
      </c>
      <c r="O40" s="104">
        <f t="shared" si="11"/>
        <v>6201269.286301136</v>
      </c>
      <c r="P40" s="104">
        <f t="shared" si="11"/>
        <v>6849103.143431187</v>
      </c>
      <c r="Q40" s="104">
        <f t="shared" si="11"/>
        <v>7509893.677703619</v>
      </c>
      <c r="R40" s="104">
        <f t="shared" si="11"/>
        <v>8183900.022661686</v>
      </c>
      <c r="S40" s="104">
        <f t="shared" si="11"/>
        <v>8871386.494518757</v>
      </c>
      <c r="T40" s="104">
        <f t="shared" si="11"/>
        <v>9572622.69581294</v>
      </c>
      <c r="U40" s="104">
        <f t="shared" si="11"/>
        <v>10287883.621133089</v>
      </c>
      <c r="V40" s="104">
        <f t="shared" si="11"/>
        <v>11017449.764959812</v>
      </c>
      <c r="W40" s="104">
        <f t="shared" si="11"/>
        <v>11761607.231662989</v>
      </c>
      <c r="X40" s="206">
        <f t="shared" si="11"/>
        <v>12520647.84769988</v>
      </c>
    </row>
    <row r="41" spans="2:24" s="202" customFormat="1" ht="18">
      <c r="B41" s="103" t="s">
        <v>64</v>
      </c>
      <c r="C41" s="105"/>
      <c r="D41" s="106"/>
      <c r="E41" s="104">
        <f aca="true" t="shared" si="12" ref="E41:X41">E32-E22</f>
        <v>0</v>
      </c>
      <c r="F41" s="104">
        <f t="shared" si="12"/>
        <v>4.985599999999522</v>
      </c>
      <c r="G41" s="104">
        <f t="shared" si="12"/>
        <v>10.937818666666772</v>
      </c>
      <c r="H41" s="104">
        <f t="shared" si="12"/>
        <v>182.6559703678172</v>
      </c>
      <c r="I41" s="104">
        <f t="shared" si="12"/>
        <v>233.94514346861706</v>
      </c>
      <c r="J41" s="104">
        <f t="shared" si="12"/>
        <v>286.260100031433</v>
      </c>
      <c r="K41" s="104">
        <f t="shared" si="12"/>
        <v>339.62135572550596</v>
      </c>
      <c r="L41" s="104">
        <f t="shared" si="12"/>
        <v>394.0498365334597</v>
      </c>
      <c r="M41" s="104">
        <f t="shared" si="12"/>
        <v>449.56688695757157</v>
      </c>
      <c r="N41" s="104">
        <f t="shared" si="12"/>
        <v>506.1942783901668</v>
      </c>
      <c r="O41" s="104">
        <f t="shared" si="12"/>
        <v>563.9542176514137</v>
      </c>
      <c r="P41" s="104">
        <f t="shared" si="12"/>
        <v>622.869355697886</v>
      </c>
      <c r="Q41" s="104">
        <f t="shared" si="12"/>
        <v>682.9627965052873</v>
      </c>
      <c r="R41" s="104">
        <f t="shared" si="12"/>
        <v>744.258106128837</v>
      </c>
      <c r="S41" s="104">
        <f t="shared" si="12"/>
        <v>806.7793219448572</v>
      </c>
      <c r="T41" s="104">
        <f t="shared" si="12"/>
        <v>870.5509620771977</v>
      </c>
      <c r="U41" s="104">
        <f t="shared" si="12"/>
        <v>935.5980350121858</v>
      </c>
      <c r="V41" s="104">
        <f t="shared" si="12"/>
        <v>1001.946049405873</v>
      </c>
      <c r="W41" s="104">
        <f t="shared" si="12"/>
        <v>1069.6210240874348</v>
      </c>
      <c r="X41" s="206">
        <f t="shared" si="12"/>
        <v>1138.6494982626268</v>
      </c>
    </row>
    <row r="42" spans="2:24" s="202" customFormat="1" ht="18">
      <c r="B42" s="214" t="s">
        <v>65</v>
      </c>
      <c r="C42" s="113"/>
      <c r="D42" s="215"/>
      <c r="E42" s="216">
        <f>E41</f>
        <v>0</v>
      </c>
      <c r="F42" s="216">
        <f>E42+F41</f>
        <v>4.985599999999522</v>
      </c>
      <c r="G42" s="216">
        <f aca="true" t="shared" si="13" ref="G42:X42">F42+G41</f>
        <v>15.923418666666294</v>
      </c>
      <c r="H42" s="216">
        <f t="shared" si="13"/>
        <v>198.57938903448348</v>
      </c>
      <c r="I42" s="216">
        <f t="shared" si="13"/>
        <v>432.52453250310055</v>
      </c>
      <c r="J42" s="216">
        <f t="shared" si="13"/>
        <v>718.7846325345336</v>
      </c>
      <c r="K42" s="216">
        <f t="shared" si="13"/>
        <v>1058.4059882600395</v>
      </c>
      <c r="L42" s="216">
        <f t="shared" si="13"/>
        <v>1452.4558247934992</v>
      </c>
      <c r="M42" s="216">
        <f t="shared" si="13"/>
        <v>1902.0227117510708</v>
      </c>
      <c r="N42" s="216">
        <f t="shared" si="13"/>
        <v>2408.2169901412376</v>
      </c>
      <c r="O42" s="216">
        <f t="shared" si="13"/>
        <v>2972.1712077926513</v>
      </c>
      <c r="P42" s="216">
        <f t="shared" si="13"/>
        <v>3595.0405634905374</v>
      </c>
      <c r="Q42" s="216">
        <f t="shared" si="13"/>
        <v>4278.003359995824</v>
      </c>
      <c r="R42" s="216">
        <f t="shared" si="13"/>
        <v>5022.261466124661</v>
      </c>
      <c r="S42" s="216">
        <f t="shared" si="13"/>
        <v>5829.040788069518</v>
      </c>
      <c r="T42" s="216">
        <f t="shared" si="13"/>
        <v>6699.591750146716</v>
      </c>
      <c r="U42" s="216">
        <f t="shared" si="13"/>
        <v>7635.189785158902</v>
      </c>
      <c r="V42" s="216">
        <f t="shared" si="13"/>
        <v>8637.135834564775</v>
      </c>
      <c r="W42" s="216">
        <f t="shared" si="13"/>
        <v>9706.75685865221</v>
      </c>
      <c r="X42" s="217">
        <f t="shared" si="13"/>
        <v>10845.406356914837</v>
      </c>
    </row>
    <row r="43" spans="2:24" s="202" customFormat="1" ht="18">
      <c r="B43" s="218"/>
      <c r="C43" s="219"/>
      <c r="E43" s="202">
        <f>+E33/E32</f>
        <v>427281.108989755</v>
      </c>
      <c r="F43" s="202">
        <f aca="true" t="shared" si="14" ref="F43:X43">+F33/F32</f>
        <v>427244.0868703738</v>
      </c>
      <c r="G43" s="202">
        <f t="shared" si="14"/>
        <v>427200.05580800987</v>
      </c>
      <c r="H43" s="202">
        <f t="shared" si="14"/>
        <v>426004.2042658553</v>
      </c>
      <c r="I43" s="202">
        <f t="shared" si="14"/>
        <v>425672.85307609267</v>
      </c>
      <c r="J43" s="202">
        <f t="shared" si="14"/>
        <v>425346.0397332865</v>
      </c>
      <c r="K43" s="202">
        <f t="shared" si="14"/>
        <v>425023.7344201653</v>
      </c>
      <c r="L43" s="202">
        <f t="shared" si="14"/>
        <v>424705.9063930401</v>
      </c>
      <c r="M43" s="202">
        <f t="shared" si="14"/>
        <v>424392.52402515744</v>
      </c>
      <c r="N43" s="202">
        <f t="shared" si="14"/>
        <v>424083.5548494559</v>
      </c>
      <c r="O43" s="202">
        <f t="shared" si="14"/>
        <v>423778.9656006946</v>
      </c>
      <c r="P43" s="202">
        <f t="shared" si="14"/>
        <v>423478.7222569246</v>
      </c>
      <c r="Q43" s="202">
        <f t="shared" si="14"/>
        <v>423182.79008027806</v>
      </c>
      <c r="R43" s="202">
        <f t="shared" si="14"/>
        <v>422891.13365704956</v>
      </c>
      <c r="S43" s="202">
        <f t="shared" si="14"/>
        <v>422603.71693704865</v>
      </c>
      <c r="T43" s="202">
        <f t="shared" si="14"/>
        <v>422320.5032722032</v>
      </c>
      <c r="U43" s="202">
        <f t="shared" si="14"/>
        <v>422041.4554543961</v>
      </c>
      <c r="V43" s="202">
        <f t="shared" si="14"/>
        <v>421766.53575251927</v>
      </c>
      <c r="W43" s="202">
        <f t="shared" si="14"/>
        <v>421495.70594873175</v>
      </c>
      <c r="X43" s="202">
        <f t="shared" si="14"/>
        <v>421228.9273739085</v>
      </c>
    </row>
    <row r="44" spans="2:3" s="202" customFormat="1" ht="18">
      <c r="B44" s="218"/>
      <c r="C44" s="219"/>
    </row>
    <row r="45" spans="2:3" s="202" customFormat="1" ht="18">
      <c r="B45" s="218"/>
      <c r="C45" s="219"/>
    </row>
    <row r="46" spans="2:3" s="202" customFormat="1" ht="18">
      <c r="B46" s="218"/>
      <c r="C46" s="219"/>
    </row>
    <row r="47" spans="2:3" s="202" customFormat="1" ht="18">
      <c r="B47" s="218"/>
      <c r="C47" s="219"/>
    </row>
    <row r="48" spans="2:3" s="202" customFormat="1" ht="18">
      <c r="B48" s="218"/>
      <c r="C48" s="219"/>
    </row>
    <row r="49" spans="2:3" s="202" customFormat="1" ht="18">
      <c r="B49" s="218"/>
      <c r="C49" s="219"/>
    </row>
    <row r="50" spans="2:3" s="202" customFormat="1" ht="18">
      <c r="B50" s="218"/>
      <c r="C50" s="219"/>
    </row>
    <row r="51" spans="2:3" s="202" customFormat="1" ht="18">
      <c r="B51" s="218"/>
      <c r="C51" s="219"/>
    </row>
    <row r="52" spans="2:3" s="202" customFormat="1" ht="18">
      <c r="B52" s="218"/>
      <c r="C52" s="219"/>
    </row>
    <row r="53" spans="2:3" s="202" customFormat="1" ht="18">
      <c r="B53" s="218"/>
      <c r="C53" s="219"/>
    </row>
    <row r="54" spans="2:3" s="202" customFormat="1" ht="18">
      <c r="B54" s="218"/>
      <c r="C54" s="219"/>
    </row>
    <row r="55" spans="2:3" s="202" customFormat="1" ht="18">
      <c r="B55" s="218"/>
      <c r="C55" s="219"/>
    </row>
    <row r="56" spans="2:3" s="202" customFormat="1" ht="18">
      <c r="B56" s="218"/>
      <c r="C56" s="219"/>
    </row>
    <row r="57" spans="2:3" s="202" customFormat="1" ht="18">
      <c r="B57" s="218"/>
      <c r="C57" s="219"/>
    </row>
    <row r="58" spans="2:3" s="202" customFormat="1" ht="18">
      <c r="B58" s="218"/>
      <c r="C58" s="219"/>
    </row>
    <row r="59" spans="2:3" s="202" customFormat="1" ht="18">
      <c r="B59" s="218"/>
      <c r="C59" s="219"/>
    </row>
    <row r="60" spans="2:3" s="202" customFormat="1" ht="18">
      <c r="B60" s="218"/>
      <c r="C60" s="219"/>
    </row>
    <row r="61" spans="2:3" s="202" customFormat="1" ht="18">
      <c r="B61" s="218"/>
      <c r="C61" s="219"/>
    </row>
    <row r="62" spans="2:3" s="202" customFormat="1" ht="18">
      <c r="B62" s="218"/>
      <c r="C62" s="219"/>
    </row>
    <row r="63" spans="2:3" s="202" customFormat="1" ht="18">
      <c r="B63" s="218"/>
      <c r="C63" s="219"/>
    </row>
    <row r="64" spans="2:3" s="202" customFormat="1" ht="18">
      <c r="B64" s="218"/>
      <c r="C64" s="219"/>
    </row>
    <row r="65" spans="2:3" s="202" customFormat="1" ht="18">
      <c r="B65" s="218"/>
      <c r="C65" s="219"/>
    </row>
    <row r="66" spans="2:3" s="202" customFormat="1" ht="18">
      <c r="B66" s="218"/>
      <c r="C66" s="219"/>
    </row>
    <row r="67" spans="2:3" s="202" customFormat="1" ht="18">
      <c r="B67" s="218"/>
      <c r="C67" s="219"/>
    </row>
    <row r="68" spans="2:3" s="202" customFormat="1" ht="18">
      <c r="B68" s="218"/>
      <c r="C68" s="219"/>
    </row>
    <row r="69" spans="2:3" s="202" customFormat="1" ht="18">
      <c r="B69" s="218"/>
      <c r="C69" s="219"/>
    </row>
    <row r="70" spans="2:3" s="202" customFormat="1" ht="18">
      <c r="B70" s="218"/>
      <c r="C70" s="219"/>
    </row>
    <row r="71" spans="2:3" s="202" customFormat="1" ht="18">
      <c r="B71" s="218"/>
      <c r="C71" s="219"/>
    </row>
    <row r="72" spans="2:3" s="202" customFormat="1" ht="18">
      <c r="B72" s="218"/>
      <c r="C72" s="219"/>
    </row>
    <row r="73" spans="2:3" s="202" customFormat="1" ht="18">
      <c r="B73" s="218"/>
      <c r="C73" s="219"/>
    </row>
    <row r="74" spans="2:3" s="202" customFormat="1" ht="18">
      <c r="B74" s="218"/>
      <c r="C74" s="219"/>
    </row>
    <row r="75" spans="2:3" s="202" customFormat="1" ht="18">
      <c r="B75" s="218"/>
      <c r="C75" s="219"/>
    </row>
    <row r="76" spans="2:3" s="202" customFormat="1" ht="18">
      <c r="B76" s="218"/>
      <c r="C76" s="219"/>
    </row>
    <row r="77" spans="2:3" s="202" customFormat="1" ht="18">
      <c r="B77" s="218"/>
      <c r="C77" s="219"/>
    </row>
    <row r="78" spans="2:3" s="202" customFormat="1" ht="18">
      <c r="B78" s="218"/>
      <c r="C78" s="219"/>
    </row>
    <row r="79" spans="2:3" s="202" customFormat="1" ht="18">
      <c r="B79" s="218"/>
      <c r="C79" s="219"/>
    </row>
    <row r="80" spans="2:3" s="202" customFormat="1" ht="18">
      <c r="B80" s="218"/>
      <c r="C80" s="219"/>
    </row>
    <row r="81" spans="2:3" s="202" customFormat="1" ht="18">
      <c r="B81" s="218"/>
      <c r="C81" s="219"/>
    </row>
    <row r="82" spans="2:3" s="202" customFormat="1" ht="18">
      <c r="B82" s="218"/>
      <c r="C82" s="219"/>
    </row>
    <row r="83" spans="2:3" s="202" customFormat="1" ht="18">
      <c r="B83" s="218"/>
      <c r="C83" s="219"/>
    </row>
    <row r="84" spans="2:3" s="202" customFormat="1" ht="18">
      <c r="B84" s="218"/>
      <c r="C84" s="219"/>
    </row>
    <row r="85" spans="2:3" s="202" customFormat="1" ht="18">
      <c r="B85" s="218"/>
      <c r="C85" s="219"/>
    </row>
    <row r="86" spans="2:3" s="202" customFormat="1" ht="18">
      <c r="B86" s="218"/>
      <c r="C86" s="219"/>
    </row>
    <row r="87" spans="2:3" s="202" customFormat="1" ht="18">
      <c r="B87" s="218"/>
      <c r="C87" s="219"/>
    </row>
    <row r="88" spans="2:3" s="202" customFormat="1" ht="18">
      <c r="B88" s="218"/>
      <c r="C88" s="219"/>
    </row>
    <row r="89" spans="2:3" s="202" customFormat="1" ht="18">
      <c r="B89" s="218"/>
      <c r="C89" s="219"/>
    </row>
    <row r="90" spans="2:3" s="202" customFormat="1" ht="18">
      <c r="B90" s="218"/>
      <c r="C90" s="219"/>
    </row>
    <row r="91" spans="2:3" s="202" customFormat="1" ht="18">
      <c r="B91" s="218"/>
      <c r="C91" s="219"/>
    </row>
    <row r="92" spans="2:3" s="202" customFormat="1" ht="18">
      <c r="B92" s="218"/>
      <c r="C92" s="219"/>
    </row>
    <row r="93" spans="2:3" s="202" customFormat="1" ht="18">
      <c r="B93" s="218"/>
      <c r="C93" s="219"/>
    </row>
    <row r="94" spans="2:3" s="202" customFormat="1" ht="18">
      <c r="B94" s="218"/>
      <c r="C94" s="219"/>
    </row>
    <row r="95" spans="2:3" s="202" customFormat="1" ht="18">
      <c r="B95" s="218"/>
      <c r="C95" s="219"/>
    </row>
    <row r="96" spans="2:3" s="202" customFormat="1" ht="18">
      <c r="B96" s="218"/>
      <c r="C96" s="219"/>
    </row>
    <row r="97" spans="2:3" s="202" customFormat="1" ht="18">
      <c r="B97" s="218"/>
      <c r="C97" s="219"/>
    </row>
    <row r="98" spans="2:3" s="202" customFormat="1" ht="18">
      <c r="B98" s="218"/>
      <c r="C98" s="219"/>
    </row>
    <row r="99" spans="2:3" s="202" customFormat="1" ht="18">
      <c r="B99" s="218"/>
      <c r="C99" s="219"/>
    </row>
    <row r="100" spans="2:3" s="202" customFormat="1" ht="18">
      <c r="B100" s="218"/>
      <c r="C100" s="219"/>
    </row>
    <row r="101" spans="2:3" s="202" customFormat="1" ht="18">
      <c r="B101" s="218"/>
      <c r="C101" s="219"/>
    </row>
    <row r="102" spans="2:3" s="202" customFormat="1" ht="18">
      <c r="B102" s="218"/>
      <c r="C102" s="219"/>
    </row>
    <row r="103" spans="2:3" s="202" customFormat="1" ht="18">
      <c r="B103" s="218"/>
      <c r="C103" s="219"/>
    </row>
  </sheetData>
  <mergeCells count="5">
    <mergeCell ref="D10:J10"/>
    <mergeCell ref="B2:X2"/>
    <mergeCell ref="B3:X7"/>
    <mergeCell ref="B8:Y8"/>
    <mergeCell ref="D9:L9"/>
  </mergeCells>
  <printOptions horizontalCentered="1"/>
  <pageMargins left="0.25" right="0.25" top="1" bottom="1" header="0.5" footer="0.36"/>
  <pageSetup fitToHeight="1" fitToWidth="1" horizontalDpi="600" verticalDpi="600" orientation="landscape" scale="29" r:id="rId3"/>
  <headerFooter alignWithMargins="0">
    <oddHeader>&amp;L&amp;G&amp;R&amp;27&amp;A</oddHeader>
    <oddFooter>&amp;R&amp;P</oddFooter>
  </headerFooter>
  <drawing r:id="rId1"/>
  <legacyDrawingHF r:id="rId2"/>
</worksheet>
</file>

<file path=xl/worksheets/sheet6.xml><?xml version="1.0" encoding="utf-8"?>
<worksheet xmlns="http://schemas.openxmlformats.org/spreadsheetml/2006/main" xmlns:r="http://schemas.openxmlformats.org/officeDocument/2006/relationships">
  <sheetPr codeName="Sheet6"/>
  <dimension ref="B1:AA79"/>
  <sheetViews>
    <sheetView showGridLines="0" zoomScale="60" zoomScaleNormal="60" workbookViewId="0" topLeftCell="A4">
      <selection activeCell="B8" sqref="B8:H8"/>
    </sheetView>
  </sheetViews>
  <sheetFormatPr defaultColWidth="9.140625" defaultRowHeight="12.75"/>
  <cols>
    <col min="1" max="1" width="5.7109375" style="1" customWidth="1"/>
    <col min="2" max="2" width="62.57421875" style="11" customWidth="1"/>
    <col min="3" max="3" width="21.57421875" style="11" customWidth="1"/>
    <col min="4" max="4" width="16.7109375" style="1" bestFit="1" customWidth="1"/>
    <col min="5" max="5" width="23.28125" style="1" bestFit="1" customWidth="1"/>
    <col min="6" max="6" width="15.00390625" style="1" bestFit="1" customWidth="1"/>
    <col min="7" max="7" width="23.8515625" style="11" customWidth="1"/>
    <col min="8" max="8" width="18.421875" style="1" customWidth="1"/>
    <col min="9" max="9" width="5.7109375" style="1" customWidth="1"/>
    <col min="10" max="10" width="29.7109375" style="1" customWidth="1"/>
    <col min="11" max="11" width="18.140625" style="1" bestFit="1" customWidth="1"/>
    <col min="12" max="16384" width="9.140625" style="1" customWidth="1"/>
  </cols>
  <sheetData>
    <row r="1" spans="2:3" ht="18">
      <c r="B1" s="49"/>
      <c r="C1" s="49"/>
    </row>
    <row r="2" spans="2:8" ht="20.25" customHeight="1">
      <c r="B2" s="237" t="s">
        <v>104</v>
      </c>
      <c r="C2" s="237"/>
      <c r="D2" s="237"/>
      <c r="E2" s="237"/>
      <c r="F2" s="237"/>
      <c r="G2" s="237"/>
      <c r="H2" s="237"/>
    </row>
    <row r="3" spans="2:8" ht="18" customHeight="1">
      <c r="B3" s="248" t="s">
        <v>150</v>
      </c>
      <c r="C3" s="248"/>
      <c r="D3" s="248"/>
      <c r="E3" s="248"/>
      <c r="F3" s="248"/>
      <c r="G3" s="248"/>
      <c r="H3" s="248"/>
    </row>
    <row r="4" spans="2:8" ht="18" customHeight="1">
      <c r="B4" s="248"/>
      <c r="C4" s="248"/>
      <c r="D4" s="248"/>
      <c r="E4" s="248"/>
      <c r="F4" s="248"/>
      <c r="G4" s="248"/>
      <c r="H4" s="248"/>
    </row>
    <row r="5" spans="2:8" ht="18" customHeight="1">
      <c r="B5" s="248"/>
      <c r="C5" s="248"/>
      <c r="D5" s="248"/>
      <c r="E5" s="248"/>
      <c r="F5" s="248"/>
      <c r="G5" s="248"/>
      <c r="H5" s="248"/>
    </row>
    <row r="6" spans="2:8" ht="18" customHeight="1">
      <c r="B6" s="248"/>
      <c r="C6" s="248"/>
      <c r="D6" s="248"/>
      <c r="E6" s="248"/>
      <c r="F6" s="248"/>
      <c r="G6" s="248"/>
      <c r="H6" s="248"/>
    </row>
    <row r="7" spans="2:8" ht="18" customHeight="1">
      <c r="B7" s="248"/>
      <c r="C7" s="248"/>
      <c r="D7" s="248"/>
      <c r="E7" s="248"/>
      <c r="F7" s="248"/>
      <c r="G7" s="248"/>
      <c r="H7" s="248"/>
    </row>
    <row r="8" spans="2:8" ht="18">
      <c r="B8" s="251" t="s">
        <v>179</v>
      </c>
      <c r="C8" s="251"/>
      <c r="D8" s="251"/>
      <c r="E8" s="251"/>
      <c r="F8" s="251"/>
      <c r="G8" s="251"/>
      <c r="H8" s="251"/>
    </row>
    <row r="11" spans="2:3" ht="18">
      <c r="B11" s="283" t="s">
        <v>77</v>
      </c>
      <c r="C11" s="283"/>
    </row>
    <row r="12" spans="2:26" ht="36">
      <c r="B12" s="34" t="s">
        <v>27</v>
      </c>
      <c r="C12" s="1"/>
      <c r="D12" s="220"/>
      <c r="E12" s="221"/>
      <c r="F12" s="221"/>
      <c r="G12" s="221"/>
      <c r="H12" s="3"/>
      <c r="I12" s="2"/>
      <c r="J12" s="2"/>
      <c r="K12" s="2"/>
      <c r="L12" s="2"/>
      <c r="M12" s="2"/>
      <c r="N12" s="2"/>
      <c r="O12" s="2"/>
      <c r="P12" s="2"/>
      <c r="Q12" s="2"/>
      <c r="R12" s="2"/>
      <c r="S12" s="2"/>
      <c r="T12" s="2"/>
      <c r="U12" s="2"/>
      <c r="V12" s="2"/>
      <c r="W12" s="2"/>
      <c r="X12" s="2"/>
      <c r="Y12" s="2"/>
      <c r="Z12" s="2"/>
    </row>
    <row r="13" spans="2:26" ht="18">
      <c r="B13" s="224" t="s">
        <v>158</v>
      </c>
      <c r="C13" s="223">
        <f>'ERR &amp; Sensitivity Analysis'!G29</f>
        <v>44000</v>
      </c>
      <c r="D13" s="221"/>
      <c r="E13" s="221"/>
      <c r="F13" s="221"/>
      <c r="G13" s="221"/>
      <c r="H13" s="3"/>
      <c r="I13" s="2"/>
      <c r="J13" s="2"/>
      <c r="K13" s="2"/>
      <c r="L13" s="2"/>
      <c r="M13" s="2"/>
      <c r="N13" s="2"/>
      <c r="O13" s="2"/>
      <c r="P13" s="2"/>
      <c r="Q13" s="2"/>
      <c r="R13" s="2"/>
      <c r="S13" s="2"/>
      <c r="T13" s="2"/>
      <c r="U13" s="2"/>
      <c r="V13" s="2"/>
      <c r="W13" s="2"/>
      <c r="X13" s="2"/>
      <c r="Y13" s="2"/>
      <c r="Z13" s="2"/>
    </row>
    <row r="14" spans="2:26" ht="18">
      <c r="B14" s="16" t="s">
        <v>157</v>
      </c>
      <c r="C14" s="222">
        <f>-PV(0.1,31,C13)</f>
        <v>417076.5786795328</v>
      </c>
      <c r="D14" s="35"/>
      <c r="E14" s="35"/>
      <c r="F14" s="35"/>
      <c r="G14" s="35"/>
      <c r="H14" s="5"/>
      <c r="I14" s="2"/>
      <c r="J14" s="2"/>
      <c r="K14" s="2"/>
      <c r="L14" s="2"/>
      <c r="M14" s="2"/>
      <c r="N14" s="2"/>
      <c r="O14" s="2"/>
      <c r="P14" s="2"/>
      <c r="Q14" s="2"/>
      <c r="R14" s="2"/>
      <c r="S14" s="2"/>
      <c r="T14" s="2"/>
      <c r="U14" s="2"/>
      <c r="V14" s="2"/>
      <c r="W14" s="2"/>
      <c r="X14" s="2"/>
      <c r="Y14" s="2"/>
      <c r="Z14" s="2"/>
    </row>
    <row r="15" spans="2:26" ht="31.5" customHeight="1">
      <c r="B15" s="281" t="s">
        <v>70</v>
      </c>
      <c r="C15" s="282"/>
      <c r="D15" s="17">
        <v>1</v>
      </c>
      <c r="E15" s="18">
        <v>2</v>
      </c>
      <c r="F15" s="18">
        <v>3</v>
      </c>
      <c r="G15" s="18">
        <v>4</v>
      </c>
      <c r="H15" s="19">
        <v>5</v>
      </c>
      <c r="I15" s="2"/>
      <c r="J15" s="2"/>
      <c r="K15" s="2"/>
      <c r="L15" s="2"/>
      <c r="M15" s="2"/>
      <c r="N15" s="2"/>
      <c r="O15" s="2"/>
      <c r="P15" s="2"/>
      <c r="Q15" s="2"/>
      <c r="R15" s="2"/>
      <c r="S15" s="2"/>
      <c r="T15" s="2"/>
      <c r="U15" s="2"/>
      <c r="V15" s="2"/>
      <c r="W15" s="2"/>
      <c r="X15" s="2"/>
      <c r="Y15" s="2"/>
      <c r="Z15" s="2"/>
    </row>
    <row r="16" spans="2:8" ht="36">
      <c r="B16" s="15" t="s">
        <v>71</v>
      </c>
      <c r="C16" s="32" t="s">
        <v>73</v>
      </c>
      <c r="D16" s="29">
        <f>+C56+C63</f>
        <v>40281.104312011434</v>
      </c>
      <c r="E16" s="21">
        <f aca="true" t="shared" si="0" ref="E16:G17">+D16</f>
        <v>40281.104312011434</v>
      </c>
      <c r="F16" s="21">
        <f t="shared" si="0"/>
        <v>40281.104312011434</v>
      </c>
      <c r="G16" s="21">
        <f t="shared" si="0"/>
        <v>40281.104312011434</v>
      </c>
      <c r="H16" s="22"/>
    </row>
    <row r="17" spans="2:8" ht="18">
      <c r="B17" s="15" t="s">
        <v>18</v>
      </c>
      <c r="C17" s="32"/>
      <c r="D17" s="20">
        <v>40902.306396042004</v>
      </c>
      <c r="E17" s="21">
        <f t="shared" si="0"/>
        <v>40902.306396042004</v>
      </c>
      <c r="F17" s="21">
        <f t="shared" si="0"/>
        <v>40902.306396042004</v>
      </c>
      <c r="G17" s="21">
        <f t="shared" si="0"/>
        <v>40902.306396042004</v>
      </c>
      <c r="H17" s="22"/>
    </row>
    <row r="18" spans="2:8" ht="18">
      <c r="B18" s="15" t="s">
        <v>19</v>
      </c>
      <c r="C18" s="32" t="s">
        <v>73</v>
      </c>
      <c r="D18" s="20">
        <f>SUM(D16:D17)</f>
        <v>81183.41070805344</v>
      </c>
      <c r="E18" s="20">
        <f>SUM(E16:E17)</f>
        <v>81183.41070805344</v>
      </c>
      <c r="F18" s="23">
        <f>SUM(F16:F17)</f>
        <v>81183.41070805344</v>
      </c>
      <c r="G18" s="23">
        <f>SUM(G16:G17)</f>
        <v>81183.41070805344</v>
      </c>
      <c r="H18" s="24"/>
    </row>
    <row r="19" spans="2:8" ht="18">
      <c r="B19" s="15" t="s">
        <v>20</v>
      </c>
      <c r="C19" s="32" t="s">
        <v>73</v>
      </c>
      <c r="D19" s="20">
        <f>D12-D18</f>
        <v>-81183.41070805344</v>
      </c>
      <c r="E19" s="20">
        <f>E12-E18</f>
        <v>-81183.41070805344</v>
      </c>
      <c r="F19" s="20">
        <f>F12-F18</f>
        <v>-81183.41070805344</v>
      </c>
      <c r="G19" s="20">
        <f>G12-G18</f>
        <v>-81183.41070805344</v>
      </c>
      <c r="H19" s="24">
        <f>+C14-H16</f>
        <v>417076.5786795328</v>
      </c>
    </row>
    <row r="20" spans="2:8" ht="21">
      <c r="B20" s="15" t="s">
        <v>78</v>
      </c>
      <c r="C20" s="32" t="s">
        <v>73</v>
      </c>
      <c r="D20" s="25">
        <f>+IRR(D19:H19)</f>
        <v>0.10265583510260368</v>
      </c>
      <c r="E20" s="20"/>
      <c r="F20" s="23"/>
      <c r="G20" s="23"/>
      <c r="H20" s="24"/>
    </row>
    <row r="21" spans="2:8" ht="18">
      <c r="B21" s="16" t="s">
        <v>74</v>
      </c>
      <c r="C21" s="37"/>
      <c r="D21" s="26">
        <f>NPV(0.1,D19:H19)</f>
        <v>1631.2526304394387</v>
      </c>
      <c r="E21" s="27"/>
      <c r="F21" s="28"/>
      <c r="G21" s="28"/>
      <c r="H21" s="31"/>
    </row>
    <row r="22" spans="2:8" ht="18">
      <c r="B22" s="16"/>
      <c r="C22" s="37"/>
      <c r="D22" s="26"/>
      <c r="E22" s="27"/>
      <c r="F22" s="28"/>
      <c r="G22" s="28"/>
      <c r="H22" s="31"/>
    </row>
    <row r="23" spans="2:8" ht="36">
      <c r="B23" s="34" t="s">
        <v>28</v>
      </c>
      <c r="C23" s="36">
        <f>+C14</f>
        <v>417076.5786795328</v>
      </c>
      <c r="D23" s="17">
        <v>1</v>
      </c>
      <c r="E23" s="18">
        <v>2</v>
      </c>
      <c r="F23" s="18">
        <v>3</v>
      </c>
      <c r="G23" s="18">
        <v>4</v>
      </c>
      <c r="H23" s="19">
        <v>5</v>
      </c>
    </row>
    <row r="24" spans="2:8" ht="36">
      <c r="B24" s="15" t="s">
        <v>72</v>
      </c>
      <c r="C24" s="33"/>
      <c r="D24" s="29">
        <f>+D16*(1-$C$25)</f>
        <v>36252.99388081029</v>
      </c>
      <c r="E24" s="21">
        <f>+E16*(1-$C$25)</f>
        <v>36252.99388081029</v>
      </c>
      <c r="F24" s="21">
        <f>+F16*(1-$C$25)</f>
        <v>36252.99388081029</v>
      </c>
      <c r="G24" s="21">
        <f>+G16*(1-$C$25)</f>
        <v>36252.99388081029</v>
      </c>
      <c r="H24" s="22"/>
    </row>
    <row r="25" spans="2:8" ht="18">
      <c r="B25" s="15" t="s">
        <v>151</v>
      </c>
      <c r="C25" s="33">
        <v>0.1</v>
      </c>
      <c r="D25" s="20"/>
      <c r="E25" s="21"/>
      <c r="F25" s="21"/>
      <c r="G25" s="21"/>
      <c r="H25" s="22"/>
    </row>
    <row r="26" spans="2:8" ht="18">
      <c r="B26" s="15" t="s">
        <v>18</v>
      </c>
      <c r="C26" s="33"/>
      <c r="D26" s="20">
        <v>40902.306396042004</v>
      </c>
      <c r="E26" s="21">
        <f>+D26</f>
        <v>40902.306396042004</v>
      </c>
      <c r="F26" s="21">
        <f>+E26</f>
        <v>40902.306396042004</v>
      </c>
      <c r="G26" s="21">
        <f>+F26</f>
        <v>40902.306396042004</v>
      </c>
      <c r="H26" s="22"/>
    </row>
    <row r="27" spans="2:8" ht="18">
      <c r="B27" s="15" t="s">
        <v>19</v>
      </c>
      <c r="C27" s="33"/>
      <c r="D27" s="20">
        <f>SUM(D24:D26)</f>
        <v>77155.3002768523</v>
      </c>
      <c r="E27" s="20">
        <f>SUM(E24:E26)</f>
        <v>77155.3002768523</v>
      </c>
      <c r="F27" s="23">
        <f>SUM(F24:F26)</f>
        <v>77155.3002768523</v>
      </c>
      <c r="G27" s="23">
        <f>SUM(G24:G26)</f>
        <v>77155.3002768523</v>
      </c>
      <c r="H27" s="24"/>
    </row>
    <row r="28" spans="2:8" ht="18">
      <c r="B28" s="15" t="s">
        <v>20</v>
      </c>
      <c r="C28" s="33"/>
      <c r="D28" s="20">
        <f>+D22-D27</f>
        <v>-77155.3002768523</v>
      </c>
      <c r="E28" s="20">
        <f>+E22-E27</f>
        <v>-77155.3002768523</v>
      </c>
      <c r="F28" s="20">
        <f>+F22-F27</f>
        <v>-77155.3002768523</v>
      </c>
      <c r="G28" s="20">
        <f>+G22-G27</f>
        <v>-77155.3002768523</v>
      </c>
      <c r="H28" s="24">
        <f>+C23</f>
        <v>417076.5786795328</v>
      </c>
    </row>
    <row r="29" spans="2:8" ht="21">
      <c r="B29" s="15" t="s">
        <v>80</v>
      </c>
      <c r="C29" s="33"/>
      <c r="D29" s="25">
        <f>+IRR(D28:H28)</f>
        <v>0.12416876713070293</v>
      </c>
      <c r="E29" s="20"/>
      <c r="F29" s="23"/>
      <c r="G29" s="23"/>
      <c r="H29" s="24"/>
    </row>
    <row r="30" spans="2:8" ht="18">
      <c r="B30" s="16" t="s">
        <v>74</v>
      </c>
      <c r="C30" s="38"/>
      <c r="D30" s="26">
        <f>NPV(0.1,D28:H28)</f>
        <v>14399.82070038312</v>
      </c>
      <c r="E30" s="27"/>
      <c r="F30" s="28"/>
      <c r="G30" s="28"/>
      <c r="H30" s="31"/>
    </row>
    <row r="31" spans="2:7" ht="18">
      <c r="B31" s="12" t="s">
        <v>81</v>
      </c>
      <c r="C31" s="30">
        <f>+'ERR GRN funding'!C14</f>
        <v>92353039.54995</v>
      </c>
      <c r="D31" s="14"/>
      <c r="E31" s="4"/>
      <c r="F31" s="4"/>
      <c r="G31" s="3"/>
    </row>
    <row r="32" spans="2:8" ht="21">
      <c r="B32" s="194" t="s">
        <v>147</v>
      </c>
      <c r="C32" s="195">
        <f>'ERR &amp; Sensitivity Analysis'!$G$30</f>
        <v>10500</v>
      </c>
      <c r="D32" s="284"/>
      <c r="E32" s="284"/>
      <c r="F32" s="4"/>
      <c r="G32" s="4"/>
      <c r="H32" s="3"/>
    </row>
    <row r="33" spans="2:5" ht="21">
      <c r="B33" s="12" t="s">
        <v>83</v>
      </c>
      <c r="C33" s="39">
        <v>8500</v>
      </c>
      <c r="D33" s="284"/>
      <c r="E33" s="284"/>
    </row>
    <row r="34" spans="2:5" ht="18">
      <c r="B34" s="12" t="s">
        <v>29</v>
      </c>
      <c r="C34" s="40">
        <v>17054</v>
      </c>
      <c r="D34" s="14"/>
      <c r="E34" s="4"/>
    </row>
    <row r="35" spans="2:27" ht="34.5" customHeight="1">
      <c r="B35" s="12" t="s">
        <v>57</v>
      </c>
      <c r="C35" s="41">
        <v>0.5</v>
      </c>
      <c r="D35" s="14"/>
      <c r="E35" s="4"/>
      <c r="L35" s="3"/>
      <c r="M35" s="3"/>
      <c r="N35" s="3"/>
      <c r="O35" s="3"/>
      <c r="P35" s="3"/>
      <c r="Q35" s="3"/>
      <c r="R35" s="3"/>
      <c r="S35" s="3"/>
      <c r="T35" s="3"/>
      <c r="U35" s="3"/>
      <c r="V35" s="3"/>
      <c r="W35" s="3"/>
      <c r="X35" s="3"/>
      <c r="Y35" s="3"/>
      <c r="Z35" s="3"/>
      <c r="AA35" s="3"/>
    </row>
    <row r="36" spans="2:6" ht="18">
      <c r="B36" s="12" t="s">
        <v>12</v>
      </c>
      <c r="C36" s="22">
        <v>1892</v>
      </c>
      <c r="D36" s="11"/>
      <c r="F36" s="196"/>
    </row>
    <row r="37" spans="2:5" ht="21">
      <c r="B37" s="12" t="s">
        <v>85</v>
      </c>
      <c r="C37" s="22">
        <v>31560</v>
      </c>
      <c r="D37" s="280"/>
      <c r="E37" s="280"/>
    </row>
    <row r="38" spans="2:8" ht="21">
      <c r="B38" s="12" t="s">
        <v>87</v>
      </c>
      <c r="C38" s="22">
        <f>+C37/2</f>
        <v>15780</v>
      </c>
      <c r="D38" s="280"/>
      <c r="E38" s="280"/>
      <c r="H38" s="193"/>
    </row>
    <row r="39" spans="2:5" ht="39">
      <c r="B39" s="12" t="s">
        <v>89</v>
      </c>
      <c r="C39" s="22">
        <f>+C47*C43</f>
        <v>3569.1</v>
      </c>
      <c r="D39" s="280"/>
      <c r="E39" s="280"/>
    </row>
    <row r="40" spans="2:4" ht="18">
      <c r="B40" s="12" t="s">
        <v>75</v>
      </c>
      <c r="C40" s="24">
        <f>+C68</f>
        <v>27210</v>
      </c>
      <c r="D40" s="11"/>
    </row>
    <row r="41" spans="2:4" ht="36">
      <c r="B41" s="12" t="s">
        <v>76</v>
      </c>
      <c r="C41" s="22">
        <v>0</v>
      </c>
      <c r="D41" s="11"/>
    </row>
    <row r="42" spans="2:5" ht="39">
      <c r="B42" s="12" t="s">
        <v>91</v>
      </c>
      <c r="C42" s="42">
        <v>0.005</v>
      </c>
      <c r="D42" s="280"/>
      <c r="E42" s="280"/>
    </row>
    <row r="43" spans="2:7" ht="21">
      <c r="B43" s="12" t="s">
        <v>93</v>
      </c>
      <c r="C43" s="22">
        <v>11897</v>
      </c>
      <c r="D43" s="280"/>
      <c r="E43" s="280"/>
      <c r="G43" s="1"/>
    </row>
    <row r="44" spans="2:7" ht="18">
      <c r="B44" s="12" t="s">
        <v>11</v>
      </c>
      <c r="C44" s="22">
        <v>0.17</v>
      </c>
      <c r="D44" s="11"/>
      <c r="G44" s="1"/>
    </row>
    <row r="45" spans="2:7" ht="21">
      <c r="B45" s="15" t="s">
        <v>95</v>
      </c>
      <c r="C45" s="43">
        <v>48621000</v>
      </c>
      <c r="D45" s="11"/>
      <c r="G45" s="1"/>
    </row>
    <row r="46" spans="2:7" ht="21">
      <c r="B46" s="15" t="s">
        <v>96</v>
      </c>
      <c r="C46" s="43">
        <v>403746000</v>
      </c>
      <c r="D46" s="11"/>
      <c r="G46" s="1"/>
    </row>
    <row r="47" spans="2:7" ht="39">
      <c r="B47" s="15" t="s">
        <v>97</v>
      </c>
      <c r="C47" s="42">
        <v>0.3</v>
      </c>
      <c r="D47" s="11"/>
      <c r="G47" s="1"/>
    </row>
    <row r="48" spans="2:7" ht="39">
      <c r="B48" s="15" t="s">
        <v>98</v>
      </c>
      <c r="C48" s="42">
        <v>0.1</v>
      </c>
      <c r="D48" s="11"/>
      <c r="G48" s="1"/>
    </row>
    <row r="49" spans="2:7" ht="28.5" customHeight="1">
      <c r="B49" s="15" t="s">
        <v>99</v>
      </c>
      <c r="C49" s="43">
        <f>1-C47-C48</f>
        <v>0.6</v>
      </c>
      <c r="D49" s="11"/>
      <c r="G49" s="1"/>
    </row>
    <row r="50" spans="2:7" ht="21">
      <c r="B50" s="15" t="s">
        <v>100</v>
      </c>
      <c r="C50" s="22"/>
      <c r="D50" s="2"/>
      <c r="E50" s="11"/>
      <c r="G50" s="1"/>
    </row>
    <row r="51" spans="2:7" ht="18">
      <c r="B51" s="15" t="s">
        <v>13</v>
      </c>
      <c r="C51" s="43">
        <v>27854</v>
      </c>
      <c r="D51" s="11"/>
      <c r="G51" s="1"/>
    </row>
    <row r="52" spans="2:7" ht="18">
      <c r="B52" s="15" t="s">
        <v>14</v>
      </c>
      <c r="C52" s="43">
        <v>27405</v>
      </c>
      <c r="D52" s="11"/>
      <c r="G52" s="1"/>
    </row>
    <row r="53" spans="2:7" ht="18">
      <c r="B53" s="15" t="s">
        <v>15</v>
      </c>
      <c r="C53" s="43">
        <v>23344</v>
      </c>
      <c r="D53" s="11"/>
      <c r="G53" s="1"/>
    </row>
    <row r="54" spans="2:7" ht="18">
      <c r="B54" s="15" t="s">
        <v>16</v>
      </c>
      <c r="C54" s="43">
        <v>28047</v>
      </c>
      <c r="D54" s="11"/>
      <c r="G54" s="1"/>
    </row>
    <row r="55" spans="2:7" ht="18">
      <c r="B55" s="15" t="s">
        <v>103</v>
      </c>
      <c r="C55" s="43">
        <f>AVERAGE(C51:C54)</f>
        <v>26662.5</v>
      </c>
      <c r="D55" s="11"/>
      <c r="G55" s="1"/>
    </row>
    <row r="56" spans="2:7" ht="36">
      <c r="B56" s="15" t="s">
        <v>17</v>
      </c>
      <c r="C56" s="43">
        <f>(403746000-48000000)/C43*1.113</f>
        <v>33281.104312011434</v>
      </c>
      <c r="D56" s="280"/>
      <c r="E56" s="280"/>
      <c r="G56" s="1"/>
    </row>
    <row r="57" spans="2:7" ht="18">
      <c r="B57" s="191" t="s">
        <v>21</v>
      </c>
      <c r="C57" s="192">
        <f>'ERR &amp; Sensitivity Analysis'!$G$31</f>
        <v>0.19</v>
      </c>
      <c r="D57" s="280"/>
      <c r="E57" s="280"/>
      <c r="G57" s="1"/>
    </row>
    <row r="59" spans="2:5" ht="18.75" thickBot="1">
      <c r="B59" s="286" t="s">
        <v>102</v>
      </c>
      <c r="C59" s="286"/>
      <c r="D59" s="286"/>
      <c r="E59" s="286"/>
    </row>
    <row r="60" spans="2:5" ht="18">
      <c r="B60" s="287"/>
      <c r="C60" s="44" t="s">
        <v>2</v>
      </c>
      <c r="D60" s="44" t="s">
        <v>3</v>
      </c>
      <c r="E60" s="44" t="s">
        <v>4</v>
      </c>
    </row>
    <row r="61" spans="2:5" ht="18.75" thickBot="1">
      <c r="B61" s="288"/>
      <c r="C61" s="45" t="s">
        <v>5</v>
      </c>
      <c r="D61" s="45" t="s">
        <v>5</v>
      </c>
      <c r="E61" s="45" t="s">
        <v>5</v>
      </c>
    </row>
    <row r="62" spans="2:5" ht="19.5" thickBot="1">
      <c r="B62" s="46" t="s">
        <v>67</v>
      </c>
      <c r="C62" s="6">
        <v>380</v>
      </c>
      <c r="D62" s="6">
        <v>380</v>
      </c>
      <c r="E62" s="6">
        <v>380</v>
      </c>
    </row>
    <row r="63" spans="2:5" ht="18.75" thickBot="1">
      <c r="B63" s="46" t="s">
        <v>6</v>
      </c>
      <c r="C63" s="6">
        <f>3500*2</f>
        <v>7000</v>
      </c>
      <c r="D63" s="6">
        <f>3500*2</f>
        <v>7000</v>
      </c>
      <c r="E63" s="6">
        <f>6900*2</f>
        <v>13800</v>
      </c>
    </row>
    <row r="64" spans="2:5" ht="37.5">
      <c r="B64" s="47" t="s">
        <v>68</v>
      </c>
      <c r="C64" s="7">
        <f>4870*2</f>
        <v>9740</v>
      </c>
      <c r="D64" s="7">
        <f>4870*2</f>
        <v>9740</v>
      </c>
      <c r="E64" s="7">
        <v>8305</v>
      </c>
    </row>
    <row r="65" spans="2:5" ht="18">
      <c r="B65" s="8" t="s">
        <v>7</v>
      </c>
      <c r="C65" s="13">
        <v>640</v>
      </c>
      <c r="D65" s="9">
        <v>640</v>
      </c>
      <c r="E65" s="9">
        <v>640</v>
      </c>
    </row>
    <row r="66" spans="2:5" ht="18.75" thickBot="1">
      <c r="B66" s="46" t="s">
        <v>8</v>
      </c>
      <c r="C66" s="6">
        <v>9450</v>
      </c>
      <c r="D66" s="6">
        <v>9450</v>
      </c>
      <c r="E66" s="6">
        <v>9450</v>
      </c>
    </row>
    <row r="67" spans="2:5" ht="19.5" thickBot="1">
      <c r="B67" s="46" t="s">
        <v>69</v>
      </c>
      <c r="C67" s="6">
        <v>0</v>
      </c>
      <c r="D67" s="6">
        <v>500</v>
      </c>
      <c r="E67" s="6">
        <v>500</v>
      </c>
    </row>
    <row r="68" spans="2:5" ht="18.75" thickBot="1">
      <c r="B68" s="48" t="s">
        <v>9</v>
      </c>
      <c r="C68" s="10">
        <f>SUM(C62:C67)</f>
        <v>27210</v>
      </c>
      <c r="D68" s="10">
        <f>SUM(D62:D67)</f>
        <v>27710</v>
      </c>
      <c r="E68" s="10">
        <f>SUM(E62:E67)</f>
        <v>33075</v>
      </c>
    </row>
    <row r="69" spans="2:5" ht="18.75" thickBot="1">
      <c r="B69" s="48" t="s">
        <v>10</v>
      </c>
      <c r="C69" s="10">
        <f>C68/6.5</f>
        <v>4186.153846153846</v>
      </c>
      <c r="D69" s="10">
        <f>D68/6.5</f>
        <v>4263.076923076923</v>
      </c>
      <c r="E69" s="10">
        <f>E68/6.5</f>
        <v>5088.461538461538</v>
      </c>
    </row>
    <row r="71" spans="2:7" ht="21">
      <c r="B71" s="285" t="s">
        <v>79</v>
      </c>
      <c r="C71" s="285"/>
      <c r="D71" s="285"/>
      <c r="E71" s="285"/>
      <c r="F71" s="285"/>
      <c r="G71" s="285"/>
    </row>
    <row r="72" spans="2:7" ht="21">
      <c r="B72" s="285" t="s">
        <v>82</v>
      </c>
      <c r="C72" s="285"/>
      <c r="D72" s="285"/>
      <c r="E72" s="285"/>
      <c r="F72" s="285"/>
      <c r="G72" s="285"/>
    </row>
    <row r="73" spans="2:7" ht="21">
      <c r="B73" s="285" t="s">
        <v>84</v>
      </c>
      <c r="C73" s="285"/>
      <c r="D73" s="285"/>
      <c r="E73" s="285"/>
      <c r="F73" s="285"/>
      <c r="G73" s="285"/>
    </row>
    <row r="74" spans="2:7" ht="21">
      <c r="B74" s="285" t="s">
        <v>86</v>
      </c>
      <c r="C74" s="285"/>
      <c r="D74" s="285"/>
      <c r="E74" s="285"/>
      <c r="F74" s="285"/>
      <c r="G74" s="285"/>
    </row>
    <row r="75" spans="2:7" ht="21">
      <c r="B75" s="285" t="s">
        <v>88</v>
      </c>
      <c r="C75" s="285"/>
      <c r="D75" s="285"/>
      <c r="E75" s="285"/>
      <c r="F75" s="285"/>
      <c r="G75" s="285"/>
    </row>
    <row r="76" spans="2:7" ht="21">
      <c r="B76" s="285" t="s">
        <v>90</v>
      </c>
      <c r="C76" s="285"/>
      <c r="D76" s="285"/>
      <c r="E76" s="285"/>
      <c r="F76" s="285"/>
      <c r="G76" s="285"/>
    </row>
    <row r="77" spans="2:7" ht="21">
      <c r="B77" s="285" t="s">
        <v>92</v>
      </c>
      <c r="C77" s="285"/>
      <c r="D77" s="285"/>
      <c r="E77" s="285"/>
      <c r="F77" s="285"/>
      <c r="G77" s="285"/>
    </row>
    <row r="78" spans="2:7" ht="21">
      <c r="B78" s="285" t="s">
        <v>94</v>
      </c>
      <c r="C78" s="285"/>
      <c r="D78" s="285"/>
      <c r="E78" s="285"/>
      <c r="F78" s="285"/>
      <c r="G78" s="285"/>
    </row>
    <row r="79" spans="2:7" ht="21">
      <c r="B79" s="285" t="s">
        <v>101</v>
      </c>
      <c r="C79" s="285"/>
      <c r="D79" s="285"/>
      <c r="E79" s="285"/>
      <c r="F79" s="285"/>
      <c r="G79" s="285"/>
    </row>
  </sheetData>
  <mergeCells count="25">
    <mergeCell ref="D39:E39"/>
    <mergeCell ref="B75:G75"/>
    <mergeCell ref="B76:G76"/>
    <mergeCell ref="B77:G77"/>
    <mergeCell ref="B71:G71"/>
    <mergeCell ref="B72:G72"/>
    <mergeCell ref="B73:G73"/>
    <mergeCell ref="B74:G74"/>
    <mergeCell ref="D43:E43"/>
    <mergeCell ref="D56:E56"/>
    <mergeCell ref="D57:E57"/>
    <mergeCell ref="B79:G79"/>
    <mergeCell ref="B59:E59"/>
    <mergeCell ref="B60:B61"/>
    <mergeCell ref="B78:G78"/>
    <mergeCell ref="B2:H2"/>
    <mergeCell ref="B3:H7"/>
    <mergeCell ref="B8:H8"/>
    <mergeCell ref="D42:E42"/>
    <mergeCell ref="B15:C15"/>
    <mergeCell ref="B11:C11"/>
    <mergeCell ref="D32:E32"/>
    <mergeCell ref="D33:E33"/>
    <mergeCell ref="D37:E37"/>
    <mergeCell ref="D38:E38"/>
  </mergeCells>
  <printOptions horizontalCentered="1"/>
  <pageMargins left="0.25" right="0.25" top="1" bottom="1" header="0.5" footer="0.36"/>
  <pageSetup horizontalDpi="600" verticalDpi="600" orientation="portrait" scale="38" r:id="rId2"/>
  <headerFooter alignWithMargins="0">
    <oddHeader>&amp;L&amp;G&amp;R&amp;27&amp;A</oddHeader>
    <oddFooter>&amp;R&amp;P</oddFooter>
  </headerFooter>
  <legacyDrawingHF r:id="rId1"/>
</worksheet>
</file>

<file path=xl/worksheets/sheet7.xml><?xml version="1.0" encoding="utf-8"?>
<worksheet xmlns="http://schemas.openxmlformats.org/spreadsheetml/2006/main" xmlns:r="http://schemas.openxmlformats.org/officeDocument/2006/relationships">
  <sheetPr codeName="Sheet5">
    <pageSetUpPr fitToPage="1"/>
  </sheetPr>
  <dimension ref="B5:AD41"/>
  <sheetViews>
    <sheetView showGridLines="0" zoomScale="60" zoomScaleNormal="60" workbookViewId="0" topLeftCell="B1">
      <selection activeCell="B11" sqref="B11:W11"/>
    </sheetView>
  </sheetViews>
  <sheetFormatPr defaultColWidth="9.140625" defaultRowHeight="12.75"/>
  <cols>
    <col min="1" max="1" width="5.7109375" style="85" customWidth="1"/>
    <col min="2" max="2" width="71.28125" style="85" bestFit="1" customWidth="1"/>
    <col min="3" max="3" width="16.140625" style="85" bestFit="1" customWidth="1"/>
    <col min="4" max="6" width="19.7109375" style="85" bestFit="1" customWidth="1"/>
    <col min="7" max="7" width="26.28125" style="85" bestFit="1" customWidth="1"/>
    <col min="8" max="19" width="19.7109375" style="85" bestFit="1" customWidth="1"/>
    <col min="20" max="20" width="18.140625" style="85" bestFit="1" customWidth="1"/>
    <col min="21" max="22" width="19.140625" style="85" bestFit="1" customWidth="1"/>
    <col min="23" max="23" width="19.7109375" style="85" bestFit="1" customWidth="1"/>
    <col min="24" max="16384" width="9.140625" style="85" customWidth="1"/>
  </cols>
  <sheetData>
    <row r="5" spans="2:25" ht="18">
      <c r="B5" s="277" t="s">
        <v>104</v>
      </c>
      <c r="C5" s="277"/>
      <c r="D5" s="277"/>
      <c r="E5" s="277"/>
      <c r="F5" s="277"/>
      <c r="G5" s="277"/>
      <c r="H5" s="277"/>
      <c r="I5" s="277"/>
      <c r="J5" s="277"/>
      <c r="K5" s="277"/>
      <c r="L5" s="277"/>
      <c r="M5" s="277"/>
      <c r="N5" s="277"/>
      <c r="O5" s="277"/>
      <c r="P5" s="277"/>
      <c r="Q5" s="277"/>
      <c r="R5" s="277"/>
      <c r="S5" s="277"/>
      <c r="T5" s="277"/>
      <c r="U5" s="277"/>
      <c r="V5" s="277"/>
      <c r="W5" s="277"/>
      <c r="X5" s="116"/>
      <c r="Y5" s="50"/>
    </row>
    <row r="6" spans="2:25" ht="18" customHeight="1">
      <c r="B6" s="278" t="s">
        <v>150</v>
      </c>
      <c r="C6" s="278"/>
      <c r="D6" s="278"/>
      <c r="E6" s="278"/>
      <c r="F6" s="278"/>
      <c r="G6" s="278"/>
      <c r="H6" s="278"/>
      <c r="I6" s="278"/>
      <c r="J6" s="278"/>
      <c r="K6" s="278"/>
      <c r="L6" s="278"/>
      <c r="M6" s="278"/>
      <c r="N6" s="278"/>
      <c r="O6" s="278"/>
      <c r="P6" s="278"/>
      <c r="Q6" s="278"/>
      <c r="R6" s="278"/>
      <c r="S6" s="278"/>
      <c r="T6" s="278"/>
      <c r="U6" s="278"/>
      <c r="V6" s="278"/>
      <c r="W6" s="278"/>
      <c r="X6" s="115"/>
      <c r="Y6" s="50"/>
    </row>
    <row r="7" spans="2:25" ht="18" customHeight="1">
      <c r="B7" s="278"/>
      <c r="C7" s="278"/>
      <c r="D7" s="278"/>
      <c r="E7" s="278"/>
      <c r="F7" s="278"/>
      <c r="G7" s="278"/>
      <c r="H7" s="278"/>
      <c r="I7" s="278"/>
      <c r="J7" s="278"/>
      <c r="K7" s="278"/>
      <c r="L7" s="278"/>
      <c r="M7" s="278"/>
      <c r="N7" s="278"/>
      <c r="O7" s="278"/>
      <c r="P7" s="278"/>
      <c r="Q7" s="278"/>
      <c r="R7" s="278"/>
      <c r="S7" s="278"/>
      <c r="T7" s="278"/>
      <c r="U7" s="278"/>
      <c r="V7" s="278"/>
      <c r="W7" s="278"/>
      <c r="X7" s="115"/>
      <c r="Y7" s="50"/>
    </row>
    <row r="8" spans="2:25" ht="18" customHeight="1">
      <c r="B8" s="278"/>
      <c r="C8" s="278"/>
      <c r="D8" s="278"/>
      <c r="E8" s="278"/>
      <c r="F8" s="278"/>
      <c r="G8" s="278"/>
      <c r="H8" s="278"/>
      <c r="I8" s="278"/>
      <c r="J8" s="278"/>
      <c r="K8" s="278"/>
      <c r="L8" s="278"/>
      <c r="M8" s="278"/>
      <c r="N8" s="278"/>
      <c r="O8" s="278"/>
      <c r="P8" s="278"/>
      <c r="Q8" s="278"/>
      <c r="R8" s="278"/>
      <c r="S8" s="278"/>
      <c r="T8" s="278"/>
      <c r="U8" s="278"/>
      <c r="V8" s="278"/>
      <c r="W8" s="278"/>
      <c r="X8" s="115"/>
      <c r="Y8" s="50"/>
    </row>
    <row r="9" spans="2:25" ht="18" customHeight="1">
      <c r="B9" s="278"/>
      <c r="C9" s="278"/>
      <c r="D9" s="278"/>
      <c r="E9" s="278"/>
      <c r="F9" s="278"/>
      <c r="G9" s="278"/>
      <c r="H9" s="278"/>
      <c r="I9" s="278"/>
      <c r="J9" s="278"/>
      <c r="K9" s="278"/>
      <c r="L9" s="278"/>
      <c r="M9" s="278"/>
      <c r="N9" s="278"/>
      <c r="O9" s="278"/>
      <c r="P9" s="278"/>
      <c r="Q9" s="278"/>
      <c r="R9" s="278"/>
      <c r="S9" s="278"/>
      <c r="T9" s="278"/>
      <c r="U9" s="278"/>
      <c r="V9" s="278"/>
      <c r="W9" s="278"/>
      <c r="X9" s="115"/>
      <c r="Y9" s="50"/>
    </row>
    <row r="10" spans="2:25" ht="18" customHeight="1">
      <c r="B10" s="278"/>
      <c r="C10" s="278"/>
      <c r="D10" s="278"/>
      <c r="E10" s="278"/>
      <c r="F10" s="278"/>
      <c r="G10" s="278"/>
      <c r="H10" s="278"/>
      <c r="I10" s="278"/>
      <c r="J10" s="278"/>
      <c r="K10" s="278"/>
      <c r="L10" s="278"/>
      <c r="M10" s="278"/>
      <c r="N10" s="278"/>
      <c r="O10" s="278"/>
      <c r="P10" s="278"/>
      <c r="Q10" s="278"/>
      <c r="R10" s="278"/>
      <c r="S10" s="278"/>
      <c r="T10" s="278"/>
      <c r="U10" s="278"/>
      <c r="V10" s="278"/>
      <c r="W10" s="278"/>
      <c r="X10" s="115"/>
      <c r="Y10" s="50"/>
    </row>
    <row r="11" spans="2:25" ht="18">
      <c r="B11" s="277" t="s">
        <v>177</v>
      </c>
      <c r="C11" s="277"/>
      <c r="D11" s="277"/>
      <c r="E11" s="277"/>
      <c r="F11" s="277"/>
      <c r="G11" s="277"/>
      <c r="H11" s="277"/>
      <c r="I11" s="277"/>
      <c r="J11" s="277"/>
      <c r="K11" s="277"/>
      <c r="L11" s="277"/>
      <c r="M11" s="277"/>
      <c r="N11" s="277"/>
      <c r="O11" s="277"/>
      <c r="P11" s="277"/>
      <c r="Q11" s="277"/>
      <c r="R11" s="277"/>
      <c r="S11" s="277"/>
      <c r="T11" s="277"/>
      <c r="U11" s="277"/>
      <c r="V11" s="277"/>
      <c r="W11" s="277"/>
      <c r="X11" s="116"/>
      <c r="Y11" s="116"/>
    </row>
    <row r="12" spans="4:9" ht="12.75">
      <c r="D12" s="289"/>
      <c r="E12" s="289"/>
      <c r="F12" s="289"/>
      <c r="G12" s="289"/>
      <c r="H12" s="289"/>
      <c r="I12" s="289"/>
    </row>
    <row r="13" spans="2:26" ht="18">
      <c r="B13" s="86"/>
      <c r="C13" s="87" t="s">
        <v>0</v>
      </c>
      <c r="D13" s="87">
        <v>1</v>
      </c>
      <c r="E13" s="87">
        <v>2</v>
      </c>
      <c r="F13" s="87">
        <v>3</v>
      </c>
      <c r="G13" s="87">
        <v>4</v>
      </c>
      <c r="H13" s="87">
        <v>5</v>
      </c>
      <c r="I13" s="87">
        <v>6</v>
      </c>
      <c r="J13" s="87">
        <v>7</v>
      </c>
      <c r="K13" s="87">
        <v>8</v>
      </c>
      <c r="L13" s="87">
        <v>9</v>
      </c>
      <c r="M13" s="87">
        <v>10</v>
      </c>
      <c r="N13" s="87">
        <v>11</v>
      </c>
      <c r="O13" s="87">
        <v>12</v>
      </c>
      <c r="P13" s="87">
        <v>13</v>
      </c>
      <c r="Q13" s="87">
        <v>14</v>
      </c>
      <c r="R13" s="87">
        <v>15</v>
      </c>
      <c r="S13" s="87">
        <v>16</v>
      </c>
      <c r="T13" s="88">
        <v>17</v>
      </c>
      <c r="U13" s="89">
        <v>18</v>
      </c>
      <c r="V13" s="87">
        <v>19</v>
      </c>
      <c r="W13" s="90">
        <v>20</v>
      </c>
      <c r="X13" s="91"/>
      <c r="Y13" s="91"/>
      <c r="Z13" s="91"/>
    </row>
    <row r="14" spans="2:23" ht="18">
      <c r="B14" s="92" t="s">
        <v>47</v>
      </c>
      <c r="C14" s="93">
        <f>NPV(0.1,D16:M16)</f>
        <v>92353039.54995</v>
      </c>
      <c r="D14" s="94"/>
      <c r="E14" s="94"/>
      <c r="F14" s="94"/>
      <c r="G14" s="94"/>
      <c r="H14" s="94"/>
      <c r="I14" s="94"/>
      <c r="J14" s="94"/>
      <c r="K14" s="94"/>
      <c r="L14" s="94"/>
      <c r="M14" s="94"/>
      <c r="N14" s="94"/>
      <c r="O14" s="95"/>
      <c r="P14" s="94"/>
      <c r="Q14" s="94"/>
      <c r="R14" s="94"/>
      <c r="S14" s="105"/>
      <c r="T14" s="105"/>
      <c r="U14" s="105"/>
      <c r="V14" s="105"/>
      <c r="W14" s="109"/>
    </row>
    <row r="15" spans="2:23" ht="18">
      <c r="B15" s="96" t="s">
        <v>1</v>
      </c>
      <c r="C15" s="97"/>
      <c r="D15" s="98"/>
      <c r="E15" s="98"/>
      <c r="F15" s="98"/>
      <c r="G15" s="98"/>
      <c r="H15" s="98"/>
      <c r="I15" s="98"/>
      <c r="J15" s="98"/>
      <c r="K15" s="98"/>
      <c r="L15" s="98"/>
      <c r="M15" s="98"/>
      <c r="N15" s="98"/>
      <c r="O15" s="98"/>
      <c r="P15" s="98"/>
      <c r="Q15" s="98"/>
      <c r="R15" s="98"/>
      <c r="S15" s="98"/>
      <c r="T15" s="99"/>
      <c r="U15" s="100"/>
      <c r="V15" s="101"/>
      <c r="W15" s="102"/>
    </row>
    <row r="16" spans="2:23" ht="39" customHeight="1">
      <c r="B16" s="103" t="s">
        <v>109</v>
      </c>
      <c r="C16" s="104" t="s">
        <v>31</v>
      </c>
      <c r="D16" s="98">
        <f>119.77*1000000/5</f>
        <v>23954000</v>
      </c>
      <c r="E16" s="98">
        <f>119.77*1000000/5*0.9</f>
        <v>21558600</v>
      </c>
      <c r="F16" s="98">
        <f>119.77*1000000/5*0.8</f>
        <v>19163200</v>
      </c>
      <c r="G16" s="98">
        <f>119.77*1000000/5*0.7</f>
        <v>16767799.999999998</v>
      </c>
      <c r="H16" s="98">
        <f>119.77*1000000/5*0.6</f>
        <v>14372400</v>
      </c>
      <c r="I16" s="98">
        <f>119.77*1000000/5*0.5</f>
        <v>11977000</v>
      </c>
      <c r="J16" s="98">
        <f>119.77*1000000/5*0.4</f>
        <v>9581600</v>
      </c>
      <c r="K16" s="98">
        <f>119.77*1000000/5*0.3</f>
        <v>7186200</v>
      </c>
      <c r="L16" s="98">
        <f>119.77*1000000/5*0.2</f>
        <v>4790800</v>
      </c>
      <c r="M16" s="98">
        <f>119.77*1000000/5*0.1</f>
        <v>2395400</v>
      </c>
      <c r="N16" s="98">
        <v>0</v>
      </c>
      <c r="O16" s="98">
        <v>0</v>
      </c>
      <c r="P16" s="98">
        <v>0</v>
      </c>
      <c r="Q16" s="98">
        <v>0</v>
      </c>
      <c r="R16" s="98">
        <v>0</v>
      </c>
      <c r="S16" s="98">
        <v>0</v>
      </c>
      <c r="T16" s="99">
        <v>0</v>
      </c>
      <c r="U16" s="105">
        <v>0</v>
      </c>
      <c r="V16" s="98">
        <v>0</v>
      </c>
      <c r="W16" s="102">
        <v>0</v>
      </c>
    </row>
    <row r="17" spans="2:23" ht="18">
      <c r="B17" s="103" t="s">
        <v>54</v>
      </c>
      <c r="C17" s="104"/>
      <c r="D17" s="98">
        <f>+D16/'Key Assumptions and Parameters'!$C$32</f>
        <v>2281.3333333333335</v>
      </c>
      <c r="E17" s="98">
        <f>+E16/'Key Assumptions and Parameters'!$C$32</f>
        <v>2053.2</v>
      </c>
      <c r="F17" s="98">
        <f>+F16/'Key Assumptions and Parameters'!$C$32</f>
        <v>1825.0666666666666</v>
      </c>
      <c r="G17" s="98">
        <f>+G16/'Key Assumptions and Parameters'!$C$32</f>
        <v>1596.9333333333332</v>
      </c>
      <c r="H17" s="98">
        <f>+H16/'Key Assumptions and Parameters'!$C$32</f>
        <v>1368.8</v>
      </c>
      <c r="I17" s="98">
        <f>+I16/'Key Assumptions and Parameters'!$C$32</f>
        <v>1140.6666666666667</v>
      </c>
      <c r="J17" s="98">
        <f>+J16/'Key Assumptions and Parameters'!$C$32</f>
        <v>912.5333333333333</v>
      </c>
      <c r="K17" s="98">
        <f>+K16/'Key Assumptions and Parameters'!$C$32</f>
        <v>684.4</v>
      </c>
      <c r="L17" s="98">
        <f>+L16/'Key Assumptions and Parameters'!$C$32</f>
        <v>456.26666666666665</v>
      </c>
      <c r="M17" s="98">
        <f>+M16/'Key Assumptions and Parameters'!$C$32</f>
        <v>228.13333333333333</v>
      </c>
      <c r="N17" s="98">
        <f>+N16/'Key Assumptions and Parameters'!$C$32</f>
        <v>0</v>
      </c>
      <c r="O17" s="98">
        <f>+O16/'Key Assumptions and Parameters'!$C$32</f>
        <v>0</v>
      </c>
      <c r="P17" s="98">
        <f>+P16/'Key Assumptions and Parameters'!$C$32</f>
        <v>0</v>
      </c>
      <c r="Q17" s="98">
        <f>+Q16/'Key Assumptions and Parameters'!$C$32</f>
        <v>0</v>
      </c>
      <c r="R17" s="98">
        <f>+R16/'Key Assumptions and Parameters'!$C$32</f>
        <v>0</v>
      </c>
      <c r="S17" s="98">
        <f>+S16/'Key Assumptions and Parameters'!$C$32</f>
        <v>0</v>
      </c>
      <c r="T17" s="99">
        <f>+T16/'Key Assumptions and Parameters'!$C$32</f>
        <v>0</v>
      </c>
      <c r="U17" s="105">
        <f>+U16/'Key Assumptions and Parameters'!$C$32</f>
        <v>0</v>
      </c>
      <c r="V17" s="98">
        <f>+V16/'Key Assumptions and Parameters'!$C$32</f>
        <v>0</v>
      </c>
      <c r="W17" s="102">
        <f>+W16/'Key Assumptions and Parameters'!$C$32</f>
        <v>0</v>
      </c>
    </row>
    <row r="18" spans="2:23" ht="20.25" customHeight="1">
      <c r="B18" s="103" t="s">
        <v>53</v>
      </c>
      <c r="C18" s="104">
        <f>+D22-D17</f>
        <v>12718.666666666666</v>
      </c>
      <c r="D18" s="98"/>
      <c r="E18" s="98"/>
      <c r="F18" s="98"/>
      <c r="G18" s="98"/>
      <c r="H18" s="98"/>
      <c r="I18" s="98"/>
      <c r="J18" s="98"/>
      <c r="K18" s="98"/>
      <c r="L18" s="98"/>
      <c r="M18" s="98"/>
      <c r="N18" s="98"/>
      <c r="O18" s="98"/>
      <c r="P18" s="98"/>
      <c r="Q18" s="98"/>
      <c r="R18" s="98"/>
      <c r="S18" s="98"/>
      <c r="T18" s="99"/>
      <c r="U18" s="105"/>
      <c r="V18" s="105"/>
      <c r="W18" s="102"/>
    </row>
    <row r="19" spans="2:23" ht="20.25" customHeight="1">
      <c r="B19" s="103" t="s">
        <v>107</v>
      </c>
      <c r="C19" s="106"/>
      <c r="D19" s="98">
        <f>+C18</f>
        <v>12718.666666666666</v>
      </c>
      <c r="E19" s="98">
        <f>+$C$18*(1.02)</f>
        <v>12973.039999999999</v>
      </c>
      <c r="F19" s="98">
        <f>+E19*(1.02)</f>
        <v>13232.5008</v>
      </c>
      <c r="G19" s="98">
        <f aca="true" t="shared" si="0" ref="G19:W19">+F19*(1.02)</f>
        <v>13497.150816</v>
      </c>
      <c r="H19" s="98">
        <f t="shared" si="0"/>
        <v>13767.093832319999</v>
      </c>
      <c r="I19" s="98">
        <f t="shared" si="0"/>
        <v>14042.435708966399</v>
      </c>
      <c r="J19" s="98">
        <f t="shared" si="0"/>
        <v>14323.284423145727</v>
      </c>
      <c r="K19" s="98">
        <f t="shared" si="0"/>
        <v>14609.750111608642</v>
      </c>
      <c r="L19" s="98">
        <f t="shared" si="0"/>
        <v>14901.945113840815</v>
      </c>
      <c r="M19" s="98">
        <f t="shared" si="0"/>
        <v>15199.98401611763</v>
      </c>
      <c r="N19" s="98">
        <f t="shared" si="0"/>
        <v>15503.983696439984</v>
      </c>
      <c r="O19" s="98">
        <f t="shared" si="0"/>
        <v>15814.063370368784</v>
      </c>
      <c r="P19" s="98">
        <f t="shared" si="0"/>
        <v>16130.34463777616</v>
      </c>
      <c r="Q19" s="98">
        <f t="shared" si="0"/>
        <v>16452.95153053168</v>
      </c>
      <c r="R19" s="98">
        <f t="shared" si="0"/>
        <v>16782.010561142317</v>
      </c>
      <c r="S19" s="98">
        <f t="shared" si="0"/>
        <v>17117.650772365163</v>
      </c>
      <c r="T19" s="99">
        <f t="shared" si="0"/>
        <v>17460.003787812468</v>
      </c>
      <c r="U19" s="105">
        <f t="shared" si="0"/>
        <v>17809.203863568717</v>
      </c>
      <c r="V19" s="105">
        <f t="shared" si="0"/>
        <v>18165.38794084009</v>
      </c>
      <c r="W19" s="102">
        <f t="shared" si="0"/>
        <v>18528.69569965689</v>
      </c>
    </row>
    <row r="20" spans="2:23" ht="18">
      <c r="B20" s="103" t="s">
        <v>48</v>
      </c>
      <c r="C20" s="106"/>
      <c r="D20" s="98">
        <f>+D17*0.5</f>
        <v>1140.6666666666667</v>
      </c>
      <c r="E20" s="98">
        <f aca="true" t="shared" si="1" ref="E20:W20">+E17*0.5</f>
        <v>1026.6</v>
      </c>
      <c r="F20" s="98">
        <f t="shared" si="1"/>
        <v>912.5333333333333</v>
      </c>
      <c r="G20" s="98">
        <f t="shared" si="1"/>
        <v>798.4666666666666</v>
      </c>
      <c r="H20" s="98">
        <f t="shared" si="1"/>
        <v>684.4</v>
      </c>
      <c r="I20" s="98">
        <f t="shared" si="1"/>
        <v>570.3333333333334</v>
      </c>
      <c r="J20" s="98">
        <f t="shared" si="1"/>
        <v>456.26666666666665</v>
      </c>
      <c r="K20" s="98">
        <f t="shared" si="1"/>
        <v>342.2</v>
      </c>
      <c r="L20" s="98">
        <f t="shared" si="1"/>
        <v>228.13333333333333</v>
      </c>
      <c r="M20" s="98">
        <f t="shared" si="1"/>
        <v>114.06666666666666</v>
      </c>
      <c r="N20" s="98">
        <f t="shared" si="1"/>
        <v>0</v>
      </c>
      <c r="O20" s="98">
        <f t="shared" si="1"/>
        <v>0</v>
      </c>
      <c r="P20" s="98">
        <f t="shared" si="1"/>
        <v>0</v>
      </c>
      <c r="Q20" s="98">
        <f t="shared" si="1"/>
        <v>0</v>
      </c>
      <c r="R20" s="98">
        <f t="shared" si="1"/>
        <v>0</v>
      </c>
      <c r="S20" s="98">
        <f t="shared" si="1"/>
        <v>0</v>
      </c>
      <c r="T20" s="99">
        <f t="shared" si="1"/>
        <v>0</v>
      </c>
      <c r="U20" s="105">
        <f t="shared" si="1"/>
        <v>0</v>
      </c>
      <c r="V20" s="105">
        <f t="shared" si="1"/>
        <v>0</v>
      </c>
      <c r="W20" s="102">
        <f t="shared" si="1"/>
        <v>0</v>
      </c>
    </row>
    <row r="21" spans="2:23" ht="18">
      <c r="B21" s="103" t="s">
        <v>55</v>
      </c>
      <c r="C21" s="106"/>
      <c r="D21" s="98">
        <f>+D20+D19</f>
        <v>13859.333333333332</v>
      </c>
      <c r="E21" s="98">
        <f aca="true" t="shared" si="2" ref="E21:W21">+E20+E19</f>
        <v>13999.64</v>
      </c>
      <c r="F21" s="98">
        <f t="shared" si="2"/>
        <v>14145.034133333333</v>
      </c>
      <c r="G21" s="98">
        <f t="shared" si="2"/>
        <v>14295.617482666667</v>
      </c>
      <c r="H21" s="98">
        <f t="shared" si="2"/>
        <v>14451.493832319999</v>
      </c>
      <c r="I21" s="98">
        <f t="shared" si="2"/>
        <v>14612.769042299733</v>
      </c>
      <c r="J21" s="98">
        <f t="shared" si="2"/>
        <v>14779.551089812394</v>
      </c>
      <c r="K21" s="98">
        <f t="shared" si="2"/>
        <v>14951.950111608643</v>
      </c>
      <c r="L21" s="98">
        <f t="shared" si="2"/>
        <v>15130.078447174148</v>
      </c>
      <c r="M21" s="98">
        <f t="shared" si="2"/>
        <v>15314.050682784298</v>
      </c>
      <c r="N21" s="98">
        <f t="shared" si="2"/>
        <v>15503.983696439984</v>
      </c>
      <c r="O21" s="98">
        <f t="shared" si="2"/>
        <v>15814.063370368784</v>
      </c>
      <c r="P21" s="98">
        <f t="shared" si="2"/>
        <v>16130.34463777616</v>
      </c>
      <c r="Q21" s="98">
        <f t="shared" si="2"/>
        <v>16452.95153053168</v>
      </c>
      <c r="R21" s="98">
        <f t="shared" si="2"/>
        <v>16782.010561142317</v>
      </c>
      <c r="S21" s="98">
        <f t="shared" si="2"/>
        <v>17117.650772365163</v>
      </c>
      <c r="T21" s="99">
        <f t="shared" si="2"/>
        <v>17460.003787812468</v>
      </c>
      <c r="U21" s="105">
        <f t="shared" si="2"/>
        <v>17809.203863568717</v>
      </c>
      <c r="V21" s="105">
        <f t="shared" si="2"/>
        <v>18165.38794084009</v>
      </c>
      <c r="W21" s="102">
        <f t="shared" si="2"/>
        <v>18528.69569965689</v>
      </c>
    </row>
    <row r="22" spans="2:23" ht="36">
      <c r="B22" s="103" t="s">
        <v>50</v>
      </c>
      <c r="C22" s="106"/>
      <c r="D22" s="98">
        <f>15000</f>
        <v>15000</v>
      </c>
      <c r="E22" s="98">
        <f>15000</f>
        <v>15000</v>
      </c>
      <c r="F22" s="98">
        <f>15000</f>
        <v>15000</v>
      </c>
      <c r="G22" s="98">
        <f>15000</f>
        <v>15000</v>
      </c>
      <c r="H22" s="98">
        <f>15000</f>
        <v>15000</v>
      </c>
      <c r="I22" s="98">
        <f>15000</f>
        <v>15000</v>
      </c>
      <c r="J22" s="98">
        <f>15000</f>
        <v>15000</v>
      </c>
      <c r="K22" s="98">
        <f>15000</f>
        <v>15000</v>
      </c>
      <c r="L22" s="98">
        <f>15000</f>
        <v>15000</v>
      </c>
      <c r="M22" s="98">
        <f>15000</f>
        <v>15000</v>
      </c>
      <c r="N22" s="98">
        <f>15000</f>
        <v>15000</v>
      </c>
      <c r="O22" s="98">
        <f>15000</f>
        <v>15000</v>
      </c>
      <c r="P22" s="98">
        <f>15000</f>
        <v>15000</v>
      </c>
      <c r="Q22" s="98">
        <f>15000</f>
        <v>15000</v>
      </c>
      <c r="R22" s="98">
        <f>15000</f>
        <v>15000</v>
      </c>
      <c r="S22" s="98">
        <f>15000</f>
        <v>15000</v>
      </c>
      <c r="T22" s="99">
        <f>15000</f>
        <v>15000</v>
      </c>
      <c r="U22" s="105">
        <f>15000</f>
        <v>15000</v>
      </c>
      <c r="V22" s="105">
        <f>15000</f>
        <v>15000</v>
      </c>
      <c r="W22" s="102">
        <f>15000</f>
        <v>15000</v>
      </c>
    </row>
    <row r="23" spans="2:23" ht="28.5" customHeight="1">
      <c r="B23" s="103" t="s">
        <v>30</v>
      </c>
      <c r="C23" s="106"/>
      <c r="D23" s="98">
        <f>+MAX(0,+D21-D22)</f>
        <v>0</v>
      </c>
      <c r="E23" s="98">
        <f aca="true" t="shared" si="3" ref="E23:W23">+MAX(0,+E21-E22)</f>
        <v>0</v>
      </c>
      <c r="F23" s="98">
        <f t="shared" si="3"/>
        <v>0</v>
      </c>
      <c r="G23" s="98">
        <f t="shared" si="3"/>
        <v>0</v>
      </c>
      <c r="H23" s="98">
        <f t="shared" si="3"/>
        <v>0</v>
      </c>
      <c r="I23" s="98">
        <f t="shared" si="3"/>
        <v>0</v>
      </c>
      <c r="J23" s="98">
        <f t="shared" si="3"/>
        <v>0</v>
      </c>
      <c r="K23" s="98">
        <f t="shared" si="3"/>
        <v>0</v>
      </c>
      <c r="L23" s="98">
        <f t="shared" si="3"/>
        <v>130.0784471741481</v>
      </c>
      <c r="M23" s="98">
        <f t="shared" si="3"/>
        <v>314.05068278429826</v>
      </c>
      <c r="N23" s="98">
        <f t="shared" si="3"/>
        <v>503.98369643998376</v>
      </c>
      <c r="O23" s="98">
        <f t="shared" si="3"/>
        <v>814.0633703687836</v>
      </c>
      <c r="P23" s="98">
        <f t="shared" si="3"/>
        <v>1130.3446377761593</v>
      </c>
      <c r="Q23" s="98">
        <f t="shared" si="3"/>
        <v>1452.9515305316818</v>
      </c>
      <c r="R23" s="98">
        <f t="shared" si="3"/>
        <v>1782.0105611423169</v>
      </c>
      <c r="S23" s="98">
        <f t="shared" si="3"/>
        <v>2117.650772365163</v>
      </c>
      <c r="T23" s="99">
        <f t="shared" si="3"/>
        <v>2460.0037878124676</v>
      </c>
      <c r="U23" s="105">
        <f t="shared" si="3"/>
        <v>2809.2038635687168</v>
      </c>
      <c r="V23" s="105">
        <f t="shared" si="3"/>
        <v>3165.38794084009</v>
      </c>
      <c r="W23" s="102">
        <f t="shared" si="3"/>
        <v>3528.6956996568915</v>
      </c>
    </row>
    <row r="24" spans="2:23" ht="18">
      <c r="B24" s="103" t="s">
        <v>22</v>
      </c>
      <c r="C24" s="106"/>
      <c r="D24" s="98">
        <f>+D22*'Key Assumptions and Parameters'!$C$57</f>
        <v>2850</v>
      </c>
      <c r="E24" s="98">
        <f>+E22*'Key Assumptions and Parameters'!$C$57</f>
        <v>2850</v>
      </c>
      <c r="F24" s="98">
        <f>+F22*'Key Assumptions and Parameters'!$C$57</f>
        <v>2850</v>
      </c>
      <c r="G24" s="98">
        <f>+G22*'Key Assumptions and Parameters'!$C$57</f>
        <v>2850</v>
      </c>
      <c r="H24" s="98">
        <f>+H22*'Key Assumptions and Parameters'!$C$57</f>
        <v>2850</v>
      </c>
      <c r="I24" s="98">
        <f>+I22*'Key Assumptions and Parameters'!$C$57</f>
        <v>2850</v>
      </c>
      <c r="J24" s="98">
        <f>+J22*'Key Assumptions and Parameters'!$C$57</f>
        <v>2850</v>
      </c>
      <c r="K24" s="98">
        <f>+K22*'Key Assumptions and Parameters'!$C$57</f>
        <v>2850</v>
      </c>
      <c r="L24" s="98">
        <f>+L22*'Key Assumptions and Parameters'!$C$57</f>
        <v>2850</v>
      </c>
      <c r="M24" s="98">
        <f>+M22*'Key Assumptions and Parameters'!$C$57</f>
        <v>2850</v>
      </c>
      <c r="N24" s="98">
        <f>+N22*'Key Assumptions and Parameters'!$C$57</f>
        <v>2850</v>
      </c>
      <c r="O24" s="98">
        <f>+O22*'Key Assumptions and Parameters'!$C$57</f>
        <v>2850</v>
      </c>
      <c r="P24" s="98">
        <f>+P22*'Key Assumptions and Parameters'!$C$57</f>
        <v>2850</v>
      </c>
      <c r="Q24" s="98">
        <f>+Q22*'Key Assumptions and Parameters'!$C$57</f>
        <v>2850</v>
      </c>
      <c r="R24" s="98">
        <f>+R22*'Key Assumptions and Parameters'!$C$57</f>
        <v>2850</v>
      </c>
      <c r="S24" s="98">
        <f>+S22*'Key Assumptions and Parameters'!$C$57</f>
        <v>2850</v>
      </c>
      <c r="T24" s="107">
        <f>+T22*'Key Assumptions and Parameters'!$C$57</f>
        <v>2850</v>
      </c>
      <c r="U24" s="105">
        <f>+U22*'Key Assumptions and Parameters'!$C$57</f>
        <v>2850</v>
      </c>
      <c r="V24" s="105">
        <f>+V22*'Key Assumptions and Parameters'!$C$57</f>
        <v>2850</v>
      </c>
      <c r="W24" s="102">
        <f>+W22*'Key Assumptions and Parameters'!$C$57</f>
        <v>2850</v>
      </c>
    </row>
    <row r="25" spans="2:23" ht="18">
      <c r="B25" s="96" t="s">
        <v>23</v>
      </c>
      <c r="C25" s="104"/>
      <c r="D25" s="98">
        <f>+D22*'Key Assumptions and Parameters'!$E$18</f>
        <v>1217751160.6208017</v>
      </c>
      <c r="E25" s="98">
        <f>+E22*'Key Assumptions and Parameters'!$E$18</f>
        <v>1217751160.6208017</v>
      </c>
      <c r="F25" s="98">
        <f>+F22*'Key Assumptions and Parameters'!$E$18</f>
        <v>1217751160.6208017</v>
      </c>
      <c r="G25" s="98">
        <f>+G22*'Key Assumptions and Parameters'!$E$18</f>
        <v>1217751160.6208017</v>
      </c>
      <c r="H25" s="98">
        <f>+H22*'Key Assumptions and Parameters'!$E$18</f>
        <v>1217751160.6208017</v>
      </c>
      <c r="I25" s="98">
        <f>+I22*'Key Assumptions and Parameters'!$E$18</f>
        <v>1217751160.6208017</v>
      </c>
      <c r="J25" s="98">
        <f>+J22*'Key Assumptions and Parameters'!$E$18</f>
        <v>1217751160.6208017</v>
      </c>
      <c r="K25" s="98">
        <f>+K22*'Key Assumptions and Parameters'!$E$18</f>
        <v>1217751160.6208017</v>
      </c>
      <c r="L25" s="98">
        <f>+L22*'Key Assumptions and Parameters'!$E$18</f>
        <v>1217751160.6208017</v>
      </c>
      <c r="M25" s="98">
        <f>+M22*'Key Assumptions and Parameters'!$E$18</f>
        <v>1217751160.6208017</v>
      </c>
      <c r="N25" s="98">
        <f>+N22*'Key Assumptions and Parameters'!$E$18</f>
        <v>1217751160.6208017</v>
      </c>
      <c r="O25" s="98">
        <f>+O22*'Key Assumptions and Parameters'!$E$18</f>
        <v>1217751160.6208017</v>
      </c>
      <c r="P25" s="98">
        <f>+P22*'Key Assumptions and Parameters'!$E$18</f>
        <v>1217751160.6208017</v>
      </c>
      <c r="Q25" s="98">
        <f>+Q22*'Key Assumptions and Parameters'!$E$18</f>
        <v>1217751160.6208017</v>
      </c>
      <c r="R25" s="98">
        <f>+R22*'Key Assumptions and Parameters'!$E$18</f>
        <v>1217751160.6208017</v>
      </c>
      <c r="S25" s="98">
        <f>+S22*'Key Assumptions and Parameters'!$E$18</f>
        <v>1217751160.6208017</v>
      </c>
      <c r="T25" s="99">
        <f>+T22*'Key Assumptions and Parameters'!$E$18</f>
        <v>1217751160.6208017</v>
      </c>
      <c r="U25" s="99">
        <f>+U22*'Key Assumptions and Parameters'!$E$18</f>
        <v>1217751160.6208017</v>
      </c>
      <c r="V25" s="98">
        <f>+V22*'Key Assumptions and Parameters'!$E$18</f>
        <v>1217751160.6208017</v>
      </c>
      <c r="W25" s="102">
        <f>+W22*'Key Assumptions and Parameters'!$E$18</f>
        <v>1217751160.6208017</v>
      </c>
    </row>
    <row r="26" spans="2:23" ht="18">
      <c r="B26" s="103" t="s">
        <v>24</v>
      </c>
      <c r="C26" s="104"/>
      <c r="D26" s="98">
        <f>+D24*'Key Assumptions and Parameters'!$C$14</f>
        <v>1188668249.2366686</v>
      </c>
      <c r="E26" s="98">
        <f>+E24*'Key Assumptions and Parameters'!$C$14</f>
        <v>1188668249.2366686</v>
      </c>
      <c r="F26" s="98">
        <f>+F24*'Key Assumptions and Parameters'!$C$14</f>
        <v>1188668249.2366686</v>
      </c>
      <c r="G26" s="98">
        <f>+G24*'Key Assumptions and Parameters'!$C$14</f>
        <v>1188668249.2366686</v>
      </c>
      <c r="H26" s="98">
        <f>+H24*'Key Assumptions and Parameters'!$C$14</f>
        <v>1188668249.2366686</v>
      </c>
      <c r="I26" s="98">
        <f>+I24*'Key Assumptions and Parameters'!$C$14</f>
        <v>1188668249.2366686</v>
      </c>
      <c r="J26" s="98">
        <f>+J24*'Key Assumptions and Parameters'!$C$14</f>
        <v>1188668249.2366686</v>
      </c>
      <c r="K26" s="98">
        <f>+K24*'Key Assumptions and Parameters'!$C$14</f>
        <v>1188668249.2366686</v>
      </c>
      <c r="L26" s="98">
        <f>+L24*'Key Assumptions and Parameters'!$C$14</f>
        <v>1188668249.2366686</v>
      </c>
      <c r="M26" s="98">
        <f>+M24*'Key Assumptions and Parameters'!$C$14</f>
        <v>1188668249.2366686</v>
      </c>
      <c r="N26" s="98">
        <f>+N24*'Key Assumptions and Parameters'!$C$14</f>
        <v>1188668249.2366686</v>
      </c>
      <c r="O26" s="98">
        <f>+O24*'Key Assumptions and Parameters'!$C$14</f>
        <v>1188668249.2366686</v>
      </c>
      <c r="P26" s="98">
        <f>+P24*'Key Assumptions and Parameters'!$C$14</f>
        <v>1188668249.2366686</v>
      </c>
      <c r="Q26" s="98">
        <f>+Q24*'Key Assumptions and Parameters'!$C$14</f>
        <v>1188668249.2366686</v>
      </c>
      <c r="R26" s="98">
        <f>+R24*'Key Assumptions and Parameters'!$C$14</f>
        <v>1188668249.2366686</v>
      </c>
      <c r="S26" s="98">
        <f>+S24*'Key Assumptions and Parameters'!$C$14</f>
        <v>1188668249.2366686</v>
      </c>
      <c r="T26" s="99">
        <f>+T24*'Key Assumptions and Parameters'!$C$14</f>
        <v>1188668249.2366686</v>
      </c>
      <c r="U26" s="105">
        <f>+U24*'Key Assumptions and Parameters'!$C$14</f>
        <v>1188668249.2366686</v>
      </c>
      <c r="V26" s="98">
        <f>+V24*'Key Assumptions and Parameters'!$C$14</f>
        <v>1188668249.2366686</v>
      </c>
      <c r="W26" s="102">
        <f>+W24*'Key Assumptions and Parameters'!$C$14</f>
        <v>1188668249.2366686</v>
      </c>
    </row>
    <row r="27" spans="2:23" ht="18">
      <c r="B27" s="103" t="s">
        <v>25</v>
      </c>
      <c r="C27" s="106"/>
      <c r="D27" s="98">
        <f>+D26-D25</f>
        <v>-29082911.3841331</v>
      </c>
      <c r="E27" s="98">
        <f aca="true" t="shared" si="4" ref="E27:W27">+E26-E25</f>
        <v>-29082911.3841331</v>
      </c>
      <c r="F27" s="98">
        <f t="shared" si="4"/>
        <v>-29082911.3841331</v>
      </c>
      <c r="G27" s="98">
        <f t="shared" si="4"/>
        <v>-29082911.3841331</v>
      </c>
      <c r="H27" s="98">
        <f t="shared" si="4"/>
        <v>-29082911.3841331</v>
      </c>
      <c r="I27" s="98">
        <f t="shared" si="4"/>
        <v>-29082911.3841331</v>
      </c>
      <c r="J27" s="98">
        <f t="shared" si="4"/>
        <v>-29082911.3841331</v>
      </c>
      <c r="K27" s="98">
        <f t="shared" si="4"/>
        <v>-29082911.3841331</v>
      </c>
      <c r="L27" s="98">
        <f t="shared" si="4"/>
        <v>-29082911.3841331</v>
      </c>
      <c r="M27" s="98">
        <f t="shared" si="4"/>
        <v>-29082911.3841331</v>
      </c>
      <c r="N27" s="98">
        <f t="shared" si="4"/>
        <v>-29082911.3841331</v>
      </c>
      <c r="O27" s="98">
        <f t="shared" si="4"/>
        <v>-29082911.3841331</v>
      </c>
      <c r="P27" s="98">
        <f t="shared" si="4"/>
        <v>-29082911.3841331</v>
      </c>
      <c r="Q27" s="98">
        <f t="shared" si="4"/>
        <v>-29082911.3841331</v>
      </c>
      <c r="R27" s="98">
        <f t="shared" si="4"/>
        <v>-29082911.3841331</v>
      </c>
      <c r="S27" s="98">
        <f t="shared" si="4"/>
        <v>-29082911.3841331</v>
      </c>
      <c r="T27" s="99">
        <f t="shared" si="4"/>
        <v>-29082911.3841331</v>
      </c>
      <c r="U27" s="105">
        <f t="shared" si="4"/>
        <v>-29082911.3841331</v>
      </c>
      <c r="V27" s="105">
        <f t="shared" si="4"/>
        <v>-29082911.3841331</v>
      </c>
      <c r="W27" s="102">
        <f t="shared" si="4"/>
        <v>-29082911.3841331</v>
      </c>
    </row>
    <row r="28" spans="2:23" ht="18">
      <c r="B28" s="103" t="s">
        <v>26</v>
      </c>
      <c r="C28" s="106"/>
      <c r="D28" s="98"/>
      <c r="E28" s="98"/>
      <c r="F28" s="98"/>
      <c r="G28" s="98"/>
      <c r="H28" s="98"/>
      <c r="I28" s="98"/>
      <c r="J28" s="98"/>
      <c r="K28" s="98"/>
      <c r="L28" s="98"/>
      <c r="M28" s="98"/>
      <c r="N28" s="98"/>
      <c r="O28" s="98"/>
      <c r="P28" s="98"/>
      <c r="Q28" s="98"/>
      <c r="R28" s="98"/>
      <c r="S28" s="98"/>
      <c r="T28" s="99"/>
      <c r="U28" s="105"/>
      <c r="V28" s="105"/>
      <c r="W28" s="102"/>
    </row>
    <row r="29" spans="2:23" ht="18">
      <c r="B29" s="103" t="s">
        <v>108</v>
      </c>
      <c r="C29" s="106"/>
      <c r="D29" s="98">
        <f>+D17</f>
        <v>2281.3333333333335</v>
      </c>
      <c r="E29" s="98">
        <f>+E17</f>
        <v>2053.2</v>
      </c>
      <c r="F29" s="98">
        <f>+F17</f>
        <v>1825.0666666666666</v>
      </c>
      <c r="G29" s="98">
        <f>+'Model of Loan Fund'!D16</f>
        <v>3911.4228515272944</v>
      </c>
      <c r="H29" s="98">
        <f>+'Model of Loan Fund'!E16</f>
        <v>2653.5092624761164</v>
      </c>
      <c r="I29" s="98">
        <f>+'Model of Loan Fund'!F16</f>
        <v>1800.1406836637975</v>
      </c>
      <c r="J29" s="98">
        <f>+'Model of Loan Fund'!G16</f>
        <v>1221.2154397975203</v>
      </c>
      <c r="K29" s="98">
        <f>+'Model of Loan Fund'!H16</f>
        <v>828.4725543586377</v>
      </c>
      <c r="L29" s="98">
        <f>+'Model of Loan Fund'!I16</f>
        <v>562.0357808768999</v>
      </c>
      <c r="M29" s="98">
        <f>+'Model of Loan Fund'!J16</f>
        <v>381.2850737468889</v>
      </c>
      <c r="N29" s="98">
        <f>+'Model of Loan Fund'!K16</f>
        <v>258.66379402988946</v>
      </c>
      <c r="O29" s="98">
        <f>+'Model of Loan Fund'!L16</f>
        <v>175.47751786987703</v>
      </c>
      <c r="P29" s="98">
        <f>+'Model of Loan Fund'!M16</f>
        <v>119.04394812292456</v>
      </c>
      <c r="Q29" s="98">
        <f>+'Model of Loan Fund'!N16</f>
        <v>80.75941440659203</v>
      </c>
      <c r="R29" s="98">
        <f>+'Model of Loan Fund'!O16</f>
        <v>54.78718673343204</v>
      </c>
      <c r="S29" s="98">
        <f>+'Model of Loan Fund'!P16</f>
        <v>37.1676274799603</v>
      </c>
      <c r="T29" s="99">
        <f>+'Model of Loan Fund'!Q16</f>
        <v>25.214518482405065</v>
      </c>
      <c r="U29" s="105">
        <f>+'Model of Loan Fund'!R16</f>
        <v>17.1055293384636</v>
      </c>
      <c r="V29" s="105">
        <f>+'Model of Loan Fund'!S16</f>
        <v>11.604391103213706</v>
      </c>
      <c r="W29" s="102">
        <f>+'Model of Loan Fund'!T16</f>
        <v>7.872418924420178</v>
      </c>
    </row>
    <row r="30" spans="2:23" ht="18">
      <c r="B30" s="103" t="s">
        <v>32</v>
      </c>
      <c r="C30" s="106"/>
      <c r="D30" s="98">
        <f>+C18</f>
        <v>12718.666666666666</v>
      </c>
      <c r="E30" s="98">
        <f>+$C$18*(1.02)</f>
        <v>12973.039999999999</v>
      </c>
      <c r="F30" s="98">
        <f>+E30*(1.02)</f>
        <v>13232.5008</v>
      </c>
      <c r="G30" s="98">
        <f aca="true" t="shared" si="5" ref="G30:W30">+F30*(1.02)</f>
        <v>13497.150816</v>
      </c>
      <c r="H30" s="98">
        <f t="shared" si="5"/>
        <v>13767.093832319999</v>
      </c>
      <c r="I30" s="98">
        <f t="shared" si="5"/>
        <v>14042.435708966399</v>
      </c>
      <c r="J30" s="98">
        <f t="shared" si="5"/>
        <v>14323.284423145727</v>
      </c>
      <c r="K30" s="98">
        <f t="shared" si="5"/>
        <v>14609.750111608642</v>
      </c>
      <c r="L30" s="98">
        <f t="shared" si="5"/>
        <v>14901.945113840815</v>
      </c>
      <c r="M30" s="98">
        <f t="shared" si="5"/>
        <v>15199.98401611763</v>
      </c>
      <c r="N30" s="98">
        <f t="shared" si="5"/>
        <v>15503.983696439984</v>
      </c>
      <c r="O30" s="98">
        <f t="shared" si="5"/>
        <v>15814.063370368784</v>
      </c>
      <c r="P30" s="98">
        <f t="shared" si="5"/>
        <v>16130.34463777616</v>
      </c>
      <c r="Q30" s="98">
        <f t="shared" si="5"/>
        <v>16452.95153053168</v>
      </c>
      <c r="R30" s="98">
        <f t="shared" si="5"/>
        <v>16782.010561142317</v>
      </c>
      <c r="S30" s="98">
        <f t="shared" si="5"/>
        <v>17117.650772365163</v>
      </c>
      <c r="T30" s="99">
        <f t="shared" si="5"/>
        <v>17460.003787812468</v>
      </c>
      <c r="U30" s="105">
        <f t="shared" si="5"/>
        <v>17809.203863568717</v>
      </c>
      <c r="V30" s="105">
        <f t="shared" si="5"/>
        <v>18165.38794084009</v>
      </c>
      <c r="W30" s="102">
        <f t="shared" si="5"/>
        <v>18528.69569965689</v>
      </c>
    </row>
    <row r="31" spans="2:23" ht="18">
      <c r="B31" s="103" t="s">
        <v>49</v>
      </c>
      <c r="C31" s="106"/>
      <c r="D31" s="98">
        <f>+D29*0.8</f>
        <v>1825.0666666666668</v>
      </c>
      <c r="E31" s="98">
        <f aca="true" t="shared" si="6" ref="E31:W31">+E29*0.8</f>
        <v>1642.56</v>
      </c>
      <c r="F31" s="98">
        <f t="shared" si="6"/>
        <v>1460.0533333333333</v>
      </c>
      <c r="G31" s="98">
        <f t="shared" si="6"/>
        <v>3129.1382812218358</v>
      </c>
      <c r="H31" s="98">
        <f t="shared" si="6"/>
        <v>2122.807409980893</v>
      </c>
      <c r="I31" s="98">
        <f t="shared" si="6"/>
        <v>1440.1125469310382</v>
      </c>
      <c r="J31" s="98">
        <f t="shared" si="6"/>
        <v>976.9723518380163</v>
      </c>
      <c r="K31" s="98">
        <f t="shared" si="6"/>
        <v>662.7780434869102</v>
      </c>
      <c r="L31" s="98">
        <f t="shared" si="6"/>
        <v>449.62862470152</v>
      </c>
      <c r="M31" s="98">
        <f t="shared" si="6"/>
        <v>305.0280589975111</v>
      </c>
      <c r="N31" s="98">
        <f t="shared" si="6"/>
        <v>206.93103522391158</v>
      </c>
      <c r="O31" s="98">
        <f t="shared" si="6"/>
        <v>140.38201429590163</v>
      </c>
      <c r="P31" s="98">
        <f t="shared" si="6"/>
        <v>95.23515849833966</v>
      </c>
      <c r="Q31" s="98">
        <f t="shared" si="6"/>
        <v>64.60753152527363</v>
      </c>
      <c r="R31" s="98">
        <f t="shared" si="6"/>
        <v>43.82974938674563</v>
      </c>
      <c r="S31" s="98">
        <f t="shared" si="6"/>
        <v>29.734101983968245</v>
      </c>
      <c r="T31" s="99">
        <f t="shared" si="6"/>
        <v>20.171614785924053</v>
      </c>
      <c r="U31" s="105">
        <f t="shared" si="6"/>
        <v>13.68442347077088</v>
      </c>
      <c r="V31" s="105">
        <f t="shared" si="6"/>
        <v>9.283512882570966</v>
      </c>
      <c r="W31" s="102">
        <f t="shared" si="6"/>
        <v>6.297935139536143</v>
      </c>
    </row>
    <row r="32" spans="2:23" ht="18">
      <c r="B32" s="108" t="s">
        <v>50</v>
      </c>
      <c r="C32" s="106"/>
      <c r="D32" s="105">
        <v>15000</v>
      </c>
      <c r="E32" s="105">
        <f>+D32</f>
        <v>15000</v>
      </c>
      <c r="F32" s="105">
        <f aca="true" t="shared" si="7" ref="F32:W32">+E32</f>
        <v>15000</v>
      </c>
      <c r="G32" s="105">
        <f t="shared" si="7"/>
        <v>15000</v>
      </c>
      <c r="H32" s="105">
        <f t="shared" si="7"/>
        <v>15000</v>
      </c>
      <c r="I32" s="105">
        <f t="shared" si="7"/>
        <v>15000</v>
      </c>
      <c r="J32" s="105">
        <f t="shared" si="7"/>
        <v>15000</v>
      </c>
      <c r="K32" s="105">
        <f t="shared" si="7"/>
        <v>15000</v>
      </c>
      <c r="L32" s="105">
        <f t="shared" si="7"/>
        <v>15000</v>
      </c>
      <c r="M32" s="105">
        <f t="shared" si="7"/>
        <v>15000</v>
      </c>
      <c r="N32" s="105">
        <f t="shared" si="7"/>
        <v>15000</v>
      </c>
      <c r="O32" s="105">
        <f t="shared" si="7"/>
        <v>15000</v>
      </c>
      <c r="P32" s="105">
        <f t="shared" si="7"/>
        <v>15000</v>
      </c>
      <c r="Q32" s="105">
        <f t="shared" si="7"/>
        <v>15000</v>
      </c>
      <c r="R32" s="105">
        <f t="shared" si="7"/>
        <v>15000</v>
      </c>
      <c r="S32" s="105">
        <f t="shared" si="7"/>
        <v>15000</v>
      </c>
      <c r="T32" s="105">
        <f t="shared" si="7"/>
        <v>15000</v>
      </c>
      <c r="U32" s="112">
        <f t="shared" si="7"/>
        <v>15000</v>
      </c>
      <c r="V32" s="105">
        <f t="shared" si="7"/>
        <v>15000</v>
      </c>
      <c r="W32" s="109">
        <f t="shared" si="7"/>
        <v>15000</v>
      </c>
    </row>
    <row r="33" spans="2:23" ht="18">
      <c r="B33" s="103" t="s">
        <v>56</v>
      </c>
      <c r="C33" s="106"/>
      <c r="D33" s="98">
        <f aca="true" t="shared" si="8" ref="D33:W33">+D30+D29</f>
        <v>15000</v>
      </c>
      <c r="E33" s="98">
        <f t="shared" si="8"/>
        <v>15026.239999999998</v>
      </c>
      <c r="F33" s="98">
        <f t="shared" si="8"/>
        <v>15057.567466666667</v>
      </c>
      <c r="G33" s="98">
        <f t="shared" si="8"/>
        <v>17408.573667527293</v>
      </c>
      <c r="H33" s="98">
        <f t="shared" si="8"/>
        <v>16420.603094796115</v>
      </c>
      <c r="I33" s="98">
        <f t="shared" si="8"/>
        <v>15842.576392630197</v>
      </c>
      <c r="J33" s="98">
        <f t="shared" si="8"/>
        <v>15544.499862943248</v>
      </c>
      <c r="K33" s="98">
        <f t="shared" si="8"/>
        <v>15438.22266596728</v>
      </c>
      <c r="L33" s="98">
        <f t="shared" si="8"/>
        <v>15463.980894717715</v>
      </c>
      <c r="M33" s="98">
        <f t="shared" si="8"/>
        <v>15581.26908986452</v>
      </c>
      <c r="N33" s="98">
        <f t="shared" si="8"/>
        <v>15762.647490469873</v>
      </c>
      <c r="O33" s="98">
        <f t="shared" si="8"/>
        <v>15989.54088823866</v>
      </c>
      <c r="P33" s="98">
        <f t="shared" si="8"/>
        <v>16249.388585899083</v>
      </c>
      <c r="Q33" s="98">
        <f t="shared" si="8"/>
        <v>16533.710944938273</v>
      </c>
      <c r="R33" s="98">
        <f t="shared" si="8"/>
        <v>16836.79774787575</v>
      </c>
      <c r="S33" s="98">
        <f t="shared" si="8"/>
        <v>17154.818399845124</v>
      </c>
      <c r="T33" s="99">
        <f t="shared" si="8"/>
        <v>17485.21830629487</v>
      </c>
      <c r="U33" s="105">
        <f t="shared" si="8"/>
        <v>17826.30939290718</v>
      </c>
      <c r="V33" s="105">
        <f t="shared" si="8"/>
        <v>18176.992331943304</v>
      </c>
      <c r="W33" s="102">
        <f t="shared" si="8"/>
        <v>18536.568118581312</v>
      </c>
    </row>
    <row r="34" spans="2:23" ht="18">
      <c r="B34" s="103" t="s">
        <v>22</v>
      </c>
      <c r="C34" s="106"/>
      <c r="D34" s="98">
        <f>+D33*'Key Assumptions and Parameters'!$C$57</f>
        <v>2850</v>
      </c>
      <c r="E34" s="98">
        <f>+E33*'Key Assumptions and Parameters'!$C$57</f>
        <v>2854.9855999999995</v>
      </c>
      <c r="F34" s="98">
        <f>+F33*'Key Assumptions and Parameters'!$C$57</f>
        <v>2860.9378186666668</v>
      </c>
      <c r="G34" s="98">
        <f>+G33*'Key Assumptions and Parameters'!$C$57</f>
        <v>3307.6289968301858</v>
      </c>
      <c r="H34" s="98">
        <f>+H33*'Key Assumptions and Parameters'!$C$57</f>
        <v>3119.914588011262</v>
      </c>
      <c r="I34" s="98">
        <f>+I33*'Key Assumptions and Parameters'!$C$57</f>
        <v>3010.0895145997374</v>
      </c>
      <c r="J34" s="98">
        <f>+J33*'Key Assumptions and Parameters'!$C$57</f>
        <v>2953.454973959217</v>
      </c>
      <c r="K34" s="98">
        <f>+K33*'Key Assumptions and Parameters'!$C$57</f>
        <v>2933.262306533783</v>
      </c>
      <c r="L34" s="98">
        <f>+L33*'Key Assumptions and Parameters'!$C$57</f>
        <v>2938.156369996366</v>
      </c>
      <c r="M34" s="98">
        <f>+M33*'Key Assumptions and Parameters'!$C$57</f>
        <v>2960.441127074259</v>
      </c>
      <c r="N34" s="98">
        <f>+N33*'Key Assumptions and Parameters'!$C$57</f>
        <v>2994.903023189276</v>
      </c>
      <c r="O34" s="98">
        <f>+O33*'Key Assumptions and Parameters'!$C$57</f>
        <v>3038.0127687653453</v>
      </c>
      <c r="P34" s="98">
        <f>+P33*'Key Assumptions and Parameters'!$C$57</f>
        <v>3087.3838313208257</v>
      </c>
      <c r="Q34" s="98">
        <f>+Q33*'Key Assumptions and Parameters'!$C$57</f>
        <v>3141.405079538272</v>
      </c>
      <c r="R34" s="98">
        <f>+R33*'Key Assumptions and Parameters'!$C$57</f>
        <v>3198.9915720963922</v>
      </c>
      <c r="S34" s="98">
        <f>+S33*'Key Assumptions and Parameters'!$C$57</f>
        <v>3259.415495970574</v>
      </c>
      <c r="T34" s="99">
        <f>+T33*'Key Assumptions and Parameters'!$C$57</f>
        <v>3322.191478196026</v>
      </c>
      <c r="U34" s="105">
        <f>+U33*'Key Assumptions and Parameters'!$C$57</f>
        <v>3386.998784652364</v>
      </c>
      <c r="V34" s="105">
        <f>+V33*'Key Assumptions and Parameters'!$C$57</f>
        <v>3453.628543069228</v>
      </c>
      <c r="W34" s="102">
        <f>+W33*'Key Assumptions and Parameters'!$C$57</f>
        <v>3521.9479425304494</v>
      </c>
    </row>
    <row r="35" spans="2:23" ht="18">
      <c r="B35" s="103" t="s">
        <v>23</v>
      </c>
      <c r="C35" s="106"/>
      <c r="D35" s="98">
        <f>+D32*'Key Assumptions and Parameters'!$E$18+(D33-D32)*'Key Assumptions and Parameters'!$E$27</f>
        <v>1217751160.6208017</v>
      </c>
      <c r="E35" s="98">
        <f>+E32*'Key Assumptions and Parameters'!$E$18+(E33-E32)*'Key Assumptions and Parameters'!$E$27</f>
        <v>1219775715.700066</v>
      </c>
      <c r="F35" s="98">
        <f>+F32*'Key Assumptions and Parameters'!$E$18+(F33-F32)*'Key Assumptions and Parameters'!$E$27</f>
        <v>1222192795.797646</v>
      </c>
      <c r="G35" s="98">
        <f>+G32*'Key Assumptions and Parameters'!$E$18+(G33-G32)*'Key Assumptions and Parameters'!$E$27</f>
        <v>1403585385.1777894</v>
      </c>
      <c r="H35" s="98">
        <f>+H32*'Key Assumptions and Parameters'!$E$18+(H33-H32)*'Key Assumptions and Parameters'!$E$27</f>
        <v>1327358218.9740217</v>
      </c>
      <c r="I35" s="98">
        <f>+I32*'Key Assumptions and Parameters'!$E$18+(I33-I32)*'Key Assumptions and Parameters'!$E$27</f>
        <v>1282760395.2003715</v>
      </c>
      <c r="J35" s="98">
        <f>+J32*'Key Assumptions and Parameters'!$E$18+(J33-J32)*'Key Assumptions and Parameters'!$E$27</f>
        <v>1259762211.046893</v>
      </c>
      <c r="K35" s="98">
        <f>+K32*'Key Assumptions and Parameters'!$E$18+(K33-K32)*'Key Assumptions and Parameters'!$E$27</f>
        <v>1251562362.0016298</v>
      </c>
      <c r="L35" s="98">
        <f>+L32*'Key Assumptions and Parameters'!$E$18+(L33-L32)*'Key Assumptions and Parameters'!$E$27</f>
        <v>1253549745.8754697</v>
      </c>
      <c r="M35" s="98">
        <f>+M32*'Key Assumptions and Parameters'!$E$18+(M33-M32)*'Key Assumptions and Parameters'!$E$27</f>
        <v>1262599151.7909513</v>
      </c>
      <c r="N35" s="98">
        <f>+N32*'Key Assumptions and Parameters'!$E$18+(N33-N32)*'Key Assumptions and Parameters'!$E$27</f>
        <v>1276593456.7533927</v>
      </c>
      <c r="O35" s="98">
        <f>+O32*'Key Assumptions and Parameters'!$E$18+(O33-O32)*'Key Assumptions and Parameters'!$E$27</f>
        <v>1294099484.9890785</v>
      </c>
      <c r="P35" s="98">
        <f>+P32*'Key Assumptions and Parameters'!$E$18+(P33-P32)*'Key Assumptions and Parameters'!$E$27</f>
        <v>1314148112.1283174</v>
      </c>
      <c r="Q35" s="98">
        <f>+Q32*'Key Assumptions and Parameters'!$E$18+(Q33-Q32)*'Key Assumptions and Parameters'!$E$27</f>
        <v>1336085089.1154091</v>
      </c>
      <c r="R35" s="98">
        <f>+R32*'Key Assumptions and Parameters'!$E$18+(R33-R32)*'Key Assumptions and Parameters'!$E$27</f>
        <v>1359469842.406001</v>
      </c>
      <c r="S35" s="98">
        <f>+S32*'Key Assumptions and Parameters'!$E$18+(S33-S32)*'Key Assumptions and Parameters'!$E$27</f>
        <v>1384006821.3029387</v>
      </c>
      <c r="T35" s="99">
        <f>+T32*'Key Assumptions and Parameters'!$E$18+(T33-T32)*'Key Assumptions and Parameters'!$E$27</f>
        <v>1409498925.2965128</v>
      </c>
      <c r="U35" s="105">
        <f>+U32*'Key Assumptions and Parameters'!$E$18+(U33-U32)*'Key Assumptions and Parameters'!$E$27</f>
        <v>1435815910.5058434</v>
      </c>
      <c r="V35" s="105">
        <f>+V32*'Key Assumptions and Parameters'!$E$18+(V33-V32)*'Key Assumptions and Parameters'!$E$27</f>
        <v>1462872957.9691446</v>
      </c>
      <c r="W35" s="102">
        <f>+W32*'Key Assumptions and Parameters'!$E$18+(W33-W32)*'Key Assumptions and Parameters'!$E$27</f>
        <v>1490616135.7594855</v>
      </c>
    </row>
    <row r="36" spans="2:23" ht="18">
      <c r="B36" s="103" t="s">
        <v>24</v>
      </c>
      <c r="C36" s="110"/>
      <c r="D36" s="105">
        <f>+D34*'Key Assumptions and Parameters'!$C$14</f>
        <v>1188668249.2366686</v>
      </c>
      <c r="E36" s="105">
        <f>+E34*'Key Assumptions and Parameters'!$C$14</f>
        <v>1190747626.227333</v>
      </c>
      <c r="F36" s="105">
        <f>+F34*'Key Assumptions and Parameters'!$C$14</f>
        <v>1193230157.224379</v>
      </c>
      <c r="G36" s="100">
        <f>+G34*'Key Assumptions and Parameters'!$C$14</f>
        <v>1379534585.539149</v>
      </c>
      <c r="H36" s="105">
        <f>+H34*'Key Assumptions and Parameters'!$C$14</f>
        <v>1301243302.1401012</v>
      </c>
      <c r="I36" s="105">
        <f>+I34*'Key Assumptions and Parameters'!$C$14</f>
        <v>1255437836.268394</v>
      </c>
      <c r="J36" s="105">
        <f>+J34*'Key Assumptions and Parameters'!$C$14</f>
        <v>1231816895.822959</v>
      </c>
      <c r="K36" s="105">
        <f>+K34*'Key Assumptions and Parameters'!$C$14</f>
        <v>1223395007.1787453</v>
      </c>
      <c r="L36" s="105">
        <f>+L34*'Key Assumptions and Parameters'!$C$14</f>
        <v>1225436206.4235597</v>
      </c>
      <c r="M36" s="105">
        <f>+M34*'Key Assumptions and Parameters'!$C$14</f>
        <v>1234730656.662312</v>
      </c>
      <c r="N36" s="105">
        <f>+N34*'Key Assumptions and Parameters'!$C$14</f>
        <v>1249103906.3887727</v>
      </c>
      <c r="O36" s="105">
        <f>+O34*'Key Assumptions and Parameters'!$C$14</f>
        <v>1267083971.581385</v>
      </c>
      <c r="P36" s="105">
        <f>+P34*'Key Assumptions and Parameters'!$C$14</f>
        <v>1287675485.4377978</v>
      </c>
      <c r="Q36" s="105">
        <f>+Q34*'Key Assumptions and Parameters'!$C$14</f>
        <v>1310206482.820328</v>
      </c>
      <c r="R36" s="105">
        <f>+R34*'Key Assumptions and Parameters'!$C$14</f>
        <v>1334224460.1146233</v>
      </c>
      <c r="S36" s="105">
        <f>+S34*'Key Assumptions and Parameters'!$C$14</f>
        <v>1359425863.5544596</v>
      </c>
      <c r="T36" s="99">
        <f>+T34*'Key Assumptions and Parameters'!$C$14</f>
        <v>1385608255.4442983</v>
      </c>
      <c r="U36" s="105">
        <f>+U34*'Key Assumptions and Parameters'!$C$14</f>
        <v>1412637865.0945437</v>
      </c>
      <c r="V36" s="105">
        <f>+V34*'Key Assumptions and Parameters'!$C$14</f>
        <v>1440427576.773293</v>
      </c>
      <c r="W36" s="109">
        <f>+W34*'Key Assumptions and Parameters'!$C$14</f>
        <v>1468921998.1580195</v>
      </c>
    </row>
    <row r="37" spans="2:30" ht="18">
      <c r="B37" s="96" t="s">
        <v>25</v>
      </c>
      <c r="C37" s="97"/>
      <c r="D37" s="98">
        <f>+D36-D35</f>
        <v>-29082911.3841331</v>
      </c>
      <c r="E37" s="98">
        <f aca="true" t="shared" si="9" ref="E37:W37">+E36-E35</f>
        <v>-29028089.47273302</v>
      </c>
      <c r="F37" s="98">
        <f t="shared" si="9"/>
        <v>-28962638.573266983</v>
      </c>
      <c r="G37" s="98">
        <f t="shared" si="9"/>
        <v>-24050799.638640404</v>
      </c>
      <c r="H37" s="98">
        <f t="shared" si="9"/>
        <v>-26114916.83392048</v>
      </c>
      <c r="I37" s="98">
        <f t="shared" si="9"/>
        <v>-27322558.93197751</v>
      </c>
      <c r="J37" s="98">
        <f t="shared" si="9"/>
        <v>-27945315.223933935</v>
      </c>
      <c r="K37" s="98">
        <f t="shared" si="9"/>
        <v>-28167354.82288456</v>
      </c>
      <c r="L37" s="98">
        <f t="shared" si="9"/>
        <v>-28113539.45191002</v>
      </c>
      <c r="M37" s="98">
        <f t="shared" si="9"/>
        <v>-27868495.12863922</v>
      </c>
      <c r="N37" s="98">
        <f t="shared" si="9"/>
        <v>-27489550.36461997</v>
      </c>
      <c r="O37" s="98">
        <f t="shared" si="9"/>
        <v>-27015513.407693624</v>
      </c>
      <c r="P37" s="98">
        <f t="shared" si="9"/>
        <v>-26472626.69051957</v>
      </c>
      <c r="Q37" s="98">
        <f t="shared" si="9"/>
        <v>-25878606.29508114</v>
      </c>
      <c r="R37" s="98">
        <f t="shared" si="9"/>
        <v>-25245382.291377783</v>
      </c>
      <c r="S37" s="98">
        <f t="shared" si="9"/>
        <v>-24580957.748479128</v>
      </c>
      <c r="T37" s="99">
        <f t="shared" si="9"/>
        <v>-23890669.852214575</v>
      </c>
      <c r="U37" s="99">
        <f t="shared" si="9"/>
        <v>-23178045.411299706</v>
      </c>
      <c r="V37" s="101">
        <f t="shared" si="9"/>
        <v>-22445381.195851564</v>
      </c>
      <c r="W37" s="102">
        <f t="shared" si="9"/>
        <v>-21694137.60146594</v>
      </c>
      <c r="X37" s="111"/>
      <c r="Y37" s="111"/>
      <c r="Z37" s="111"/>
      <c r="AA37" s="111"/>
      <c r="AB37" s="111"/>
      <c r="AC37" s="111"/>
      <c r="AD37" s="111"/>
    </row>
    <row r="38" spans="2:30" ht="18">
      <c r="B38" s="103" t="s">
        <v>39</v>
      </c>
      <c r="C38" s="104"/>
      <c r="D38" s="98">
        <f aca="true" t="shared" si="10" ref="D38:W38">+D37-D27</f>
        <v>0</v>
      </c>
      <c r="E38" s="98">
        <f t="shared" si="10"/>
        <v>54821.91140007973</v>
      </c>
      <c r="F38" s="98">
        <f t="shared" si="10"/>
        <v>120272.81086611748</v>
      </c>
      <c r="G38" s="98">
        <f t="shared" si="10"/>
        <v>5032111.745492697</v>
      </c>
      <c r="H38" s="98">
        <f t="shared" si="10"/>
        <v>2967994.5502126217</v>
      </c>
      <c r="I38" s="98">
        <f t="shared" si="10"/>
        <v>1760352.45215559</v>
      </c>
      <c r="J38" s="98">
        <f t="shared" si="10"/>
        <v>1137596.1601991653</v>
      </c>
      <c r="K38" s="98">
        <f t="shared" si="10"/>
        <v>915556.5612485409</v>
      </c>
      <c r="L38" s="98">
        <f t="shared" si="10"/>
        <v>969371.9322230816</v>
      </c>
      <c r="M38" s="98">
        <f t="shared" si="10"/>
        <v>1214416.2554938793</v>
      </c>
      <c r="N38" s="98">
        <f t="shared" si="10"/>
        <v>1593361.0195131302</v>
      </c>
      <c r="O38" s="98">
        <f t="shared" si="10"/>
        <v>2067397.976439476</v>
      </c>
      <c r="P38" s="98">
        <f t="shared" si="10"/>
        <v>2610284.693613529</v>
      </c>
      <c r="Q38" s="98">
        <f t="shared" si="10"/>
        <v>3204305.089051962</v>
      </c>
      <c r="R38" s="98">
        <f t="shared" si="10"/>
        <v>3837529.0927553177</v>
      </c>
      <c r="S38" s="98">
        <f t="shared" si="10"/>
        <v>4501953.635653973</v>
      </c>
      <c r="T38" s="99">
        <f t="shared" si="10"/>
        <v>5192241.531918526</v>
      </c>
      <c r="U38" s="105">
        <f t="shared" si="10"/>
        <v>5904865.972833395</v>
      </c>
      <c r="V38" s="98">
        <f t="shared" si="10"/>
        <v>6637530.188281536</v>
      </c>
      <c r="W38" s="102">
        <f t="shared" si="10"/>
        <v>7388773.78266716</v>
      </c>
      <c r="X38" s="111"/>
      <c r="Y38" s="111"/>
      <c r="Z38" s="111"/>
      <c r="AA38" s="111"/>
      <c r="AB38" s="111"/>
      <c r="AC38" s="111"/>
      <c r="AD38" s="111"/>
    </row>
    <row r="39" spans="2:30" ht="18">
      <c r="B39" s="103" t="s">
        <v>40</v>
      </c>
      <c r="C39" s="104"/>
      <c r="D39" s="98">
        <f>6.5*1353059</f>
        <v>8794883.5</v>
      </c>
      <c r="E39" s="98">
        <f>6.5*995408</f>
        <v>6470152</v>
      </c>
      <c r="F39" s="98">
        <f>6.5*803551</f>
        <v>5223081.5</v>
      </c>
      <c r="G39" s="98">
        <f>6.5*643454</f>
        <v>4182451</v>
      </c>
      <c r="H39" s="98">
        <f>6.5*663598</f>
        <v>4313387</v>
      </c>
      <c r="I39" s="98"/>
      <c r="J39" s="98"/>
      <c r="K39" s="98"/>
      <c r="L39" s="98"/>
      <c r="M39" s="98"/>
      <c r="N39" s="98"/>
      <c r="O39" s="98"/>
      <c r="P39" s="98"/>
      <c r="Q39" s="98"/>
      <c r="R39" s="98"/>
      <c r="S39" s="98"/>
      <c r="T39" s="99"/>
      <c r="U39" s="105"/>
      <c r="V39" s="98"/>
      <c r="W39" s="102"/>
      <c r="X39" s="111"/>
      <c r="Y39" s="111"/>
      <c r="Z39" s="111"/>
      <c r="AA39" s="111"/>
      <c r="AB39" s="111"/>
      <c r="AC39" s="111"/>
      <c r="AD39" s="111"/>
    </row>
    <row r="40" spans="2:23" ht="18">
      <c r="B40" s="103" t="s">
        <v>41</v>
      </c>
      <c r="C40" s="106"/>
      <c r="D40" s="98">
        <f aca="true" t="shared" si="11" ref="D40:W40">+D38-D39</f>
        <v>-8794883.5</v>
      </c>
      <c r="E40" s="98">
        <f t="shared" si="11"/>
        <v>-6415330.08859992</v>
      </c>
      <c r="F40" s="98">
        <f t="shared" si="11"/>
        <v>-5102808.6891338825</v>
      </c>
      <c r="G40" s="98">
        <f t="shared" si="11"/>
        <v>849660.7454926968</v>
      </c>
      <c r="H40" s="98">
        <f t="shared" si="11"/>
        <v>-1345392.4497873783</v>
      </c>
      <c r="I40" s="98">
        <f t="shared" si="11"/>
        <v>1760352.45215559</v>
      </c>
      <c r="J40" s="98">
        <f t="shared" si="11"/>
        <v>1137596.1601991653</v>
      </c>
      <c r="K40" s="98">
        <f t="shared" si="11"/>
        <v>915556.5612485409</v>
      </c>
      <c r="L40" s="98">
        <f t="shared" si="11"/>
        <v>969371.9322230816</v>
      </c>
      <c r="M40" s="98">
        <f t="shared" si="11"/>
        <v>1214416.2554938793</v>
      </c>
      <c r="N40" s="98">
        <f t="shared" si="11"/>
        <v>1593361.0195131302</v>
      </c>
      <c r="O40" s="98">
        <f t="shared" si="11"/>
        <v>2067397.976439476</v>
      </c>
      <c r="P40" s="98">
        <f t="shared" si="11"/>
        <v>2610284.693613529</v>
      </c>
      <c r="Q40" s="98">
        <f t="shared" si="11"/>
        <v>3204305.089051962</v>
      </c>
      <c r="R40" s="98">
        <f t="shared" si="11"/>
        <v>3837529.0927553177</v>
      </c>
      <c r="S40" s="98">
        <f t="shared" si="11"/>
        <v>4501953.635653973</v>
      </c>
      <c r="T40" s="99">
        <f t="shared" si="11"/>
        <v>5192241.531918526</v>
      </c>
      <c r="U40" s="105">
        <f t="shared" si="11"/>
        <v>5904865.972833395</v>
      </c>
      <c r="V40" s="105">
        <f t="shared" si="11"/>
        <v>6637530.188281536</v>
      </c>
      <c r="W40" s="102">
        <f t="shared" si="11"/>
        <v>7388773.78266716</v>
      </c>
    </row>
    <row r="41" spans="2:23" ht="18">
      <c r="B41" s="117" t="s">
        <v>42</v>
      </c>
      <c r="C41" s="118">
        <f>+IRR(D40:V40)</f>
        <v>0.05653136533524817</v>
      </c>
      <c r="D41" s="113"/>
      <c r="E41" s="113"/>
      <c r="F41" s="113"/>
      <c r="G41" s="113"/>
      <c r="H41" s="113"/>
      <c r="I41" s="113"/>
      <c r="J41" s="113"/>
      <c r="K41" s="113"/>
      <c r="L41" s="113"/>
      <c r="M41" s="113"/>
      <c r="N41" s="113"/>
      <c r="O41" s="113"/>
      <c r="P41" s="113"/>
      <c r="Q41" s="113"/>
      <c r="R41" s="113"/>
      <c r="S41" s="113"/>
      <c r="T41" s="113"/>
      <c r="U41" s="113"/>
      <c r="V41" s="113"/>
      <c r="W41" s="114"/>
    </row>
  </sheetData>
  <mergeCells count="4">
    <mergeCell ref="D12:I12"/>
    <mergeCell ref="B6:W10"/>
    <mergeCell ref="B11:W11"/>
    <mergeCell ref="B5:W5"/>
  </mergeCells>
  <printOptions horizontalCentered="1"/>
  <pageMargins left="0.25" right="0.25" top="1" bottom="1" header="0.5" footer="0.36"/>
  <pageSetup fitToHeight="1" fitToWidth="1" horizontalDpi="600" verticalDpi="600" orientation="landscape" scale="27" r:id="rId2"/>
  <headerFooter alignWithMargins="0">
    <oddHeader>&amp;L&amp;G&amp;R&amp;27&amp;A</oddHeader>
    <oddFooter>&amp;R&amp;P</oddFooter>
  </headerFooter>
  <legacyDrawingHF r:id="rId1"/>
</worksheet>
</file>

<file path=xl/worksheets/sheet8.xml><?xml version="1.0" encoding="utf-8"?>
<worksheet xmlns="http://schemas.openxmlformats.org/spreadsheetml/2006/main" xmlns:r="http://schemas.openxmlformats.org/officeDocument/2006/relationships">
  <sheetPr codeName="Sheet7">
    <pageSetUpPr fitToPage="1"/>
  </sheetPr>
  <dimension ref="B2:AB45"/>
  <sheetViews>
    <sheetView showGridLines="0" zoomScale="60" zoomScaleNormal="60" workbookViewId="0" topLeftCell="A1">
      <selection activeCell="B8" sqref="B8:Y8"/>
    </sheetView>
  </sheetViews>
  <sheetFormatPr defaultColWidth="9.140625" defaultRowHeight="12.75"/>
  <cols>
    <col min="1" max="1" width="5.7109375" style="0" customWidth="1"/>
    <col min="2" max="2" width="37.421875" style="56" customWidth="1"/>
    <col min="3" max="3" width="24.8515625" style="0" bestFit="1" customWidth="1"/>
    <col min="4" max="7" width="14.421875" style="0" bestFit="1" customWidth="1"/>
    <col min="8" max="10" width="15.421875" style="0" bestFit="1" customWidth="1"/>
    <col min="11" max="11" width="17.57421875" style="0" customWidth="1"/>
    <col min="12" max="12" width="17.140625" style="0" customWidth="1"/>
    <col min="13" max="13" width="18.57421875" style="0" customWidth="1"/>
    <col min="14" max="24" width="15.421875" style="0" bestFit="1" customWidth="1"/>
    <col min="25" max="25" width="9.28125" style="0" bestFit="1" customWidth="1"/>
    <col min="26" max="27" width="10.7109375" style="0" bestFit="1" customWidth="1"/>
    <col min="28" max="29" width="11.7109375" style="0" bestFit="1" customWidth="1"/>
  </cols>
  <sheetData>
    <row r="2" spans="2:25" ht="18">
      <c r="B2" s="277" t="s">
        <v>104</v>
      </c>
      <c r="C2" s="277"/>
      <c r="D2" s="277"/>
      <c r="E2" s="277"/>
      <c r="F2" s="277"/>
      <c r="G2" s="277"/>
      <c r="H2" s="277"/>
      <c r="I2" s="277"/>
      <c r="J2" s="277"/>
      <c r="K2" s="277"/>
      <c r="L2" s="277"/>
      <c r="M2" s="277"/>
      <c r="N2" s="277"/>
      <c r="O2" s="277"/>
      <c r="P2" s="277"/>
      <c r="Q2" s="277"/>
      <c r="R2" s="277"/>
      <c r="S2" s="277"/>
      <c r="T2" s="277"/>
      <c r="U2" s="277"/>
      <c r="V2" s="277"/>
      <c r="W2" s="277"/>
      <c r="X2" s="277"/>
      <c r="Y2" s="50"/>
    </row>
    <row r="3" spans="2:25" ht="18">
      <c r="B3" s="278" t="s">
        <v>150</v>
      </c>
      <c r="C3" s="278"/>
      <c r="D3" s="278"/>
      <c r="E3" s="278"/>
      <c r="F3" s="278"/>
      <c r="G3" s="278"/>
      <c r="H3" s="278"/>
      <c r="I3" s="278"/>
      <c r="J3" s="278"/>
      <c r="K3" s="278"/>
      <c r="L3" s="278"/>
      <c r="M3" s="278"/>
      <c r="N3" s="278"/>
      <c r="O3" s="278"/>
      <c r="P3" s="278"/>
      <c r="Q3" s="278"/>
      <c r="R3" s="278"/>
      <c r="S3" s="278"/>
      <c r="T3" s="278"/>
      <c r="U3" s="278"/>
      <c r="V3" s="278"/>
      <c r="W3" s="278"/>
      <c r="X3" s="278"/>
      <c r="Y3" s="50"/>
    </row>
    <row r="4" spans="2:25" ht="18">
      <c r="B4" s="278"/>
      <c r="C4" s="278"/>
      <c r="D4" s="278"/>
      <c r="E4" s="278"/>
      <c r="F4" s="278"/>
      <c r="G4" s="278"/>
      <c r="H4" s="278"/>
      <c r="I4" s="278"/>
      <c r="J4" s="278"/>
      <c r="K4" s="278"/>
      <c r="L4" s="278"/>
      <c r="M4" s="278"/>
      <c r="N4" s="278"/>
      <c r="O4" s="278"/>
      <c r="P4" s="278"/>
      <c r="Q4" s="278"/>
      <c r="R4" s="278"/>
      <c r="S4" s="278"/>
      <c r="T4" s="278"/>
      <c r="U4" s="278"/>
      <c r="V4" s="278"/>
      <c r="W4" s="278"/>
      <c r="X4" s="278"/>
      <c r="Y4" s="50"/>
    </row>
    <row r="5" spans="2:25" ht="18">
      <c r="B5" s="278"/>
      <c r="C5" s="278"/>
      <c r="D5" s="278"/>
      <c r="E5" s="278"/>
      <c r="F5" s="278"/>
      <c r="G5" s="278"/>
      <c r="H5" s="278"/>
      <c r="I5" s="278"/>
      <c r="J5" s="278"/>
      <c r="K5" s="278"/>
      <c r="L5" s="278"/>
      <c r="M5" s="278"/>
      <c r="N5" s="278"/>
      <c r="O5" s="278"/>
      <c r="P5" s="278"/>
      <c r="Q5" s="278"/>
      <c r="R5" s="278"/>
      <c r="S5" s="278"/>
      <c r="T5" s="278"/>
      <c r="U5" s="278"/>
      <c r="V5" s="278"/>
      <c r="W5" s="278"/>
      <c r="X5" s="278"/>
      <c r="Y5" s="50"/>
    </row>
    <row r="6" spans="2:25" ht="18">
      <c r="B6" s="278"/>
      <c r="C6" s="278"/>
      <c r="D6" s="278"/>
      <c r="E6" s="278"/>
      <c r="F6" s="278"/>
      <c r="G6" s="278"/>
      <c r="H6" s="278"/>
      <c r="I6" s="278"/>
      <c r="J6" s="278"/>
      <c r="K6" s="278"/>
      <c r="L6" s="278"/>
      <c r="M6" s="278"/>
      <c r="N6" s="278"/>
      <c r="O6" s="278"/>
      <c r="P6" s="278"/>
      <c r="Q6" s="278"/>
      <c r="R6" s="278"/>
      <c r="S6" s="278"/>
      <c r="T6" s="278"/>
      <c r="U6" s="278"/>
      <c r="V6" s="278"/>
      <c r="W6" s="278"/>
      <c r="X6" s="278"/>
      <c r="Y6" s="50"/>
    </row>
    <row r="7" spans="2:25" ht="18">
      <c r="B7" s="278"/>
      <c r="C7" s="278"/>
      <c r="D7" s="278"/>
      <c r="E7" s="278"/>
      <c r="F7" s="278"/>
      <c r="G7" s="278"/>
      <c r="H7" s="278"/>
      <c r="I7" s="278"/>
      <c r="J7" s="278"/>
      <c r="K7" s="278"/>
      <c r="L7" s="278"/>
      <c r="M7" s="278"/>
      <c r="N7" s="278"/>
      <c r="O7" s="278"/>
      <c r="P7" s="278"/>
      <c r="Q7" s="278"/>
      <c r="R7" s="278"/>
      <c r="S7" s="278"/>
      <c r="T7" s="278"/>
      <c r="U7" s="278"/>
      <c r="V7" s="278"/>
      <c r="W7" s="278"/>
      <c r="X7" s="278"/>
      <c r="Y7" s="50"/>
    </row>
    <row r="8" spans="2:25" ht="18">
      <c r="B8" s="277" t="s">
        <v>177</v>
      </c>
      <c r="C8" s="277"/>
      <c r="D8" s="277"/>
      <c r="E8" s="277"/>
      <c r="F8" s="277"/>
      <c r="G8" s="277"/>
      <c r="H8" s="277"/>
      <c r="I8" s="277"/>
      <c r="J8" s="277"/>
      <c r="K8" s="277"/>
      <c r="L8" s="277"/>
      <c r="M8" s="277"/>
      <c r="N8" s="277"/>
      <c r="O8" s="277"/>
      <c r="P8" s="277"/>
      <c r="Q8" s="277"/>
      <c r="R8" s="277"/>
      <c r="S8" s="277"/>
      <c r="T8" s="277"/>
      <c r="U8" s="277"/>
      <c r="V8" s="277"/>
      <c r="W8" s="277"/>
      <c r="X8" s="277"/>
      <c r="Y8" s="277"/>
    </row>
    <row r="10" s="58" customFormat="1" ht="14.25" customHeight="1">
      <c r="B10" s="57"/>
    </row>
    <row r="11" spans="2:28" s="58" customFormat="1" ht="19.5">
      <c r="B11" s="59" t="s">
        <v>58</v>
      </c>
      <c r="C11" s="60"/>
      <c r="D11" s="61" t="s">
        <v>44</v>
      </c>
      <c r="E11" s="62"/>
      <c r="F11" s="62"/>
      <c r="G11" s="62"/>
      <c r="H11" s="62"/>
      <c r="I11" s="62"/>
      <c r="J11" s="62"/>
      <c r="K11" s="62"/>
      <c r="L11" s="62"/>
      <c r="M11" s="62"/>
      <c r="N11" s="62"/>
      <c r="O11" s="62"/>
      <c r="P11" s="62"/>
      <c r="Q11" s="62"/>
      <c r="R11" s="62"/>
      <c r="S11" s="62"/>
      <c r="T11" s="62"/>
      <c r="U11" s="62"/>
      <c r="V11" s="62"/>
      <c r="W11" s="63"/>
      <c r="X11" s="64"/>
      <c r="Y11" s="65"/>
      <c r="Z11" s="65"/>
      <c r="AA11" s="66"/>
      <c r="AB11" s="66"/>
    </row>
    <row r="12" spans="2:28" s="58" customFormat="1" ht="18.75">
      <c r="B12" s="67" t="s">
        <v>33</v>
      </c>
      <c r="C12" s="68" t="s">
        <v>36</v>
      </c>
      <c r="D12" s="68">
        <f>+C17*$C$19</f>
        <v>33247094.237982</v>
      </c>
      <c r="E12" s="68">
        <f>+D17*$C$19</f>
        <v>22554828.73104699</v>
      </c>
      <c r="F12" s="68">
        <f aca="true" t="shared" si="0" ref="F12:X12">+E17*$C$19</f>
        <v>15301195.811142279</v>
      </c>
      <c r="G12" s="68">
        <f t="shared" si="0"/>
        <v>10380331.238278922</v>
      </c>
      <c r="H12" s="68">
        <f t="shared" si="0"/>
        <v>7042016.712048421</v>
      </c>
      <c r="I12" s="68">
        <f t="shared" si="0"/>
        <v>4777304.137453649</v>
      </c>
      <c r="J12" s="68">
        <f t="shared" si="0"/>
        <v>3240923.1268485556</v>
      </c>
      <c r="K12" s="68">
        <f t="shared" si="0"/>
        <v>2198642.2492540604</v>
      </c>
      <c r="L12" s="68">
        <f t="shared" si="0"/>
        <v>1491558.9018939547</v>
      </c>
      <c r="M12" s="68">
        <f t="shared" si="0"/>
        <v>1011873.5590448588</v>
      </c>
      <c r="N12" s="68">
        <f t="shared" si="0"/>
        <v>686455.0224560322</v>
      </c>
      <c r="O12" s="68">
        <f t="shared" si="0"/>
        <v>465691.08723417233</v>
      </c>
      <c r="P12" s="68">
        <f t="shared" si="0"/>
        <v>315924.83357966255</v>
      </c>
      <c r="Q12" s="68">
        <f t="shared" si="0"/>
        <v>214323.40710044306</v>
      </c>
      <c r="R12" s="68">
        <f t="shared" si="0"/>
        <v>145396.9993769406</v>
      </c>
      <c r="S12" s="68">
        <f t="shared" si="0"/>
        <v>98637.3243773165</v>
      </c>
      <c r="T12" s="68">
        <f t="shared" si="0"/>
        <v>66915.56085757152</v>
      </c>
      <c r="U12" s="68">
        <f t="shared" si="0"/>
        <v>45395.51648577651</v>
      </c>
      <c r="V12" s="68">
        <f t="shared" si="0"/>
        <v>30796.318383950784</v>
      </c>
      <c r="W12" s="69">
        <f t="shared" si="0"/>
        <v>20892.222391672214</v>
      </c>
      <c r="X12" s="70">
        <f t="shared" si="0"/>
        <v>14173.28367051043</v>
      </c>
      <c r="Z12" s="65"/>
      <c r="AA12" s="66"/>
      <c r="AB12" s="66"/>
    </row>
    <row r="13" spans="2:28" s="58" customFormat="1" ht="18.75">
      <c r="B13" s="67" t="s">
        <v>37</v>
      </c>
      <c r="C13" s="68" t="s">
        <v>38</v>
      </c>
      <c r="D13" s="68">
        <f>+'Key Assumptions and Parameters'!$C$33</f>
        <v>8500</v>
      </c>
      <c r="E13" s="68">
        <f>+'Key Assumptions and Parameters'!$C$33</f>
        <v>8500</v>
      </c>
      <c r="F13" s="68">
        <f>+'Key Assumptions and Parameters'!$C$33</f>
        <v>8500</v>
      </c>
      <c r="G13" s="68">
        <f>+'Key Assumptions and Parameters'!$C$33</f>
        <v>8500</v>
      </c>
      <c r="H13" s="68">
        <f>+'Key Assumptions and Parameters'!$C$33</f>
        <v>8500</v>
      </c>
      <c r="I13" s="68">
        <f>+'Key Assumptions and Parameters'!$C$33</f>
        <v>8500</v>
      </c>
      <c r="J13" s="68">
        <f>+'Key Assumptions and Parameters'!$C$33</f>
        <v>8500</v>
      </c>
      <c r="K13" s="68">
        <f>+'Key Assumptions and Parameters'!$C$33</f>
        <v>8500</v>
      </c>
      <c r="L13" s="68">
        <f>+'Key Assumptions and Parameters'!$C$33</f>
        <v>8500</v>
      </c>
      <c r="M13" s="68">
        <f>+'Key Assumptions and Parameters'!$C$33</f>
        <v>8500</v>
      </c>
      <c r="N13" s="68">
        <f>+'Key Assumptions and Parameters'!$C$33</f>
        <v>8500</v>
      </c>
      <c r="O13" s="68">
        <f>+'Key Assumptions and Parameters'!$C$33</f>
        <v>8500</v>
      </c>
      <c r="P13" s="68">
        <f>+'Key Assumptions and Parameters'!$C$33</f>
        <v>8500</v>
      </c>
      <c r="Q13" s="68">
        <f>+'Key Assumptions and Parameters'!$C$33</f>
        <v>8500</v>
      </c>
      <c r="R13" s="68">
        <f>+'Key Assumptions and Parameters'!$C$33</f>
        <v>8500</v>
      </c>
      <c r="S13" s="68">
        <f>+'Key Assumptions and Parameters'!$C$33</f>
        <v>8500</v>
      </c>
      <c r="T13" s="68">
        <f>+'Key Assumptions and Parameters'!$C$33</f>
        <v>8500</v>
      </c>
      <c r="U13" s="68">
        <f>+'Key Assumptions and Parameters'!$C$33</f>
        <v>8500</v>
      </c>
      <c r="V13" s="68">
        <f>+'Key Assumptions and Parameters'!$C$33</f>
        <v>8500</v>
      </c>
      <c r="W13" s="69">
        <f>+'Key Assumptions and Parameters'!$C$33</f>
        <v>8500</v>
      </c>
      <c r="X13" s="70">
        <f>+'Key Assumptions and Parameters'!$C$33</f>
        <v>8500</v>
      </c>
      <c r="Z13" s="65"/>
      <c r="AA13" s="66"/>
      <c r="AB13" s="66"/>
    </row>
    <row r="14" spans="2:28" s="58" customFormat="1" ht="18.75">
      <c r="B14" s="67"/>
      <c r="C14" s="68" t="s">
        <v>34</v>
      </c>
      <c r="D14" s="68"/>
      <c r="E14" s="68"/>
      <c r="F14" s="68"/>
      <c r="G14" s="68">
        <f>SUM(D13:G13)</f>
        <v>34000</v>
      </c>
      <c r="H14" s="68"/>
      <c r="I14" s="68"/>
      <c r="J14" s="68"/>
      <c r="K14" s="68"/>
      <c r="L14" s="68"/>
      <c r="M14" s="68"/>
      <c r="N14" s="68"/>
      <c r="O14" s="68"/>
      <c r="P14" s="68"/>
      <c r="Q14" s="68"/>
      <c r="R14" s="68"/>
      <c r="S14" s="68"/>
      <c r="T14" s="68"/>
      <c r="U14" s="68"/>
      <c r="V14" s="68"/>
      <c r="W14" s="69"/>
      <c r="X14" s="70"/>
      <c r="Z14" s="65"/>
      <c r="AA14" s="66"/>
      <c r="AB14" s="66"/>
    </row>
    <row r="15" spans="2:28" s="58" customFormat="1" ht="18.75">
      <c r="B15" s="67"/>
      <c r="C15" s="68" t="s">
        <v>62</v>
      </c>
      <c r="D15" s="68"/>
      <c r="E15" s="68"/>
      <c r="F15" s="68"/>
      <c r="G15" s="68"/>
      <c r="H15" s="68">
        <f>PMT(C20,20,$G$14)*D16*0.9</f>
        <v>-14058688.370295003</v>
      </c>
      <c r="I15" s="68">
        <f aca="true" t="shared" si="1" ref="I15:X15">PMT($C$20,20,$G$14)*E16*0.9+H15</f>
        <v>-23596102.560703132</v>
      </c>
      <c r="J15" s="68">
        <f t="shared" si="1"/>
        <v>-30066284.34747601</v>
      </c>
      <c r="K15" s="68">
        <f t="shared" si="1"/>
        <v>-34455655.67162273</v>
      </c>
      <c r="L15" s="68">
        <f t="shared" si="1"/>
        <v>-37433405.177923866</v>
      </c>
      <c r="M15" s="68">
        <f t="shared" si="1"/>
        <v>-39453510.44299856</v>
      </c>
      <c r="N15" s="68">
        <f t="shared" si="1"/>
        <v>-40823949.85482523</v>
      </c>
      <c r="O15" s="68">
        <f t="shared" si="1"/>
        <v>-41753655.95180844</v>
      </c>
      <c r="P15" s="68">
        <f t="shared" si="1"/>
        <v>-42384368.56800185</v>
      </c>
      <c r="Q15" s="68">
        <f t="shared" si="1"/>
        <v>-42812244.00682746</v>
      </c>
      <c r="R15" s="68">
        <f t="shared" si="1"/>
        <v>-43102514.70452675</v>
      </c>
      <c r="S15" s="68">
        <f t="shared" si="1"/>
        <v>-43299434.34584595</v>
      </c>
      <c r="T15" s="68">
        <f t="shared" si="1"/>
        <v>-43433024.6305169</v>
      </c>
      <c r="U15" s="68">
        <f t="shared" si="1"/>
        <v>-43523652.27963767</v>
      </c>
      <c r="V15" s="68">
        <f t="shared" si="1"/>
        <v>-43585134.0768012</v>
      </c>
      <c r="W15" s="69">
        <f t="shared" si="1"/>
        <v>-43626843.32799694</v>
      </c>
      <c r="X15" s="70">
        <f t="shared" si="1"/>
        <v>-43655138.88400813</v>
      </c>
      <c r="Z15" s="65"/>
      <c r="AA15" s="66"/>
      <c r="AB15" s="66"/>
    </row>
    <row r="16" spans="2:28" s="58" customFormat="1" ht="18.75">
      <c r="B16" s="67"/>
      <c r="C16" s="68" t="s">
        <v>35</v>
      </c>
      <c r="D16" s="68">
        <f>+D12/D13</f>
        <v>3911.4228515272944</v>
      </c>
      <c r="E16" s="68">
        <f>+E12/E13</f>
        <v>2653.5092624761164</v>
      </c>
      <c r="F16" s="68">
        <f>+F12/F13</f>
        <v>1800.1406836637975</v>
      </c>
      <c r="G16" s="68">
        <f>+G12/G13</f>
        <v>1221.2154397975203</v>
      </c>
      <c r="H16" s="68">
        <f>+H12/H13</f>
        <v>828.4725543586377</v>
      </c>
      <c r="I16" s="68">
        <f aca="true" t="shared" si="2" ref="I16:X16">+I12/I13</f>
        <v>562.0357808768999</v>
      </c>
      <c r="J16" s="68">
        <f t="shared" si="2"/>
        <v>381.2850737468889</v>
      </c>
      <c r="K16" s="68">
        <f t="shared" si="2"/>
        <v>258.66379402988946</v>
      </c>
      <c r="L16" s="68">
        <f t="shared" si="2"/>
        <v>175.47751786987703</v>
      </c>
      <c r="M16" s="68">
        <f t="shared" si="2"/>
        <v>119.04394812292456</v>
      </c>
      <c r="N16" s="68">
        <f t="shared" si="2"/>
        <v>80.75941440659203</v>
      </c>
      <c r="O16" s="68">
        <f t="shared" si="2"/>
        <v>54.78718673343204</v>
      </c>
      <c r="P16" s="68">
        <f t="shared" si="2"/>
        <v>37.1676274799603</v>
      </c>
      <c r="Q16" s="68">
        <f t="shared" si="2"/>
        <v>25.214518482405065</v>
      </c>
      <c r="R16" s="68">
        <f t="shared" si="2"/>
        <v>17.1055293384636</v>
      </c>
      <c r="S16" s="68">
        <f t="shared" si="2"/>
        <v>11.604391103213706</v>
      </c>
      <c r="T16" s="68">
        <f t="shared" si="2"/>
        <v>7.872418924420178</v>
      </c>
      <c r="U16" s="68">
        <f t="shared" si="2"/>
        <v>5.340648998326649</v>
      </c>
      <c r="V16" s="68">
        <f t="shared" si="2"/>
        <v>3.623096280464798</v>
      </c>
      <c r="W16" s="69">
        <f t="shared" si="2"/>
        <v>2.4579085166673194</v>
      </c>
      <c r="X16" s="70">
        <f t="shared" si="2"/>
        <v>1.6674451377071093</v>
      </c>
      <c r="Z16" s="65"/>
      <c r="AA16" s="66"/>
      <c r="AB16" s="66"/>
    </row>
    <row r="17" spans="2:28" s="58" customFormat="1" ht="18.75">
      <c r="B17" s="67" t="s">
        <v>46</v>
      </c>
      <c r="C17" s="68">
        <f>+'Key Assumptions and Parameters'!C31</f>
        <v>92353039.54995</v>
      </c>
      <c r="D17" s="68">
        <f aca="true" t="shared" si="3" ref="D17:X17">+(C17-D12)*1.06</f>
        <v>62652302.03068608</v>
      </c>
      <c r="E17" s="68">
        <f t="shared" si="3"/>
        <v>42503321.69761744</v>
      </c>
      <c r="F17" s="68">
        <f t="shared" si="3"/>
        <v>28834253.43966367</v>
      </c>
      <c r="G17" s="68">
        <f t="shared" si="3"/>
        <v>19561157.533467837</v>
      </c>
      <c r="H17" s="68">
        <f t="shared" si="3"/>
        <v>13270289.270704582</v>
      </c>
      <c r="I17" s="68">
        <f t="shared" si="3"/>
        <v>9002564.241245989</v>
      </c>
      <c r="J17" s="68">
        <f t="shared" si="3"/>
        <v>6107339.581261279</v>
      </c>
      <c r="K17" s="68">
        <f t="shared" si="3"/>
        <v>4143219.171927652</v>
      </c>
      <c r="L17" s="68">
        <f t="shared" si="3"/>
        <v>2810759.886235719</v>
      </c>
      <c r="M17" s="68">
        <f t="shared" si="3"/>
        <v>1906819.5068223118</v>
      </c>
      <c r="N17" s="68">
        <f t="shared" si="3"/>
        <v>1293586.3534282565</v>
      </c>
      <c r="O17" s="68">
        <f t="shared" si="3"/>
        <v>877568.9821657293</v>
      </c>
      <c r="P17" s="68">
        <f t="shared" si="3"/>
        <v>595342.7975012307</v>
      </c>
      <c r="Q17" s="68">
        <f t="shared" si="3"/>
        <v>403880.553824835</v>
      </c>
      <c r="R17" s="68">
        <f t="shared" si="3"/>
        <v>273992.56771476805</v>
      </c>
      <c r="S17" s="68">
        <f t="shared" si="3"/>
        <v>185876.55793769864</v>
      </c>
      <c r="T17" s="68">
        <f t="shared" si="3"/>
        <v>126098.65690493476</v>
      </c>
      <c r="U17" s="68">
        <f t="shared" si="3"/>
        <v>85545.32884430773</v>
      </c>
      <c r="V17" s="68">
        <f t="shared" si="3"/>
        <v>58033.95108797837</v>
      </c>
      <c r="W17" s="69">
        <f t="shared" si="3"/>
        <v>39370.232418084524</v>
      </c>
      <c r="X17" s="70">
        <f t="shared" si="3"/>
        <v>26708.765672428544</v>
      </c>
      <c r="Z17" s="65"/>
      <c r="AA17" s="66"/>
      <c r="AB17" s="66"/>
    </row>
    <row r="18" spans="2:24" s="58" customFormat="1" ht="37.5">
      <c r="B18" s="71" t="s">
        <v>43</v>
      </c>
      <c r="C18" s="72">
        <v>0.15</v>
      </c>
      <c r="D18" s="72"/>
      <c r="E18" s="72"/>
      <c r="F18" s="72"/>
      <c r="G18" s="72"/>
      <c r="H18" s="72"/>
      <c r="I18" s="72"/>
      <c r="J18" s="72"/>
      <c r="K18" s="72"/>
      <c r="L18" s="72"/>
      <c r="M18" s="72"/>
      <c r="N18" s="72"/>
      <c r="O18" s="72"/>
      <c r="P18" s="72"/>
      <c r="Q18" s="72"/>
      <c r="R18" s="72"/>
      <c r="S18" s="72"/>
      <c r="T18" s="72"/>
      <c r="U18" s="72"/>
      <c r="V18" s="72"/>
      <c r="W18" s="73"/>
      <c r="X18" s="74"/>
    </row>
    <row r="19" spans="2:24" s="58" customFormat="1" ht="18.75">
      <c r="B19" s="71" t="s">
        <v>45</v>
      </c>
      <c r="C19" s="72">
        <v>0.36</v>
      </c>
      <c r="D19" s="72"/>
      <c r="E19" s="72"/>
      <c r="F19" s="72"/>
      <c r="G19" s="72"/>
      <c r="H19" s="72"/>
      <c r="I19" s="72"/>
      <c r="J19" s="72"/>
      <c r="K19" s="72"/>
      <c r="L19" s="72"/>
      <c r="M19" s="72"/>
      <c r="N19" s="72"/>
      <c r="O19" s="72"/>
      <c r="P19" s="72"/>
      <c r="Q19" s="72"/>
      <c r="R19" s="72"/>
      <c r="S19" s="72"/>
      <c r="T19" s="72"/>
      <c r="U19" s="72"/>
      <c r="V19" s="72"/>
      <c r="W19" s="73"/>
      <c r="X19" s="74"/>
    </row>
    <row r="20" spans="2:24" s="58" customFormat="1" ht="37.5">
      <c r="B20" s="71" t="s">
        <v>52</v>
      </c>
      <c r="C20" s="72">
        <v>0.1</v>
      </c>
      <c r="D20" s="75"/>
      <c r="E20" s="75"/>
      <c r="F20" s="75"/>
      <c r="G20" s="75"/>
      <c r="H20" s="75"/>
      <c r="I20" s="75"/>
      <c r="J20" s="75"/>
      <c r="K20" s="75"/>
      <c r="L20" s="75"/>
      <c r="M20" s="75"/>
      <c r="N20" s="75"/>
      <c r="O20" s="75"/>
      <c r="P20" s="75"/>
      <c r="Q20" s="75"/>
      <c r="R20" s="75"/>
      <c r="S20" s="75"/>
      <c r="T20" s="75"/>
      <c r="U20" s="75"/>
      <c r="V20" s="75"/>
      <c r="W20" s="76"/>
      <c r="X20" s="77"/>
    </row>
    <row r="21" spans="2:24" s="58" customFormat="1" ht="39">
      <c r="B21" s="78" t="s">
        <v>59</v>
      </c>
      <c r="C21" s="79"/>
      <c r="D21" s="79"/>
      <c r="E21" s="75"/>
      <c r="F21" s="75"/>
      <c r="G21" s="75"/>
      <c r="H21" s="75"/>
      <c r="I21" s="75"/>
      <c r="J21" s="75"/>
      <c r="K21" s="75"/>
      <c r="L21" s="75"/>
      <c r="M21" s="75"/>
      <c r="N21" s="75"/>
      <c r="O21" s="75"/>
      <c r="P21" s="75"/>
      <c r="Q21" s="75"/>
      <c r="R21" s="75"/>
      <c r="S21" s="75"/>
      <c r="T21" s="75"/>
      <c r="U21" s="75"/>
      <c r="V21" s="75"/>
      <c r="W21" s="76"/>
      <c r="X21" s="77"/>
    </row>
    <row r="22" spans="2:24" s="58" customFormat="1" ht="18.75">
      <c r="B22" s="67" t="s">
        <v>60</v>
      </c>
      <c r="C22" s="68">
        <f>+C17</f>
        <v>92353039.54995</v>
      </c>
      <c r="D22" s="75"/>
      <c r="E22" s="75"/>
      <c r="F22" s="75"/>
      <c r="G22" s="75"/>
      <c r="H22" s="75"/>
      <c r="I22" s="75"/>
      <c r="J22" s="75"/>
      <c r="K22" s="75"/>
      <c r="L22" s="75"/>
      <c r="M22" s="75"/>
      <c r="N22" s="75"/>
      <c r="O22" s="75"/>
      <c r="P22" s="75"/>
      <c r="Q22" s="75"/>
      <c r="R22" s="75"/>
      <c r="S22" s="75"/>
      <c r="T22" s="75"/>
      <c r="U22" s="75"/>
      <c r="V22" s="75"/>
      <c r="W22" s="76"/>
      <c r="X22" s="77"/>
    </row>
    <row r="23" spans="2:24" s="58" customFormat="1" ht="18.75">
      <c r="B23" s="67" t="s">
        <v>33</v>
      </c>
      <c r="C23" s="68" t="s">
        <v>61</v>
      </c>
      <c r="D23" s="68">
        <f>+D12*0.63</f>
        <v>20945669.36992866</v>
      </c>
      <c r="E23" s="68">
        <f>+D23</f>
        <v>20945669.36992866</v>
      </c>
      <c r="F23" s="68">
        <f aca="true" t="shared" si="4" ref="F23:X23">+E23</f>
        <v>20945669.36992866</v>
      </c>
      <c r="G23" s="68">
        <f t="shared" si="4"/>
        <v>20945669.36992866</v>
      </c>
      <c r="H23" s="68">
        <f t="shared" si="4"/>
        <v>20945669.36992866</v>
      </c>
      <c r="I23" s="68">
        <f t="shared" si="4"/>
        <v>20945669.36992866</v>
      </c>
      <c r="J23" s="68">
        <f t="shared" si="4"/>
        <v>20945669.36992866</v>
      </c>
      <c r="K23" s="68">
        <f t="shared" si="4"/>
        <v>20945669.36992866</v>
      </c>
      <c r="L23" s="68">
        <f t="shared" si="4"/>
        <v>20945669.36992866</v>
      </c>
      <c r="M23" s="68">
        <f t="shared" si="4"/>
        <v>20945669.36992866</v>
      </c>
      <c r="N23" s="68">
        <f t="shared" si="4"/>
        <v>20945669.36992866</v>
      </c>
      <c r="O23" s="68">
        <f t="shared" si="4"/>
        <v>20945669.36992866</v>
      </c>
      <c r="P23" s="68">
        <f t="shared" si="4"/>
        <v>20945669.36992866</v>
      </c>
      <c r="Q23" s="68">
        <f t="shared" si="4"/>
        <v>20945669.36992866</v>
      </c>
      <c r="R23" s="68">
        <f t="shared" si="4"/>
        <v>20945669.36992866</v>
      </c>
      <c r="S23" s="68">
        <f t="shared" si="4"/>
        <v>20945669.36992866</v>
      </c>
      <c r="T23" s="68">
        <f t="shared" si="4"/>
        <v>20945669.36992866</v>
      </c>
      <c r="U23" s="68">
        <f t="shared" si="4"/>
        <v>20945669.36992866</v>
      </c>
      <c r="V23" s="68">
        <f t="shared" si="4"/>
        <v>20945669.36992866</v>
      </c>
      <c r="W23" s="69">
        <f t="shared" si="4"/>
        <v>20945669.36992866</v>
      </c>
      <c r="X23" s="70">
        <f t="shared" si="4"/>
        <v>20945669.36992866</v>
      </c>
    </row>
    <row r="24" spans="2:24" s="58" customFormat="1" ht="18.75">
      <c r="B24" s="67" t="s">
        <v>37</v>
      </c>
      <c r="C24" s="68" t="s">
        <v>38</v>
      </c>
      <c r="D24" s="68">
        <f>+'Key Assumptions and Parameters'!$C$33</f>
        <v>8500</v>
      </c>
      <c r="E24" s="68">
        <f>+'Key Assumptions and Parameters'!$C$33</f>
        <v>8500</v>
      </c>
      <c r="F24" s="68">
        <f>+'Key Assumptions and Parameters'!$C$33</f>
        <v>8500</v>
      </c>
      <c r="G24" s="68">
        <f>+'Key Assumptions and Parameters'!$C$33</f>
        <v>8500</v>
      </c>
      <c r="H24" s="68">
        <f>+'Key Assumptions and Parameters'!$C$33</f>
        <v>8500</v>
      </c>
      <c r="I24" s="68">
        <f>+'Key Assumptions and Parameters'!$C$33</f>
        <v>8500</v>
      </c>
      <c r="J24" s="68">
        <f>+'Key Assumptions and Parameters'!$C$33</f>
        <v>8500</v>
      </c>
      <c r="K24" s="68">
        <f>+'Key Assumptions and Parameters'!$C$33</f>
        <v>8500</v>
      </c>
      <c r="L24" s="68">
        <f>+'Key Assumptions and Parameters'!$C$33</f>
        <v>8500</v>
      </c>
      <c r="M24" s="68">
        <f>+'Key Assumptions and Parameters'!$C$33</f>
        <v>8500</v>
      </c>
      <c r="N24" s="68">
        <f>+'Key Assumptions and Parameters'!$C$33</f>
        <v>8500</v>
      </c>
      <c r="O24" s="68">
        <f>+'Key Assumptions and Parameters'!$C$33</f>
        <v>8500</v>
      </c>
      <c r="P24" s="68">
        <f>+'Key Assumptions and Parameters'!$C$33</f>
        <v>8500</v>
      </c>
      <c r="Q24" s="68">
        <f>+'Key Assumptions and Parameters'!$C$33</f>
        <v>8500</v>
      </c>
      <c r="R24" s="68">
        <f>+'Key Assumptions and Parameters'!$C$33</f>
        <v>8500</v>
      </c>
      <c r="S24" s="68">
        <f>+'Key Assumptions and Parameters'!$C$33</f>
        <v>8500</v>
      </c>
      <c r="T24" s="68">
        <f>+'Key Assumptions and Parameters'!$C$33</f>
        <v>8500</v>
      </c>
      <c r="U24" s="68">
        <f>+'Key Assumptions and Parameters'!$C$33</f>
        <v>8500</v>
      </c>
      <c r="V24" s="68">
        <f>+'Key Assumptions and Parameters'!$C$33</f>
        <v>8500</v>
      </c>
      <c r="W24" s="69">
        <f>+'Key Assumptions and Parameters'!$C$33</f>
        <v>8500</v>
      </c>
      <c r="X24" s="70">
        <f>+'Key Assumptions and Parameters'!$C$33</f>
        <v>8500</v>
      </c>
    </row>
    <row r="25" spans="2:24" s="58" customFormat="1" ht="18.75">
      <c r="B25" s="67"/>
      <c r="C25" s="68" t="s">
        <v>34</v>
      </c>
      <c r="D25" s="68"/>
      <c r="E25" s="68"/>
      <c r="F25" s="68"/>
      <c r="G25" s="68">
        <f>SUM(D24:G24)</f>
        <v>34000</v>
      </c>
      <c r="H25" s="68"/>
      <c r="I25" s="68"/>
      <c r="J25" s="68"/>
      <c r="K25" s="68"/>
      <c r="L25" s="68"/>
      <c r="M25" s="68"/>
      <c r="N25" s="68"/>
      <c r="O25" s="68"/>
      <c r="P25" s="68"/>
      <c r="Q25" s="68"/>
      <c r="R25" s="68"/>
      <c r="S25" s="68"/>
      <c r="T25" s="68"/>
      <c r="U25" s="68"/>
      <c r="V25" s="68"/>
      <c r="W25" s="69"/>
      <c r="X25" s="70"/>
    </row>
    <row r="26" spans="2:24" s="58" customFormat="1" ht="18.75">
      <c r="B26" s="67"/>
      <c r="C26" s="68" t="s">
        <v>51</v>
      </c>
      <c r="D26" s="68"/>
      <c r="E26" s="68"/>
      <c r="F26" s="68"/>
      <c r="G26" s="68"/>
      <c r="H26" s="68"/>
      <c r="I26" s="68"/>
      <c r="J26" s="68"/>
      <c r="K26" s="68"/>
      <c r="L26" s="68"/>
      <c r="M26" s="68"/>
      <c r="N26" s="68"/>
      <c r="O26" s="68"/>
      <c r="P26" s="68"/>
      <c r="Q26" s="68"/>
      <c r="R26" s="68"/>
      <c r="S26" s="68"/>
      <c r="T26" s="68"/>
      <c r="U26" s="68"/>
      <c r="V26" s="68"/>
      <c r="W26" s="69"/>
      <c r="X26" s="70"/>
    </row>
    <row r="27" spans="2:24" s="58" customFormat="1" ht="18.75">
      <c r="B27" s="67"/>
      <c r="C27" s="68" t="s">
        <v>35</v>
      </c>
      <c r="D27" s="68">
        <f>+D23/D24</f>
        <v>2464.1963964621955</v>
      </c>
      <c r="E27" s="68">
        <f>+E23/E24</f>
        <v>2464.1963964621955</v>
      </c>
      <c r="F27" s="68">
        <f>+F23/F24</f>
        <v>2464.1963964621955</v>
      </c>
      <c r="G27" s="68">
        <f>+G23/G24</f>
        <v>2464.1963964621955</v>
      </c>
      <c r="H27" s="68">
        <f>+H23/H24</f>
        <v>2464.1963964621955</v>
      </c>
      <c r="I27" s="68">
        <f aca="true" t="shared" si="5" ref="I27:X27">+I23/I24</f>
        <v>2464.1963964621955</v>
      </c>
      <c r="J27" s="68">
        <f t="shared" si="5"/>
        <v>2464.1963964621955</v>
      </c>
      <c r="K27" s="68">
        <f t="shared" si="5"/>
        <v>2464.1963964621955</v>
      </c>
      <c r="L27" s="68">
        <f t="shared" si="5"/>
        <v>2464.1963964621955</v>
      </c>
      <c r="M27" s="68">
        <f t="shared" si="5"/>
        <v>2464.1963964621955</v>
      </c>
      <c r="N27" s="68">
        <f t="shared" si="5"/>
        <v>2464.1963964621955</v>
      </c>
      <c r="O27" s="68">
        <f t="shared" si="5"/>
        <v>2464.1963964621955</v>
      </c>
      <c r="P27" s="68">
        <f t="shared" si="5"/>
        <v>2464.1963964621955</v>
      </c>
      <c r="Q27" s="68">
        <f t="shared" si="5"/>
        <v>2464.1963964621955</v>
      </c>
      <c r="R27" s="68">
        <f t="shared" si="5"/>
        <v>2464.1963964621955</v>
      </c>
      <c r="S27" s="68">
        <f t="shared" si="5"/>
        <v>2464.1963964621955</v>
      </c>
      <c r="T27" s="68">
        <f t="shared" si="5"/>
        <v>2464.1963964621955</v>
      </c>
      <c r="U27" s="68">
        <f t="shared" si="5"/>
        <v>2464.1963964621955</v>
      </c>
      <c r="V27" s="68">
        <f t="shared" si="5"/>
        <v>2464.1963964621955</v>
      </c>
      <c r="W27" s="69">
        <f t="shared" si="5"/>
        <v>2464.1963964621955</v>
      </c>
      <c r="X27" s="70">
        <f t="shared" si="5"/>
        <v>2464.1963964621955</v>
      </c>
    </row>
    <row r="28" spans="2:24" s="58" customFormat="1" ht="18.75">
      <c r="B28" s="67" t="s">
        <v>63</v>
      </c>
      <c r="C28" s="68"/>
      <c r="D28" s="68">
        <f>+D23*0.1</f>
        <v>2094566.9369928662</v>
      </c>
      <c r="E28" s="68">
        <f>+D28+E23*0.1</f>
        <v>4189133.8739857324</v>
      </c>
      <c r="F28" s="68">
        <f>+E28+F23*0.1</f>
        <v>6283700.810978599</v>
      </c>
      <c r="G28" s="68">
        <f>+F28+G23*0.1</f>
        <v>8378267.747971465</v>
      </c>
      <c r="H28" s="68">
        <f>+G28</f>
        <v>8378267.747971465</v>
      </c>
      <c r="I28" s="68">
        <f aca="true" t="shared" si="6" ref="I28:X28">+H28</f>
        <v>8378267.747971465</v>
      </c>
      <c r="J28" s="68">
        <f t="shared" si="6"/>
        <v>8378267.747971465</v>
      </c>
      <c r="K28" s="68">
        <f t="shared" si="6"/>
        <v>8378267.747971465</v>
      </c>
      <c r="L28" s="68">
        <f t="shared" si="6"/>
        <v>8378267.747971465</v>
      </c>
      <c r="M28" s="68">
        <f t="shared" si="6"/>
        <v>8378267.747971465</v>
      </c>
      <c r="N28" s="68">
        <f t="shared" si="6"/>
        <v>8378267.747971465</v>
      </c>
      <c r="O28" s="68">
        <f t="shared" si="6"/>
        <v>8378267.747971465</v>
      </c>
      <c r="P28" s="68">
        <f t="shared" si="6"/>
        <v>8378267.747971465</v>
      </c>
      <c r="Q28" s="68">
        <f t="shared" si="6"/>
        <v>8378267.747971465</v>
      </c>
      <c r="R28" s="68">
        <f t="shared" si="6"/>
        <v>8378267.747971465</v>
      </c>
      <c r="S28" s="68">
        <f t="shared" si="6"/>
        <v>8378267.747971465</v>
      </c>
      <c r="T28" s="68">
        <f t="shared" si="6"/>
        <v>8378267.747971465</v>
      </c>
      <c r="U28" s="68">
        <f t="shared" si="6"/>
        <v>8378267.747971465</v>
      </c>
      <c r="V28" s="68">
        <f t="shared" si="6"/>
        <v>8378267.747971465</v>
      </c>
      <c r="W28" s="69">
        <f t="shared" si="6"/>
        <v>8378267.747971465</v>
      </c>
      <c r="X28" s="70">
        <f t="shared" si="6"/>
        <v>8378267.747971465</v>
      </c>
    </row>
    <row r="29" spans="2:24" s="58" customFormat="1" ht="18.75">
      <c r="B29" s="80" t="s">
        <v>46</v>
      </c>
      <c r="C29" s="81">
        <f>+C22</f>
        <v>92353039.54995</v>
      </c>
      <c r="D29" s="81">
        <f>+(C29-D28)*1.06</f>
        <v>95673980.96973456</v>
      </c>
      <c r="E29" s="81">
        <f aca="true" t="shared" si="7" ref="E29:X29">+(D29-E28)*1.06</f>
        <v>96973937.92149377</v>
      </c>
      <c r="F29" s="81">
        <f t="shared" si="7"/>
        <v>96131651.33714609</v>
      </c>
      <c r="G29" s="81">
        <f t="shared" si="7"/>
        <v>93018586.6045251</v>
      </c>
      <c r="H29" s="81">
        <f t="shared" si="7"/>
        <v>89718737.98794687</v>
      </c>
      <c r="I29" s="81">
        <f t="shared" si="7"/>
        <v>86220898.45437394</v>
      </c>
      <c r="J29" s="81">
        <f t="shared" si="7"/>
        <v>82513188.54878664</v>
      </c>
      <c r="K29" s="81">
        <f t="shared" si="7"/>
        <v>78583016.0488641</v>
      </c>
      <c r="L29" s="81">
        <f t="shared" si="7"/>
        <v>74417033.1989462</v>
      </c>
      <c r="M29" s="81">
        <f t="shared" si="7"/>
        <v>70001091.3780332</v>
      </c>
      <c r="N29" s="81">
        <f t="shared" si="7"/>
        <v>65320193.04786544</v>
      </c>
      <c r="O29" s="81">
        <f t="shared" si="7"/>
        <v>60358440.81788762</v>
      </c>
      <c r="P29" s="81">
        <f t="shared" si="7"/>
        <v>55098983.45411112</v>
      </c>
      <c r="Q29" s="81">
        <f t="shared" si="7"/>
        <v>49523958.648508035</v>
      </c>
      <c r="R29" s="81">
        <f t="shared" si="7"/>
        <v>43614432.354568765</v>
      </c>
      <c r="S29" s="81">
        <f t="shared" si="7"/>
        <v>37350334.48299313</v>
      </c>
      <c r="T29" s="81">
        <f t="shared" si="7"/>
        <v>30710390.739122972</v>
      </c>
      <c r="U29" s="81">
        <f t="shared" si="7"/>
        <v>23672050.3706206</v>
      </c>
      <c r="V29" s="81">
        <f t="shared" si="7"/>
        <v>16211409.580008086</v>
      </c>
      <c r="W29" s="82">
        <f t="shared" si="7"/>
        <v>8303130.341958819</v>
      </c>
      <c r="X29" s="83">
        <f t="shared" si="7"/>
        <v>-79645.65037340469</v>
      </c>
    </row>
    <row r="30" s="58" customFormat="1" ht="18">
      <c r="B30" s="57"/>
    </row>
    <row r="31" s="58" customFormat="1" ht="18">
      <c r="B31" s="57"/>
    </row>
    <row r="32" s="58" customFormat="1" ht="18">
      <c r="B32" s="57"/>
    </row>
    <row r="33" s="58" customFormat="1" ht="18">
      <c r="B33" s="57"/>
    </row>
    <row r="34" s="58" customFormat="1" ht="18">
      <c r="B34" s="57"/>
    </row>
    <row r="35" s="58" customFormat="1" ht="18">
      <c r="B35" s="57"/>
    </row>
    <row r="36" s="58" customFormat="1" ht="18">
      <c r="B36" s="57"/>
    </row>
    <row r="37" s="58" customFormat="1" ht="18">
      <c r="B37" s="57"/>
    </row>
    <row r="38" s="58" customFormat="1" ht="18">
      <c r="B38" s="57"/>
    </row>
    <row r="39" s="58" customFormat="1" ht="18">
      <c r="B39" s="57"/>
    </row>
    <row r="40" s="58" customFormat="1" ht="18">
      <c r="B40" s="57"/>
    </row>
    <row r="41" s="58" customFormat="1" ht="18">
      <c r="B41" s="57"/>
    </row>
    <row r="42" s="58" customFormat="1" ht="18">
      <c r="B42" s="57"/>
    </row>
    <row r="43" s="58" customFormat="1" ht="18">
      <c r="B43" s="57"/>
    </row>
    <row r="44" s="58" customFormat="1" ht="18">
      <c r="B44" s="57"/>
    </row>
    <row r="45" s="58" customFormat="1" ht="18">
      <c r="B45" s="57"/>
    </row>
  </sheetData>
  <mergeCells count="3">
    <mergeCell ref="B2:X2"/>
    <mergeCell ref="B3:X7"/>
    <mergeCell ref="B8:Y8"/>
  </mergeCells>
  <printOptions horizontalCentered="1"/>
  <pageMargins left="0.25" right="0.25" top="1" bottom="1" header="0.5" footer="0.36"/>
  <pageSetup fitToHeight="1" fitToWidth="1" horizontalDpi="600" verticalDpi="600" orientation="landscape" scale="34" r:id="rId2"/>
  <headerFooter alignWithMargins="0">
    <oddHeader>&amp;L&amp;G&amp;R&amp;27&amp;A</oddHeader>
    <oddFooter>&amp;R&amp;P</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osbornetk</dc:creator>
  <cp:keywords/>
  <dc:description/>
  <cp:lastModifiedBy>benyishaya</cp:lastModifiedBy>
  <cp:lastPrinted>2008-10-27T15:41:23Z</cp:lastPrinted>
  <dcterms:created xsi:type="dcterms:W3CDTF">2008-05-07T18:09:18Z</dcterms:created>
  <dcterms:modified xsi:type="dcterms:W3CDTF">2008-12-22T14:25:50Z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