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690" tabRatio="819" firstSheet="1" activeTab="2"/>
  </bookViews>
  <sheets>
    <sheet name="CB_DATA_" sheetId="1" state="veryHidden" r:id="rId1"/>
    <sheet name="User's Guide" sheetId="2" r:id="rId2"/>
    <sheet name="Activity Description" sheetId="3" r:id="rId3"/>
    <sheet name="ERR &amp; Sensitivity Analysis" sheetId="4" r:id="rId4"/>
    <sheet name="ERR Calculation" sheetId="5" r:id="rId5"/>
    <sheet name="Enrollment dynamics" sheetId="6" r:id="rId6"/>
    <sheet name="Key Assumptions" sheetId="7" r:id="rId7"/>
    <sheet name="Detailed enrollment"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ddgrow">#REF!</definedName>
    <definedName name="annwage">#REF!</definedName>
    <definedName name="asset_life">#REF!</definedName>
    <definedName name="avgwage">'[1]Key Assumptions'!$G$9</definedName>
    <definedName name="billing_hydro">#REF!</definedName>
    <definedName name="billing_subsea" localSheetId="3">'[10]Assumptions'!#REF!</definedName>
    <definedName name="billing_subsea">#REF!</definedName>
    <definedName name="billing_td" localSheetId="3">'[10]Assumptions'!#REF!</definedName>
    <definedName name="billing_td">#REF!</definedName>
    <definedName name="c_tax">'[7]Assumptions'!$D$129</definedName>
    <definedName name="cablife">'[5]Assumptions'!$H$29</definedName>
    <definedName name="CB_1c5e34d883ac497cbfb6d46c79f4dee7" localSheetId="3" hidden="1">'ERR &amp; Sensitivity Analysis'!$D$35</definedName>
    <definedName name="CB_35f5438df3c9493e9902735aa140e63c" localSheetId="4" hidden="1">'ERR Calculation'!$C$49</definedName>
    <definedName name="CB_64ab3ee2c51f4c88ac37d3d89640afc9" localSheetId="3" hidden="1">'ERR &amp; Sensitivity Analysis'!$D$30</definedName>
    <definedName name="CB_b7fccd28655942da8c457acb8a6a55fc" localSheetId="3" hidden="1">'ERR &amp; Sensitivity Analysis'!$D$31</definedName>
    <definedName name="CB_ffbd580fd6f248aa8710137c0c180637" localSheetId="3" hidden="1">'ERR &amp; Sensitivity Analysis'!$D$29</definedName>
    <definedName name="CBWorkbookPriority" localSheetId="2" hidden="1">-1802552942</definedName>
    <definedName name="CBWorkbookPriority" localSheetId="3" hidden="1">-1645099013</definedName>
    <definedName name="CBWorkbookPriority" localSheetId="1" hidden="1">-1554024671</definedName>
    <definedName name="CBWorkbookPriority" hidden="1">-1448428185</definedName>
    <definedName name="CBx_9ac9e8b9601d4e7393b0afaa318dbd9f" localSheetId="0" hidden="1">"'Key Assumptions'!$A$1"</definedName>
    <definedName name="CBx_c3b7a6e49e4f4ec1acbec55747ee79f6" localSheetId="0" hidden="1">"'ERR Calculation'!$A$1"</definedName>
    <definedName name="CBx_c52ff2a46d3a481da89e3b727257e148" localSheetId="0" hidden="1">"'CB_DATA_'!$A$1"</definedName>
    <definedName name="CBx_efb6a8180e6b440197211dfc6d35eb9e" localSheetId="0" hidden="1">"'ERR &amp; Sensitivity Analysis'!$A$1"</definedName>
    <definedName name="CBx_Sheet_Guid" localSheetId="0" hidden="1">"'c52ff2a4-6d3a-481d-a89e-3b727257e148"</definedName>
    <definedName name="CBx_Sheet_Guid" localSheetId="3" hidden="1">"'efb6a818-0e6b-4401-9721-1dfc6d35eb9e"</definedName>
    <definedName name="CBx_Sheet_Guid" localSheetId="4" hidden="1">"'c3b7a6e4-9e4f-4ec1-acbe-c55747ee79f6"</definedName>
    <definedName name="CBx_Sheet_Guid" localSheetId="6" hidden="1">"'9ac9e8b9-601d-4e73-93b0-afaa318dbd9f"</definedName>
    <definedName name="CBx_StorageType" localSheetId="0" hidden="1">1</definedName>
    <definedName name="CBx_StorageType" localSheetId="3" hidden="1">1</definedName>
    <definedName name="CBx_StorageType" localSheetId="4" hidden="1">1</definedName>
    <definedName name="CBx_StorageType" localSheetId="6" hidden="1">1</definedName>
    <definedName name="Costs">#REF!</definedName>
    <definedName name="Costs2">'[5]Assumptions'!$W$7:$AB$15</definedName>
    <definedName name="debt">#REF!</definedName>
    <definedName name="debt_cost" localSheetId="3">'[10]Assumptions'!#REF!</definedName>
    <definedName name="debt_cost">#REF!</definedName>
    <definedName name="DEP">#REF!</definedName>
    <definedName name="diesel_price">#REF!</definedName>
    <definedName name="disc">'[3]Assumptions'!#REF!</definedName>
    <definedName name="discount">#REF!</definedName>
    <definedName name="disease_cases">'[3]Assumptions'!#REF!</definedName>
    <definedName name="DPY">'[1]Key Assumptions'!$G$24</definedName>
    <definedName name="ECF">'[2]LU'!$AF$8</definedName>
    <definedName name="ECON">#REF!</definedName>
    <definedName name="eduwageadd">'[3]Morogoro'!$K$31</definedName>
    <definedName name="eduwagenr">'[3]Morogoro'!$K$29</definedName>
    <definedName name="equity" localSheetId="3">'[10]Assumptions'!#REF!</definedName>
    <definedName name="equity">#REF!</definedName>
    <definedName name="ex_rate">#REF!</definedName>
    <definedName name="exch">'[6]Assumptions'!$F$7</definedName>
    <definedName name="exch2">'[8]Basics'!$G$8</definedName>
    <definedName name="gasswitch">'[5]Assumptions'!$H$47</definedName>
    <definedName name="grow">#REF!</definedName>
    <definedName name="hydro_cap">#REF!</definedName>
    <definedName name="hydro_opex">#REF!</definedName>
    <definedName name="income_comm" localSheetId="3">'[10]Assumptions'!#REF!</definedName>
    <definedName name="income_comm">#REF!</definedName>
    <definedName name="income_dom" localSheetId="3">'[10]Assumptions'!#REF!</definedName>
    <definedName name="income_dom">#REF!</definedName>
    <definedName name="income_ind" localSheetId="3">'[10]Assumptions'!#REF!</definedName>
    <definedName name="income_ind">#REF!</definedName>
    <definedName name="income_street" localSheetId="3">'[10]Assumptions'!#REF!</definedName>
    <definedName name="income_street">#REF!</definedName>
    <definedName name="infl">'[1]Key Assumptions'!$G$38</definedName>
    <definedName name="inflation" localSheetId="3">'[10]Assumptions'!#REF!</definedName>
    <definedName name="inflation">#REF!</definedName>
    <definedName name="LCC">'[1]Key Assumptions'!$G$38</definedName>
    <definedName name="Lessgrow">#REF!</definedName>
    <definedName name="LF0913">'[5]Assumptions'!$G$12</definedName>
    <definedName name="LF1423">'[5]Assumptions'!$H$12</definedName>
    <definedName name="LF2433">'[5]Assumptions'!$I$12</definedName>
    <definedName name="LF2434">'[5]Assumptions'!$I$12</definedName>
    <definedName name="list">'[3]Assumptions'!#REF!</definedName>
    <definedName name="loadshed">'[5]Assumptions'!#REF!</definedName>
    <definedName name="LOAN">#REF!</definedName>
    <definedName name="loan_period" localSheetId="3">'[10]Assumptions'!#REF!</definedName>
    <definedName name="loan_period">#REF!</definedName>
    <definedName name="lpb">'[3]Assumptions'!$F$6</definedName>
    <definedName name="LU1">'[2]LU'!$A$3:$V$57</definedName>
    <definedName name="LUsum">'[2]Summary'!$A$6:$S$16</definedName>
    <definedName name="lva">'[1]Key Assumptions'!$G$37</definedName>
    <definedName name="mat_rate">'[7]Assumptions'!$D$125</definedName>
    <definedName name="mat_years">'[7]Assumptions'!$D$127</definedName>
    <definedName name="miniprojrange">#REF!</definedName>
    <definedName name="model_start">#REF!</definedName>
    <definedName name="mvacap">'[5]Assumptions'!$H$31</definedName>
    <definedName name="nmarkup">'[3]Assumptions'!#REF!</definedName>
    <definedName name="omcost">'[3]Assumptions'!$F$9</definedName>
    <definedName name="ops_end">#REF!</definedName>
    <definedName name="ops_start">#REF!</definedName>
    <definedName name="pfactor">'[5]Assumptions'!$H$13</definedName>
    <definedName name="Phasing">#REF!</definedName>
    <definedName name="Phasing2">'[5]Planting'!$F$4:$S$10</definedName>
    <definedName name="pow_importprice">'[5]Assumptions'!$M$8:$O$35</definedName>
    <definedName name="ppatable">'[5]Assumptions'!$L$9:$P$35</definedName>
    <definedName name="price_comm" localSheetId="3">'[10]Assumptions'!#REF!</definedName>
    <definedName name="price_comm">#REF!</definedName>
    <definedName name="price_dom" localSheetId="3">'[10]Assumptions'!#REF!</definedName>
    <definedName name="price_dom">#REF!</definedName>
    <definedName name="price_ind" localSheetId="3">'[10]Assumptions'!#REF!+'[10]Assumptions'!#REF!</definedName>
    <definedName name="price_ind">#REF!+#REF!</definedName>
    <definedName name="price_street" localSheetId="3">'[10]Assumptions'!#REF!</definedName>
    <definedName name="price_street">#REF!</definedName>
    <definedName name="_xlnm.Print_Area" localSheetId="2">'Activity Description'!$A$1:$C$26</definedName>
    <definedName name="_xlnm.Print_Area" localSheetId="7">'Detailed enrollment'!$A$1:$AN$83</definedName>
    <definedName name="_xlnm.Print_Area" localSheetId="5">'Enrollment dynamics'!$A$1:$X$46</definedName>
    <definedName name="_xlnm.Print_Area" localSheetId="3">'ERR &amp; Sensitivity Analysis'!$A$1:$K$125</definedName>
    <definedName name="_xlnm.Print_Area" localSheetId="4">'ERR Calculation'!$A$1:$Y$63</definedName>
    <definedName name="_xlnm.Print_Area" localSheetId="6">'Key Assumptions'!$A$1:$F$73</definedName>
    <definedName name="_xlnm.Print_Area" localSheetId="1">'User''s Guide'!$A$1:$D$63</definedName>
    <definedName name="prod">'[4]Key Assumptions'!$H$41</definedName>
    <definedName name="proj_life">#REF!</definedName>
    <definedName name="PROJECT_NAME" localSheetId="2">CONCATENATE('Activity Description'!#REF!," (",'Activity Description'!#REF!,")")</definedName>
    <definedName name="PROJECT_NAME" localSheetId="3">CONCATENATE('[11]User's Guide'!$C$8," (",'[11]User's Guide'!$C$9,")")</definedName>
    <definedName name="PROJECT_NAME" localSheetId="1">CONCATENATE('User's Guide'!$C$12," (",'User's Guide'!$C$13,")")</definedName>
    <definedName name="PROJECT_NAME">CONCATENATE('[9]User's Guide'!$C$12," (",'[9]User's Guide'!$C$13,")")</definedName>
    <definedName name="project_switch">#REF!</definedName>
    <definedName name="real_disc_rate" localSheetId="3">'[10]Assumptions'!#REF!</definedName>
    <definedName name="real_disc_rate">#REF!</definedName>
    <definedName name="req_ret">'[7]Assumptions'!$D$129</definedName>
    <definedName name="residcapex">'[5]Assumptions'!$H$49</definedName>
    <definedName name="selected_cap">#REF!</definedName>
    <definedName name="startyear">'[5]Assumptions'!$H$36</definedName>
    <definedName name="STAT">$A$1:$N$401</definedName>
    <definedName name="sub_cap" localSheetId="3">'[10]Assumptions'!#REF!</definedName>
    <definedName name="sub_cap">#REF!</definedName>
    <definedName name="SUM">#REF!</definedName>
    <definedName name="tariff_case">#REF!</definedName>
    <definedName name="tax_dep" localSheetId="3">'[10]Assumptions'!#REF!</definedName>
    <definedName name="tax_dep">#REF!</definedName>
    <definedName name="tax_rate" localSheetId="3">'[10]Assumptions'!#REF!</definedName>
    <definedName name="tax_rate">#REF!</definedName>
    <definedName name="td_cap">#REF!</definedName>
    <definedName name="td_opex">#REF!</definedName>
    <definedName name="unserved">'[5]Assumptions'!$H$35</definedName>
    <definedName name="UWSSA">'[3]Assumptions'!$E$14:$E$16</definedName>
    <definedName name="voll">'[5]Assumptions'!$H$30</definedName>
    <definedName name="Year1">'[6]Assumptions'!$F$5</definedName>
  </definedNames>
  <calcPr fullCalcOnLoad="1"/>
</workbook>
</file>

<file path=xl/sharedStrings.xml><?xml version="1.0" encoding="utf-8"?>
<sst xmlns="http://schemas.openxmlformats.org/spreadsheetml/2006/main" count="393" uniqueCount="226">
  <si>
    <t>Year</t>
  </si>
  <si>
    <t>Without project</t>
  </si>
  <si>
    <t>With project</t>
  </si>
  <si>
    <t>Rate of increase in enrollment, Jr. and Sr. Secondary, net of transfers and substitution</t>
  </si>
  <si>
    <t>Primary education</t>
  </si>
  <si>
    <t>Junior secondary</t>
  </si>
  <si>
    <t>Senior secondary</t>
  </si>
  <si>
    <t>College</t>
  </si>
  <si>
    <t>Region</t>
  </si>
  <si>
    <t>Primary</t>
  </si>
  <si>
    <t>Working life of grade 12 graduate</t>
  </si>
  <si>
    <t>School name</t>
  </si>
  <si>
    <t>School code</t>
  </si>
  <si>
    <t>Grade 1</t>
  </si>
  <si>
    <t>Grade 2</t>
  </si>
  <si>
    <t>Grade 3</t>
  </si>
  <si>
    <t>Grade 4</t>
  </si>
  <si>
    <t>Grade 5</t>
  </si>
  <si>
    <t>Grade 6</t>
  </si>
  <si>
    <t>Grade 7</t>
  </si>
  <si>
    <t>Grade 8</t>
  </si>
  <si>
    <t>Grade 9</t>
  </si>
  <si>
    <t>Grade 10</t>
  </si>
  <si>
    <t>Grade 11</t>
  </si>
  <si>
    <t>Grade 12</t>
  </si>
  <si>
    <t>Total Primary</t>
  </si>
  <si>
    <t>Total Secondary</t>
  </si>
  <si>
    <t>Grand Total</t>
  </si>
  <si>
    <t>M</t>
  </si>
  <si>
    <t>F</t>
  </si>
  <si>
    <t>Tot</t>
  </si>
  <si>
    <t>Kavango</t>
  </si>
  <si>
    <t>Namavambi CS</t>
  </si>
  <si>
    <t>Dr Romanus Kampungu SSS</t>
  </si>
  <si>
    <t>St Boniface College</t>
  </si>
  <si>
    <t>Shinyungwe CS</t>
  </si>
  <si>
    <t>Max Makushe SS</t>
  </si>
  <si>
    <t>Khomas</t>
  </si>
  <si>
    <t>Goreangab Project SS</t>
  </si>
  <si>
    <t xml:space="preserve">Khomas High School </t>
  </si>
  <si>
    <t xml:space="preserve">Khomas Tura SS </t>
  </si>
  <si>
    <t xml:space="preserve">Groot Aub JSS </t>
  </si>
  <si>
    <t xml:space="preserve">Hage Gaingob SS </t>
  </si>
  <si>
    <t>Kunene</t>
  </si>
  <si>
    <t>Jack Francis PS</t>
  </si>
  <si>
    <t>Ohangwena</t>
  </si>
  <si>
    <t xml:space="preserve">Onanghulo CS </t>
  </si>
  <si>
    <t xml:space="preserve">Tulihongeni CS </t>
  </si>
  <si>
    <t xml:space="preserve">Shikudule CS </t>
  </si>
  <si>
    <t>Nanghonda CS</t>
  </si>
  <si>
    <t xml:space="preserve">Onankali North CS </t>
  </si>
  <si>
    <t xml:space="preserve">Omakondo CS </t>
  </si>
  <si>
    <t xml:space="preserve">Onamukulo CS </t>
  </si>
  <si>
    <t xml:space="preserve">Etsapa CS </t>
  </si>
  <si>
    <t xml:space="preserve">Iikelo CS </t>
  </si>
  <si>
    <t xml:space="preserve">Oupili CS </t>
  </si>
  <si>
    <t>Omaheke</t>
  </si>
  <si>
    <t xml:space="preserve">Epako JSS </t>
  </si>
  <si>
    <t>Gustav Kandjii JSS</t>
  </si>
  <si>
    <t xml:space="preserve">Rietquelle JSS </t>
  </si>
  <si>
    <t>Omusati</t>
  </si>
  <si>
    <t>EkangoLinene CS</t>
  </si>
  <si>
    <t>Oneeya CS</t>
  </si>
  <si>
    <t>John Shekudja CS</t>
  </si>
  <si>
    <t>Etayi CS</t>
  </si>
  <si>
    <t>Ekundu CS</t>
  </si>
  <si>
    <t>Okasheshete CS</t>
  </si>
  <si>
    <t>Kampelo CS</t>
  </si>
  <si>
    <t>Oshikulufitu CS</t>
  </si>
  <si>
    <t>Oshana</t>
  </si>
  <si>
    <t>Onamutai CS</t>
  </si>
  <si>
    <t>Olukolo JSS</t>
  </si>
  <si>
    <t>Ondjora CS</t>
  </si>
  <si>
    <t>Enguwantale CS</t>
  </si>
  <si>
    <t>Hashiyana CS</t>
  </si>
  <si>
    <t>Oshikoto</t>
  </si>
  <si>
    <t xml:space="preserve">Esheshete CS </t>
  </si>
  <si>
    <t>Iipopo CS</t>
  </si>
  <si>
    <t xml:space="preserve">Olupale CS </t>
  </si>
  <si>
    <t xml:space="preserve">Ondjamba CS </t>
  </si>
  <si>
    <t xml:space="preserve">Oshilulu CS </t>
  </si>
  <si>
    <t>Oshinamumwe CS</t>
  </si>
  <si>
    <t xml:space="preserve">Uukumwe CS </t>
  </si>
  <si>
    <t>Otjozondjupa</t>
  </si>
  <si>
    <t>Okahandja SS</t>
  </si>
  <si>
    <t>Khorab JSS</t>
  </si>
  <si>
    <t>Gam JSS</t>
  </si>
  <si>
    <t>TOTAL</t>
  </si>
  <si>
    <t>working life of grade 10 graduate</t>
  </si>
  <si>
    <t>Working life of grade 6 graduate</t>
  </si>
  <si>
    <t>Working life of tertiary graduate</t>
  </si>
  <si>
    <t>Grade</t>
  </si>
  <si>
    <t xml:space="preserve">Grade </t>
  </si>
  <si>
    <t>Enrollment</t>
  </si>
  <si>
    <t>GNI per capita</t>
  </si>
  <si>
    <t>probability live to age 5</t>
  </si>
  <si>
    <t>Life expect condition on living to 5</t>
  </si>
  <si>
    <t>ERR Calculation 47 Schools</t>
  </si>
  <si>
    <t>Enrollment without and with project 47 schools upgrading</t>
  </si>
  <si>
    <t>Enhanced lifetime income</t>
  </si>
  <si>
    <t>TOTAL BENEFITS</t>
  </si>
  <si>
    <t>TOTAL CONSTRUCTION COSTS</t>
  </si>
  <si>
    <t>NET BENEFITS</t>
  </si>
  <si>
    <t>ERR</t>
  </si>
  <si>
    <t>ln mn wage</t>
  </si>
  <si>
    <t>mean test score</t>
  </si>
  <si>
    <t>Effect of each point on ln mean wage</t>
  </si>
  <si>
    <t>Change in numeracy test scores predicted</t>
  </si>
  <si>
    <t>Assumed scale</t>
  </si>
  <si>
    <t>Assumed percentage improvement in marks</t>
  </si>
  <si>
    <t>Assumed return to each percentage point</t>
  </si>
  <si>
    <t>Return to laboratory/facilities</t>
  </si>
  <si>
    <t>Reduced repetition rate</t>
  </si>
  <si>
    <t>Per year costs of education</t>
  </si>
  <si>
    <t>Reduced repetition costs, primary</t>
  </si>
  <si>
    <t>Reduced repetition costs, secondary</t>
  </si>
  <si>
    <t>Percentage increase in returns to education due to facilities-related quality improvements, primary</t>
  </si>
  <si>
    <t>Percentage increse in returns to education due to facilities-related quality improvements, secondary</t>
  </si>
  <si>
    <t>Jr. Sec.</t>
  </si>
  <si>
    <t>Sr. Sec.</t>
  </si>
  <si>
    <t>Primary enrollment</t>
  </si>
  <si>
    <t>Jr. Sec. enrollment</t>
  </si>
  <si>
    <t>Sr. Sec. enrollment</t>
  </si>
  <si>
    <t>Annual Repetition rate for grades 1-12 in 2006 (Source:  Emis):</t>
  </si>
  <si>
    <t>Repetition rate for grade 10</t>
  </si>
  <si>
    <t>Failure rate for grade 10</t>
  </si>
  <si>
    <t>Reduced failures, grade 10</t>
  </si>
  <si>
    <t>For Beneficiary Analysis</t>
  </si>
  <si>
    <t>Discount rate</t>
  </si>
  <si>
    <t>Benefits to ed system</t>
  </si>
  <si>
    <t>Benefits direct to students</t>
  </si>
  <si>
    <t>PV of total benefits (1-5)</t>
  </si>
  <si>
    <t>PV of student benefits (1-5)</t>
  </si>
  <si>
    <t>PV of system benefits (1-5)</t>
  </si>
  <si>
    <t>PV of total benefits (1-20)</t>
  </si>
  <si>
    <t>PV of student benefits (1-20)</t>
  </si>
  <si>
    <t>PV of system benefits (1-20)</t>
  </si>
  <si>
    <t>Benefits</t>
  </si>
  <si>
    <t>Beneficiaries</t>
  </si>
  <si>
    <t>Cumulative beneficiaries</t>
  </si>
  <si>
    <t>Exchange Rate</t>
  </si>
  <si>
    <t>Years</t>
  </si>
  <si>
    <t>Unemployment Rate</t>
  </si>
  <si>
    <r>
      <t>1</t>
    </r>
    <r>
      <rPr>
        <sz val="14"/>
        <rFont val="Arial"/>
        <family val="2"/>
      </rPr>
      <t>Increased enrollments can be expected as result of ETSIP program actions. It is likely that schools will absorb mainly transfer students from other schools.  However, higher quality and greater proximity will probably raise enrollment rates in the region.</t>
    </r>
  </si>
  <si>
    <r>
      <t>2,3</t>
    </r>
    <r>
      <rPr>
        <sz val="14"/>
        <rFont val="Arial"/>
        <family val="2"/>
      </rPr>
      <t>Return to an additional year of schooling is 10-12 percent (World Bank 2005).  Improved quality is 'like' more years of education.</t>
    </r>
  </si>
  <si>
    <r>
      <t>4</t>
    </r>
    <r>
      <rPr>
        <sz val="14"/>
        <rFont val="Arial"/>
        <family val="2"/>
      </rPr>
      <t xml:space="preserve">Source: WDI 2006 </t>
    </r>
  </si>
  <si>
    <r>
      <t>5</t>
    </r>
    <r>
      <rPr>
        <sz val="14"/>
        <rFont val="Arial"/>
        <family val="2"/>
      </rPr>
      <t>Assume 1.5 year of repetition/delay</t>
    </r>
  </si>
  <si>
    <r>
      <t>6</t>
    </r>
    <r>
      <rPr>
        <sz val="14"/>
        <rFont val="Arial"/>
        <family val="2"/>
      </rPr>
      <t>Source:  Deaton and Case QJE 1999 using S. African data- Effects of laboratories, libraries are also partially capturing better facilities generally.</t>
    </r>
  </si>
  <si>
    <r>
      <t>7</t>
    </r>
    <r>
      <rPr>
        <sz val="14"/>
        <rFont val="Arial"/>
        <family val="2"/>
      </rPr>
      <t>Source:  Godana and Ogawa 2003 using 2002 data.  Result is statistically significant.  However, paper is not available, and mean is not known.</t>
    </r>
  </si>
  <si>
    <r>
      <t>8</t>
    </r>
    <r>
      <rPr>
        <sz val="14"/>
        <rFont val="Arial"/>
        <family val="2"/>
      </rPr>
      <t>Source:  Godana and Ashipala 2006.  Result is statistically significant.</t>
    </r>
  </si>
  <si>
    <r>
      <t>Without project</t>
    </r>
    <r>
      <rPr>
        <vertAlign val="superscript"/>
        <sz val="14"/>
        <rFont val="Arial"/>
        <family val="2"/>
      </rPr>
      <t>1</t>
    </r>
  </si>
  <si>
    <r>
      <t>Incremental returns for primary, percentage point</t>
    </r>
    <r>
      <rPr>
        <vertAlign val="superscript"/>
        <sz val="14"/>
        <rFont val="Arial"/>
        <family val="2"/>
      </rPr>
      <t>2</t>
    </r>
  </si>
  <si>
    <r>
      <t>Incremental returns for secondary, percentage point</t>
    </r>
    <r>
      <rPr>
        <vertAlign val="superscript"/>
        <sz val="14"/>
        <rFont val="Arial"/>
        <family val="2"/>
      </rPr>
      <t>3</t>
    </r>
  </si>
  <si>
    <r>
      <t>Life Expectancy</t>
    </r>
    <r>
      <rPr>
        <vertAlign val="superscript"/>
        <sz val="14"/>
        <rFont val="Arial"/>
        <family val="2"/>
      </rPr>
      <t>4</t>
    </r>
  </si>
  <si>
    <r>
      <t>Effect of secondary school library on literacy scores</t>
    </r>
    <r>
      <rPr>
        <vertAlign val="superscript"/>
        <sz val="14"/>
        <rFont val="Arial"/>
        <family val="2"/>
      </rPr>
      <t>6</t>
    </r>
  </si>
  <si>
    <r>
      <t>Effect of a laboratory on grade 10 average marks (English, math, physical and life sciences)</t>
    </r>
    <r>
      <rPr>
        <vertAlign val="superscript"/>
        <sz val="14"/>
        <rFont val="Arial"/>
        <family val="2"/>
      </rPr>
      <t>7</t>
    </r>
  </si>
  <si>
    <r>
      <t>Effect of better numeracy on income (one point on test)</t>
    </r>
    <r>
      <rPr>
        <vertAlign val="superscript"/>
        <sz val="14"/>
        <rFont val="Arial"/>
        <family val="2"/>
      </rPr>
      <t>8</t>
    </r>
  </si>
  <si>
    <r>
      <t>Incremental Returns to levels of education</t>
    </r>
    <r>
      <rPr>
        <b/>
        <vertAlign val="superscript"/>
        <sz val="14"/>
        <rFont val="Arial"/>
        <family val="2"/>
      </rPr>
      <t>5</t>
    </r>
  </si>
  <si>
    <t>MILLENNIUM CHALLENGE CORPORATION</t>
  </si>
  <si>
    <t>Namibia: Education Quality Activity</t>
  </si>
  <si>
    <t>KEY ASSUMPTIONS</t>
  </si>
  <si>
    <t>Unless otherwise specified, amounts in N$</t>
  </si>
  <si>
    <t>ERR and Sensitivity analysis</t>
  </si>
  <si>
    <t>Last updated:  8/24/2007</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</si>
  <si>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</si>
  <si>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</si>
  <si>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</si>
  <si>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</si>
  <si>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</si>
  <si>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</si>
  <si>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</si>
  <si>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</si>
  <si>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</si>
  <si>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</si>
  <si>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</si>
  <si>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80% - 120%</t>
  </si>
  <si>
    <t>More Info</t>
  </si>
  <si>
    <t>Actual benefits as a percentage of estimated benefits</t>
  </si>
  <si>
    <t>Activity Description</t>
  </si>
  <si>
    <t>User's Guide</t>
  </si>
  <si>
    <t>Specific</t>
  </si>
  <si>
    <t>Exchange Rate (Namibian dollars per USD)</t>
  </si>
  <si>
    <t>5.6 - 8.4</t>
  </si>
  <si>
    <t>Percentage increase in returns to education due to facilities-related quality improvements: (Primary)</t>
  </si>
  <si>
    <t>16% - 24%</t>
  </si>
  <si>
    <t>(Secondary)</t>
  </si>
  <si>
    <t>8% - 12%</t>
  </si>
  <si>
    <t>Economic rate of return (ERR):</t>
  </si>
  <si>
    <t>MCC Estimated ERR:</t>
  </si>
  <si>
    <t xml:space="preserve"> </t>
  </si>
  <si>
    <t>*Note: Minor changes were incorporated into this ERR model between the Investment Memo stage and compact signing.</t>
  </si>
  <si>
    <t>Key Assumptions</t>
  </si>
  <si>
    <t>PROJECT NAME</t>
  </si>
  <si>
    <t>SPREADSHEET VERSION</t>
  </si>
  <si>
    <t>AMOUNT OF MCC FUNDS</t>
  </si>
  <si>
    <t>PROJECT DESCRIPTION</t>
  </si>
  <si>
    <t>BENEFIT STREAMS INCLUDED IN ERR</t>
  </si>
  <si>
    <t>Increased employment income</t>
  </si>
  <si>
    <t>ESTIMATED ERR AND TIMELINE</t>
  </si>
  <si>
    <t>WORKSHEETS IN THIS FILE</t>
  </si>
  <si>
    <t>One should read this sheet first, as it offers a summary of the project, a list of components, and states the economic rationale for the project.</t>
  </si>
  <si>
    <t>ERR &amp; Sensitivity Analysis</t>
  </si>
  <si>
    <t>A brief summary of the project's key parameters and ERR calculations.</t>
  </si>
  <si>
    <t>A worksheet that outlines the costs and benefits of the Beneficiary Inteest Fund.</t>
  </si>
  <si>
    <t>List of assumptions and figures used in the calculations.</t>
  </si>
  <si>
    <t>SUMMARY</t>
  </si>
  <si>
    <t>ECONOMIC RATIONALE</t>
  </si>
  <si>
    <t>Education Project</t>
  </si>
  <si>
    <t>Upgrading and Constructing up to 47 Primary and Secondary Schools</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</si>
  <si>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</si>
  <si>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Investment Memorandum</t>
  </si>
  <si>
    <t>$67 million total for improving the quality of general education</t>
  </si>
  <si>
    <t>MCC funding under this activity will assist Namibia in upgrading schools (libraries, laboratories etc.), thereby increasing enrollment rates and  returns to primary and secondary education.</t>
  </si>
  <si>
    <t>Increased efficiency of education as costs of repetition and failure are avoided</t>
  </si>
  <si>
    <t>ERR Calculation</t>
  </si>
  <si>
    <t>Enrollment Dynamics</t>
  </si>
  <si>
    <t>Detailed Enrollment</t>
  </si>
  <si>
    <t>Detailed enrollment for regional schools</t>
  </si>
  <si>
    <r>
      <t xml:space="preserve">COSTS INCLUDED IN ERR </t>
    </r>
    <r>
      <rPr>
        <sz val="14"/>
        <rFont val="Arial"/>
        <family val="2"/>
      </rPr>
      <t>(OTHER THAN COSTS BORNE BY MCC)</t>
    </r>
  </si>
  <si>
    <t>13.7% over 20 years</t>
  </si>
  <si>
    <t>Opportunity cost of time that students spend in schools, maintenance costs</t>
  </si>
  <si>
    <t>LAST UPDATED:6/5/2008</t>
  </si>
  <si>
    <t>LAST UPDATED: 6/5/2008</t>
  </si>
  <si>
    <t>This Activity involves the rehabilitation and renovation of infrastructure (including teacher housing) and equipment in approximately 47 primary and secondary schools and the funding of training programs for school administrators and teachers.  Additionally, this Activity includes funding for policy-relevant studies and improvements in science and computer training facilities at teacher training colleges.  To reinforce the outcomes, Namibia will implement teacher education reform guidelines.</t>
  </si>
  <si>
    <t xml:space="preserve">The lack of education and training of the Namibian population has been identified to be a binding constraint to economic growth and poverty reduction.  Investments that are well designed to enhance the efficiency and effectiveness of Namibia's education and training sector tend to have a high economic rate of return (ERR). </t>
  </si>
  <si>
    <t>The ERR for the upgrading and constructing of up to 47 primary and secondary schools is estimated to be 13.7% (with an 80 percent confidence interval of 11 to 16 percent).  The principal economic benefits of the investment are: (1) a higher quality of education, which will raise the returns to primary and secondary education given the currently poor quality and given the skills shortage in Namibia; and (2) reduced failure and repetition rates in the affected schools, which have extremely high costs to the education sector and the Namibian economy generally.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</si>
</sst>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_);_(* \(#,##0\);_(* &quot;-&quot;??_);_(@_)"/>
    <numFmt numFmtId="179" formatCode="_ * #,##0.0_ ;_ * \-#,##0.0_ ;_ * &quot;-&quot;??_ ;_ @_ "/>
    <numFmt numFmtId="180" formatCode="_ * #,##0_ ;_ * \-#,##0_ ;_ * &quot;-&quot;??_ ;_ @_ "/>
    <numFmt numFmtId="181" formatCode="_(* #,##0.0_);_(* \(#,##0.0\);_(* &quot;-&quot;??_);_(@_)"/>
    <numFmt numFmtId="182" formatCode="&quot;$&quot;#,##0.00"/>
    <numFmt numFmtId="183" formatCode="_-* #,##0_-;\-* #,##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 #,##0.0_-;\-* #,##0.0_-;_-* &quot;-&quot;??_-;_-@_-"/>
    <numFmt numFmtId="193" formatCode="yyyy"/>
    <numFmt numFmtId="194" formatCode="\(\)"/>
    <numFmt numFmtId="195" formatCode="\(#\)"/>
    <numFmt numFmtId="196" formatCode="[$-809]dd\ mmmm\ yyyy"/>
    <numFmt numFmtId="197" formatCode="yyyy\-mm\-dd;@"/>
    <numFmt numFmtId="198" formatCode="_-* #,##0.0_-;\-* #,##0.0_-;_-* &quot;-&quot;?_-;_-@_-"/>
    <numFmt numFmtId="199" formatCode="#,##0.0"/>
    <numFmt numFmtId="200" formatCode="0.0"/>
    <numFmt numFmtId="201" formatCode="&quot;$&quot;#,##0"/>
    <numFmt numFmtId="202" formatCode="0.00000"/>
    <numFmt numFmtId="203" formatCode="#,##0_ ;\-#,##0\ "/>
    <numFmt numFmtId="204" formatCode="0_ ;\-0\ "/>
    <numFmt numFmtId="205" formatCode="0.000"/>
    <numFmt numFmtId="206" formatCode="0.000000000"/>
    <numFmt numFmtId="207" formatCode="0.0000"/>
    <numFmt numFmtId="208" formatCode="[$-409]h:mm:ss\ AM/PM"/>
    <numFmt numFmtId="209" formatCode="#,##0.0000"/>
    <numFmt numFmtId="210" formatCode="0.000%"/>
  </numFmts>
  <fonts count="36">
    <font>
      <sz val="10"/>
      <name val="Arial"/>
      <family val="0"/>
    </font>
    <font>
      <sz val="8"/>
      <name val="Arial"/>
      <family val="0"/>
    </font>
    <font>
      <u val="single"/>
      <sz val="10"/>
      <color indexed="12"/>
      <name val="Arial"/>
      <family val="0"/>
    </font>
    <font>
      <u val="single"/>
      <sz val="10"/>
      <color indexed="36"/>
      <name val="Arial"/>
      <family val="0"/>
    </font>
    <font>
      <sz val="14"/>
      <name val="Arial"/>
      <family val="2"/>
    </font>
    <font>
      <i/>
      <sz val="14"/>
      <name val="Arial"/>
      <family val="2"/>
    </font>
    <font>
      <vertAlign val="superscript"/>
      <sz val="14"/>
      <name val="Arial"/>
      <family val="2"/>
    </font>
    <font>
      <b/>
      <sz val="14"/>
      <name val="Arial"/>
      <family val="2"/>
    </font>
    <font>
      <b/>
      <vertAlign val="superscript"/>
      <sz val="14"/>
      <name val="Arial"/>
      <family val="2"/>
    </font>
    <font>
      <sz val="16"/>
      <name val="Arial"/>
      <family val="2"/>
    </font>
    <font>
      <b/>
      <sz val="16"/>
      <name val="Arial"/>
      <family val="2"/>
    </font>
    <font>
      <sz val="10"/>
      <name val="Times New Roman"/>
      <family val="0"/>
    </font>
    <font>
      <sz val="18"/>
      <name val="Times New Roman"/>
      <family val="0"/>
    </font>
    <font>
      <sz val="8"/>
      <name val="Times New Roman"/>
      <family val="0"/>
    </font>
    <font>
      <i/>
      <sz val="12"/>
      <name val="Times New Roman"/>
      <family val="0"/>
    </font>
    <font>
      <sz val="12"/>
      <name val="Arial"/>
      <family val="0"/>
    </font>
    <font>
      <sz val="18"/>
      <name val="Arial"/>
      <family val="0"/>
    </font>
    <font>
      <i/>
      <sz val="12"/>
      <name val="Arial"/>
      <family val="0"/>
    </font>
    <font>
      <sz val="12"/>
      <name val="Times New Roman"/>
      <family val="0"/>
    </font>
    <font>
      <sz val="8"/>
      <color indexed="17"/>
      <name val="Arial"/>
      <family val="2"/>
    </font>
    <font>
      <sz val="10"/>
      <color indexed="23"/>
      <name val="Arial"/>
      <family val="2"/>
    </font>
    <font>
      <b/>
      <sz val="10"/>
      <color indexed="55"/>
      <name val="Arial"/>
      <family val="2"/>
    </font>
    <font>
      <b/>
      <sz val="10"/>
      <color indexed="9"/>
      <name val="Arial"/>
      <family val="2"/>
    </font>
    <font>
      <b/>
      <sz val="14"/>
      <color indexed="12"/>
      <name val="Arial"/>
      <family val="2"/>
    </font>
    <font>
      <b/>
      <sz val="14"/>
      <color indexed="10"/>
      <name val="Arial"/>
      <family val="2"/>
    </font>
    <font>
      <b/>
      <sz val="12"/>
      <name val="Arial"/>
      <family val="2"/>
    </font>
    <font>
      <u val="single"/>
      <sz val="12"/>
      <color indexed="12"/>
      <name val="Arial"/>
      <family val="2"/>
    </font>
    <font>
      <sz val="10"/>
      <color indexed="9"/>
      <name val="Arial"/>
      <family val="2"/>
    </font>
    <font>
      <b/>
      <sz val="16"/>
      <color indexed="10"/>
      <name val="Arial"/>
      <family val="2"/>
    </font>
    <font>
      <b/>
      <sz val="10"/>
      <name val="Arial"/>
      <family val="2"/>
    </font>
    <font>
      <b/>
      <sz val="10"/>
      <color indexed="12"/>
      <name val="Arial"/>
      <family val="2"/>
    </font>
    <font>
      <b/>
      <sz val="13"/>
      <name val="Arial"/>
      <family val="2"/>
    </font>
    <font>
      <sz val="17.75"/>
      <name val="Arial"/>
      <family val="0"/>
    </font>
    <font>
      <sz val="11.25"/>
      <name val="Arial"/>
      <family val="2"/>
    </font>
    <font>
      <sz val="11"/>
      <name val="Arial"/>
      <family val="2"/>
    </font>
    <font>
      <u val="single"/>
      <sz val="14"/>
      <color indexed="12"/>
      <name val="Arial"/>
      <family val="2"/>
    </font>
  </fonts>
  <fills count="7">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dotted"/>
      <right>
        <color indexed="63"/>
      </right>
      <top>
        <color indexed="63"/>
      </top>
      <bottom>
        <color indexed="63"/>
      </bottom>
    </border>
    <border>
      <left style="thin"/>
      <right>
        <color indexed="63"/>
      </right>
      <top>
        <color indexed="63"/>
      </top>
      <bottom>
        <color indexed="63"/>
      </bottom>
    </border>
    <border>
      <left style="thin"/>
      <right style="dotted"/>
      <top style="thin"/>
      <bottom>
        <color indexed="63"/>
      </bottom>
    </border>
    <border>
      <left style="dotted"/>
      <right>
        <color indexed="63"/>
      </right>
      <top style="thin"/>
      <bottom>
        <color indexed="63"/>
      </bottom>
    </border>
    <border>
      <left style="thin"/>
      <right style="dotted"/>
      <top>
        <color indexed="63"/>
      </top>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dotted"/>
      <right style="thin"/>
      <top style="thin"/>
      <bottom style="thin"/>
    </border>
    <border>
      <left style="thin"/>
      <right style="thin"/>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color indexed="63"/>
      </left>
      <right style="dotted"/>
      <top>
        <color indexed="63"/>
      </top>
      <bottom>
        <color indexed="63"/>
      </bottom>
    </border>
    <border>
      <left style="thin"/>
      <right style="dashed"/>
      <top style="thin"/>
      <bottom>
        <color indexed="63"/>
      </bottom>
    </border>
    <border>
      <left style="thin"/>
      <right style="dashed"/>
      <top>
        <color indexed="63"/>
      </top>
      <bottom>
        <color indexed="63"/>
      </bottom>
    </border>
    <border>
      <left style="thin"/>
      <right style="dashed"/>
      <top style="dotted"/>
      <bottom>
        <color indexed="63"/>
      </bottom>
    </border>
    <border>
      <left style="thin"/>
      <right style="dashed"/>
      <top>
        <color indexed="63"/>
      </top>
      <bottom style="thin"/>
    </border>
    <border>
      <left>
        <color indexed="63"/>
      </left>
      <right>
        <color indexed="63"/>
      </right>
      <top style="dotted"/>
      <bottom>
        <color indexed="63"/>
      </bottom>
    </border>
    <border>
      <left>
        <color indexed="63"/>
      </left>
      <right>
        <color indexed="63"/>
      </right>
      <top>
        <color indexed="63"/>
      </top>
      <bottom style="thin"/>
    </border>
    <border>
      <left>
        <color indexed="63"/>
      </left>
      <right style="dotted"/>
      <top style="dotted"/>
      <bottom>
        <color indexed="63"/>
      </bottom>
    </border>
    <border>
      <left>
        <color indexed="63"/>
      </left>
      <right style="dott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color indexed="22"/>
      </left>
      <right style="thin">
        <color indexed="22"/>
      </right>
      <top style="thin">
        <color indexed="22"/>
      </top>
      <bottom style="thin">
        <color indexed="22"/>
      </bottom>
    </border>
    <border>
      <left>
        <color indexed="63"/>
      </left>
      <right style="thin">
        <color indexed="9"/>
      </right>
      <top style="thin">
        <color indexed="9"/>
      </top>
      <bottom style="thin">
        <color indexed="9"/>
      </bottom>
    </border>
    <border>
      <left style="thin"/>
      <right style="thin"/>
      <top style="thin"/>
      <bottom style="mediu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color indexed="63"/>
      </left>
      <right style="double"/>
      <top>
        <color indexed="63"/>
      </top>
      <bottom style="thin"/>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style="thin"/>
      <top style="double"/>
      <bottom>
        <color indexed="63"/>
      </bottom>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style="double"/>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double"/>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0" applyNumberFormat="0" applyBorder="0" applyAlignment="0">
      <protection locked="0"/>
    </xf>
    <xf numFmtId="1" fontId="12" fillId="0" borderId="0" applyProtection="0">
      <alignment/>
    </xf>
    <xf numFmtId="1" fontId="13" fillId="0" borderId="0" applyProtection="0">
      <alignment/>
    </xf>
    <xf numFmtId="1" fontId="14" fillId="0" borderId="0" applyProtection="0">
      <alignment/>
    </xf>
    <xf numFmtId="1" fontId="15" fillId="0" borderId="0" applyProtection="0">
      <alignment/>
    </xf>
    <xf numFmtId="1" fontId="16" fillId="0" borderId="0" applyProtection="0">
      <alignment/>
    </xf>
    <xf numFmtId="1" fontId="1" fillId="0" borderId="0" applyProtection="0">
      <alignment/>
    </xf>
    <xf numFmtId="1" fontId="17" fillId="0" borderId="0" applyProtection="0">
      <alignment/>
    </xf>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lignment vertical="top"/>
      <protection/>
    </xf>
    <xf numFmtId="0" fontId="0" fillId="0" borderId="0" applyFon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168" fontId="4" fillId="0" borderId="1" xfId="0" applyNumberFormat="1" applyFont="1" applyFill="1" applyBorder="1" applyAlignment="1">
      <alignment/>
    </xf>
    <xf numFmtId="168" fontId="4" fillId="0" borderId="0" xfId="0" applyNumberFormat="1" applyFont="1" applyFill="1" applyBorder="1" applyAlignment="1">
      <alignment/>
    </xf>
    <xf numFmtId="0" fontId="4" fillId="0" borderId="0" xfId="0" applyFont="1" applyFill="1" applyAlignment="1">
      <alignment wrapText="1"/>
    </xf>
    <xf numFmtId="0" fontId="4" fillId="0" borderId="0" xfId="0" applyFont="1" applyFill="1" applyAlignment="1">
      <alignment/>
    </xf>
    <xf numFmtId="0" fontId="0" fillId="0" borderId="0" xfId="0" applyFont="1" applyFill="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3" xfId="0" applyFont="1" applyFill="1" applyBorder="1" applyAlignment="1">
      <alignment wrapText="1"/>
    </xf>
    <xf numFmtId="0" fontId="4" fillId="0" borderId="4" xfId="0" applyFont="1" applyFill="1" applyBorder="1" applyAlignment="1">
      <alignment/>
    </xf>
    <xf numFmtId="0" fontId="4" fillId="0" borderId="1" xfId="0" applyFont="1" applyFill="1" applyBorder="1" applyAlignment="1">
      <alignment/>
    </xf>
    <xf numFmtId="0" fontId="4" fillId="0" borderId="5" xfId="0" applyFont="1" applyFill="1" applyBorder="1" applyAlignment="1">
      <alignment wrapText="1"/>
    </xf>
    <xf numFmtId="9"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2" xfId="0" applyNumberFormat="1" applyFont="1" applyFill="1" applyBorder="1" applyAlignment="1">
      <alignment/>
    </xf>
    <xf numFmtId="2" fontId="4" fillId="0" borderId="6" xfId="0" applyNumberFormat="1" applyFont="1" applyFill="1" applyBorder="1" applyAlignment="1">
      <alignment/>
    </xf>
    <xf numFmtId="8" fontId="4" fillId="0" borderId="6" xfId="0" applyNumberFormat="1" applyFont="1" applyFill="1" applyBorder="1" applyAlignment="1">
      <alignment/>
    </xf>
    <xf numFmtId="9" fontId="5" fillId="0" borderId="7" xfId="0" applyNumberFormat="1" applyFont="1" applyFill="1" applyBorder="1" applyAlignment="1">
      <alignment/>
    </xf>
    <xf numFmtId="2" fontId="4" fillId="0" borderId="8" xfId="0" applyNumberFormat="1" applyFont="1" applyFill="1" applyBorder="1" applyAlignment="1">
      <alignment/>
    </xf>
    <xf numFmtId="8" fontId="4" fillId="0" borderId="8" xfId="0" applyNumberFormat="1" applyFont="1" applyFill="1" applyBorder="1" applyAlignment="1">
      <alignment/>
    </xf>
    <xf numFmtId="9" fontId="5" fillId="0" borderId="9" xfId="0" applyNumberFormat="1" applyFont="1" applyFill="1" applyBorder="1" applyAlignment="1">
      <alignment/>
    </xf>
    <xf numFmtId="0" fontId="4" fillId="0" borderId="10" xfId="0" applyFont="1" applyFill="1" applyBorder="1" applyAlignment="1">
      <alignment wrapText="1"/>
    </xf>
    <xf numFmtId="2" fontId="4" fillId="0" borderId="11" xfId="0" applyNumberFormat="1" applyFont="1" applyFill="1" applyBorder="1" applyAlignment="1">
      <alignment/>
    </xf>
    <xf numFmtId="8" fontId="4" fillId="0" borderId="11" xfId="0" applyNumberFormat="1" applyFont="1" applyFill="1" applyBorder="1" applyAlignment="1">
      <alignment/>
    </xf>
    <xf numFmtId="9" fontId="5" fillId="0" borderId="12" xfId="0" applyNumberFormat="1" applyFont="1" applyFill="1" applyBorder="1" applyAlignment="1">
      <alignment/>
    </xf>
    <xf numFmtId="0" fontId="4" fillId="0" borderId="2" xfId="0" applyFont="1" applyFill="1" applyBorder="1" applyAlignment="1" quotePrefix="1">
      <alignment/>
    </xf>
    <xf numFmtId="0" fontId="4" fillId="0" borderId="5" xfId="0" applyFont="1" applyFill="1" applyBorder="1" applyAlignment="1">
      <alignment horizontal="left" wrapText="1"/>
    </xf>
    <xf numFmtId="0" fontId="4" fillId="0" borderId="5" xfId="0" applyFont="1" applyFill="1" applyBorder="1" applyAlignment="1">
      <alignment horizontal="justify" vertical="top" wrapText="1"/>
    </xf>
    <xf numFmtId="2" fontId="4" fillId="0" borderId="1" xfId="0" applyNumberFormat="1" applyFont="1" applyFill="1" applyBorder="1" applyAlignment="1">
      <alignment wrapText="1"/>
    </xf>
    <xf numFmtId="0" fontId="4" fillId="0" borderId="10" xfId="0" applyFont="1" applyFill="1" applyBorder="1" applyAlignment="1">
      <alignment horizontal="justify" vertical="top" wrapText="1"/>
    </xf>
    <xf numFmtId="2" fontId="4" fillId="0" borderId="13" xfId="0" applyNumberFormat="1" applyFont="1" applyFill="1" applyBorder="1" applyAlignment="1">
      <alignment wrapText="1"/>
    </xf>
    <xf numFmtId="0" fontId="0" fillId="0" borderId="14" xfId="0" applyFont="1" applyFill="1" applyBorder="1" applyAlignment="1">
      <alignment/>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wrapText="1"/>
    </xf>
    <xf numFmtId="0" fontId="7" fillId="0" borderId="0" xfId="0" applyFont="1" applyFill="1" applyAlignment="1">
      <alignment wrapText="1"/>
    </xf>
    <xf numFmtId="0" fontId="0" fillId="0" borderId="0" xfId="0" applyFont="1" applyFill="1" applyBorder="1" applyAlignment="1">
      <alignment/>
    </xf>
    <xf numFmtId="0" fontId="4" fillId="0" borderId="0" xfId="0" applyFont="1" applyAlignment="1">
      <alignment/>
    </xf>
    <xf numFmtId="0" fontId="7" fillId="0" borderId="19" xfId="0" applyFont="1" applyBorder="1" applyAlignment="1">
      <alignment horizontal="center"/>
    </xf>
    <xf numFmtId="0" fontId="7" fillId="0" borderId="20"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center"/>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0" xfId="0" applyFont="1" applyFill="1" applyAlignment="1">
      <alignment/>
    </xf>
    <xf numFmtId="0" fontId="7" fillId="0" borderId="20" xfId="0" applyFont="1" applyFill="1" applyBorder="1" applyAlignment="1">
      <alignment horizontal="center"/>
    </xf>
    <xf numFmtId="0" fontId="7" fillId="0" borderId="16" xfId="0" applyFont="1" applyFill="1" applyBorder="1" applyAlignment="1">
      <alignment horizontal="center"/>
    </xf>
    <xf numFmtId="0" fontId="7" fillId="0" borderId="5" xfId="0" applyFont="1" applyBorder="1" applyAlignment="1">
      <alignment/>
    </xf>
    <xf numFmtId="3" fontId="4" fillId="0" borderId="8" xfId="0" applyNumberFormat="1" applyFont="1" applyBorder="1" applyAlignment="1">
      <alignment/>
    </xf>
    <xf numFmtId="3" fontId="4" fillId="0" borderId="9" xfId="0" applyNumberFormat="1" applyFont="1" applyBorder="1" applyAlignment="1">
      <alignment/>
    </xf>
    <xf numFmtId="3" fontId="4" fillId="0" borderId="0" xfId="0" applyNumberFormat="1" applyFont="1" applyAlignment="1">
      <alignment/>
    </xf>
    <xf numFmtId="0" fontId="5" fillId="0" borderId="19" xfId="0" applyFont="1" applyBorder="1" applyAlignment="1">
      <alignment/>
    </xf>
    <xf numFmtId="0" fontId="4" fillId="0" borderId="20" xfId="0" applyFont="1" applyBorder="1" applyAlignment="1">
      <alignment/>
    </xf>
    <xf numFmtId="0" fontId="4" fillId="0" borderId="16" xfId="0" applyFont="1" applyBorder="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3" fontId="7" fillId="0" borderId="11" xfId="0" applyNumberFormat="1" applyFont="1" applyBorder="1" applyAlignment="1">
      <alignment/>
    </xf>
    <xf numFmtId="3" fontId="7" fillId="0" borderId="12" xfId="0" applyNumberFormat="1" applyFont="1" applyBorder="1" applyAlignment="1">
      <alignment/>
    </xf>
    <xf numFmtId="0" fontId="7" fillId="0" borderId="19" xfId="0" applyFont="1" applyFill="1" applyBorder="1" applyAlignment="1">
      <alignment horizontal="right"/>
    </xf>
    <xf numFmtId="3" fontId="4" fillId="0" borderId="0" xfId="0" applyNumberFormat="1" applyFont="1" applyAlignment="1">
      <alignment/>
    </xf>
    <xf numFmtId="0" fontId="4" fillId="0" borderId="8" xfId="0" applyFont="1" applyBorder="1" applyAlignment="1">
      <alignment/>
    </xf>
    <xf numFmtId="0" fontId="4" fillId="0" borderId="9" xfId="0" applyFont="1" applyBorder="1" applyAlignment="1">
      <alignment/>
    </xf>
    <xf numFmtId="3" fontId="4" fillId="0" borderId="8" xfId="0" applyNumberFormat="1" applyFont="1" applyBorder="1" applyAlignment="1">
      <alignment/>
    </xf>
    <xf numFmtId="3" fontId="4" fillId="0" borderId="9" xfId="0" applyNumberFormat="1" applyFont="1" applyBorder="1" applyAlignment="1">
      <alignment/>
    </xf>
    <xf numFmtId="0" fontId="4" fillId="0" borderId="8" xfId="0" applyNumberFormat="1" applyFont="1" applyBorder="1" applyAlignment="1">
      <alignment/>
    </xf>
    <xf numFmtId="0" fontId="4" fillId="0" borderId="24" xfId="0" applyFont="1" applyBorder="1" applyAlignment="1">
      <alignment/>
    </xf>
    <xf numFmtId="0" fontId="4" fillId="0" borderId="8" xfId="0" applyFont="1" applyFill="1" applyBorder="1" applyAlignment="1">
      <alignment/>
    </xf>
    <xf numFmtId="0" fontId="4" fillId="0" borderId="9" xfId="0" applyFont="1" applyFill="1" applyBorder="1" applyAlignment="1">
      <alignment/>
    </xf>
    <xf numFmtId="3" fontId="4" fillId="0" borderId="8" xfId="0" applyNumberFormat="1" applyFont="1" applyFill="1" applyBorder="1" applyAlignment="1">
      <alignment/>
    </xf>
    <xf numFmtId="3" fontId="4" fillId="0" borderId="9" xfId="0" applyNumberFormat="1" applyFont="1" applyFill="1" applyBorder="1" applyAlignment="1">
      <alignment/>
    </xf>
    <xf numFmtId="0" fontId="4" fillId="0" borderId="11" xfId="0" applyFont="1" applyFill="1" applyBorder="1" applyAlignment="1">
      <alignment/>
    </xf>
    <xf numFmtId="3" fontId="4" fillId="0" borderId="11" xfId="0" applyNumberFormat="1" applyFont="1" applyFill="1" applyBorder="1" applyAlignment="1">
      <alignment/>
    </xf>
    <xf numFmtId="3" fontId="4" fillId="0" borderId="12" xfId="0" applyNumberFormat="1" applyFont="1" applyFill="1" applyBorder="1" applyAlignment="1">
      <alignment/>
    </xf>
    <xf numFmtId="0" fontId="7" fillId="0" borderId="0" xfId="0" applyFont="1" applyFill="1" applyAlignment="1">
      <alignment/>
    </xf>
    <xf numFmtId="0" fontId="7" fillId="0" borderId="19" xfId="0" applyFont="1" applyFill="1" applyBorder="1" applyAlignment="1">
      <alignment/>
    </xf>
    <xf numFmtId="0" fontId="7" fillId="0" borderId="20" xfId="0" applyFont="1" applyFill="1" applyBorder="1" applyAlignment="1">
      <alignment/>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22" xfId="0" applyFont="1" applyBorder="1" applyAlignment="1">
      <alignment/>
    </xf>
    <xf numFmtId="3" fontId="4" fillId="0" borderId="22" xfId="0" applyNumberFormat="1" applyFont="1" applyBorder="1" applyAlignment="1">
      <alignment/>
    </xf>
    <xf numFmtId="3" fontId="4" fillId="0" borderId="23" xfId="0" applyNumberFormat="1" applyFont="1" applyBorder="1" applyAlignment="1">
      <alignment/>
    </xf>
    <xf numFmtId="0" fontId="7" fillId="0" borderId="2" xfId="0" applyFont="1" applyBorder="1" applyAlignment="1">
      <alignment/>
    </xf>
    <xf numFmtId="0" fontId="4" fillId="0" borderId="24" xfId="0" applyFont="1" applyFill="1" applyBorder="1" applyAlignment="1">
      <alignment/>
    </xf>
    <xf numFmtId="0" fontId="7" fillId="0" borderId="25" xfId="0" applyFont="1" applyBorder="1" applyAlignment="1">
      <alignment/>
    </xf>
    <xf numFmtId="0" fontId="5" fillId="0" borderId="26" xfId="0" applyFont="1" applyBorder="1" applyAlignment="1">
      <alignment/>
    </xf>
    <xf numFmtId="0" fontId="4" fillId="0" borderId="26" xfId="0" applyFont="1" applyBorder="1" applyAlignment="1">
      <alignment/>
    </xf>
    <xf numFmtId="0" fontId="5" fillId="0" borderId="27" xfId="0" applyFont="1" applyBorder="1" applyAlignment="1">
      <alignment/>
    </xf>
    <xf numFmtId="0" fontId="7" fillId="0" borderId="26" xfId="0" applyFont="1" applyFill="1" applyBorder="1" applyAlignment="1">
      <alignment/>
    </xf>
    <xf numFmtId="0" fontId="4" fillId="0" borderId="26" xfId="0" applyFont="1" applyFill="1" applyBorder="1" applyAlignment="1">
      <alignment/>
    </xf>
    <xf numFmtId="0" fontId="4" fillId="0" borderId="28" xfId="0" applyFont="1" applyFill="1" applyBorder="1" applyAlignment="1">
      <alignment/>
    </xf>
    <xf numFmtId="0" fontId="4" fillId="0" borderId="0" xfId="0" applyFont="1" applyBorder="1" applyAlignment="1">
      <alignment/>
    </xf>
    <xf numFmtId="0" fontId="4" fillId="0" borderId="29" xfId="0" applyFont="1" applyBorder="1" applyAlignment="1">
      <alignment/>
    </xf>
    <xf numFmtId="168" fontId="4" fillId="3" borderId="15" xfId="0" applyNumberFormat="1" applyFont="1" applyFill="1" applyBorder="1" applyAlignment="1">
      <alignment/>
    </xf>
    <xf numFmtId="9" fontId="4" fillId="0" borderId="0" xfId="0" applyNumberFormat="1" applyFont="1" applyFill="1" applyBorder="1" applyAlignment="1">
      <alignment/>
    </xf>
    <xf numFmtId="4" fontId="4" fillId="0" borderId="0" xfId="0" applyNumberFormat="1" applyFont="1" applyFill="1" applyBorder="1" applyAlignment="1">
      <alignment/>
    </xf>
    <xf numFmtId="0" fontId="4" fillId="0" borderId="30" xfId="0" applyFont="1" applyFill="1" applyBorder="1" applyAlignment="1">
      <alignment/>
    </xf>
    <xf numFmtId="3" fontId="4" fillId="0" borderId="24" xfId="0" applyNumberFormat="1" applyFont="1" applyBorder="1" applyAlignment="1">
      <alignment/>
    </xf>
    <xf numFmtId="3" fontId="4" fillId="0" borderId="31" xfId="0" applyNumberFormat="1" applyFont="1" applyBorder="1" applyAlignment="1">
      <alignment/>
    </xf>
    <xf numFmtId="3" fontId="4" fillId="0" borderId="24" xfId="0" applyNumberFormat="1" applyFont="1" applyFill="1" applyBorder="1" applyAlignment="1">
      <alignment/>
    </xf>
    <xf numFmtId="3" fontId="4" fillId="0" borderId="32" xfId="0" applyNumberFormat="1" applyFont="1" applyFill="1" applyBorder="1" applyAlignment="1">
      <alignment/>
    </xf>
    <xf numFmtId="0" fontId="4" fillId="0" borderId="6" xfId="0" applyFont="1" applyBorder="1" applyAlignment="1">
      <alignment/>
    </xf>
    <xf numFmtId="0" fontId="0" fillId="0" borderId="0" xfId="32" applyFont="1" applyAlignment="1">
      <alignment horizontal="center" vertical="center" wrapText="1"/>
    </xf>
    <xf numFmtId="0" fontId="0" fillId="0" borderId="0" xfId="32" applyFont="1" applyAlignment="1">
      <alignment vertical="center"/>
    </xf>
    <xf numFmtId="0" fontId="0" fillId="0" borderId="0" xfId="32" applyFont="1" applyAlignment="1">
      <alignment vertical="center" wrapText="1"/>
    </xf>
    <xf numFmtId="0" fontId="0" fillId="0" borderId="0" xfId="32" applyFont="1" applyAlignment="1">
      <alignment horizontal="center" vertical="center"/>
    </xf>
    <xf numFmtId="0" fontId="19" fillId="0" borderId="0" xfId="32" applyFont="1" applyAlignment="1">
      <alignment horizontal="right" vertical="center"/>
    </xf>
    <xf numFmtId="0" fontId="0" fillId="0" borderId="33" xfId="32" applyFont="1" applyBorder="1" applyAlignment="1">
      <alignment vertical="center"/>
    </xf>
    <xf numFmtId="0" fontId="0" fillId="0" borderId="34" xfId="32" applyFont="1" applyBorder="1" applyAlignment="1">
      <alignment vertical="center" wrapText="1"/>
    </xf>
    <xf numFmtId="0" fontId="0" fillId="0" borderId="34" xfId="32" applyFont="1" applyBorder="1" applyAlignment="1">
      <alignment vertical="center"/>
    </xf>
    <xf numFmtId="0" fontId="0" fillId="0" borderId="34" xfId="32" applyFont="1" applyBorder="1" applyAlignment="1">
      <alignment horizontal="center" vertical="center"/>
    </xf>
    <xf numFmtId="0" fontId="0" fillId="0" borderId="35" xfId="32" applyFont="1" applyBorder="1" applyAlignment="1">
      <alignment vertical="center"/>
    </xf>
    <xf numFmtId="0" fontId="0" fillId="0" borderId="0" xfId="32" applyAlignment="1">
      <alignment/>
    </xf>
    <xf numFmtId="0" fontId="20" fillId="0" borderId="36" xfId="32" applyFont="1" applyBorder="1" applyAlignment="1">
      <alignment horizontal="center" vertical="center" wrapText="1"/>
    </xf>
    <xf numFmtId="0" fontId="21" fillId="0" borderId="36" xfId="32" applyFont="1" applyFill="1" applyBorder="1" applyAlignment="1">
      <alignment horizontal="center" vertical="center" wrapText="1"/>
    </xf>
    <xf numFmtId="0" fontId="22" fillId="0" borderId="37" xfId="32" applyFont="1" applyFill="1" applyBorder="1" applyAlignment="1">
      <alignment horizontal="center" vertical="center" wrapText="1"/>
    </xf>
    <xf numFmtId="0" fontId="0" fillId="0" borderId="0" xfId="32" applyAlignment="1">
      <alignment wrapText="1"/>
    </xf>
    <xf numFmtId="0" fontId="23" fillId="0" borderId="38" xfId="32" applyFont="1" applyBorder="1" applyAlignment="1">
      <alignment horizontal="center" vertical="center" wrapText="1"/>
    </xf>
    <xf numFmtId="0" fontId="4" fillId="0" borderId="38" xfId="32" applyFont="1" applyBorder="1" applyAlignment="1">
      <alignment horizontal="center" vertical="center" wrapText="1"/>
    </xf>
    <xf numFmtId="0" fontId="4" fillId="0" borderId="2" xfId="32" applyFont="1" applyBorder="1" applyAlignment="1">
      <alignment vertical="center"/>
    </xf>
    <xf numFmtId="0" fontId="4" fillId="0" borderId="39" xfId="32" applyFont="1" applyBorder="1" applyAlignment="1">
      <alignment vertical="center" wrapText="1"/>
    </xf>
    <xf numFmtId="9" fontId="24" fillId="4" borderId="40" xfId="32" applyNumberFormat="1" applyFont="1" applyFill="1" applyBorder="1" applyAlignment="1">
      <alignment horizontal="center" vertical="center" wrapText="1"/>
    </xf>
    <xf numFmtId="9" fontId="4" fillId="0" borderId="40" xfId="32" applyNumberFormat="1" applyFont="1" applyFill="1" applyBorder="1" applyAlignment="1">
      <alignment horizontal="center" vertical="center" wrapText="1"/>
    </xf>
    <xf numFmtId="9" fontId="4" fillId="0" borderId="41" xfId="32" applyNumberFormat="1" applyFont="1" applyFill="1" applyBorder="1" applyAlignment="1">
      <alignment horizontal="center" vertical="center" wrapText="1"/>
    </xf>
    <xf numFmtId="9" fontId="4" fillId="5" borderId="41" xfId="32" applyNumberFormat="1" applyFont="1" applyFill="1" applyBorder="1" applyAlignment="1">
      <alignment horizontal="center" vertical="center"/>
    </xf>
    <xf numFmtId="0" fontId="4" fillId="0" borderId="42" xfId="32" applyFont="1" applyFill="1" applyBorder="1" applyAlignment="1">
      <alignment vertical="center"/>
    </xf>
    <xf numFmtId="0" fontId="4" fillId="0" borderId="43" xfId="32" applyFont="1" applyBorder="1" applyAlignment="1">
      <alignment vertical="center" wrapText="1"/>
    </xf>
    <xf numFmtId="9" fontId="24" fillId="4" borderId="42" xfId="32" applyNumberFormat="1" applyFont="1" applyFill="1" applyBorder="1" applyAlignment="1">
      <alignment horizontal="center" vertical="center" wrapText="1"/>
    </xf>
    <xf numFmtId="9" fontId="4" fillId="0" borderId="42" xfId="32" applyNumberFormat="1" applyFont="1" applyFill="1" applyBorder="1" applyAlignment="1">
      <alignment horizontal="center" vertical="center" wrapText="1"/>
    </xf>
    <xf numFmtId="9" fontId="4" fillId="0" borderId="44" xfId="32" applyNumberFormat="1" applyFont="1" applyFill="1" applyBorder="1" applyAlignment="1">
      <alignment horizontal="center" vertical="center" wrapText="1"/>
    </xf>
    <xf numFmtId="9" fontId="4" fillId="5" borderId="44" xfId="32" applyNumberFormat="1" applyFont="1" applyFill="1" applyBorder="1" applyAlignment="1">
      <alignment horizontal="center" vertical="center"/>
    </xf>
    <xf numFmtId="0" fontId="4" fillId="0" borderId="0" xfId="32" applyFont="1" applyFill="1" applyBorder="1" applyAlignment="1">
      <alignment vertical="center"/>
    </xf>
    <xf numFmtId="0" fontId="4" fillId="0" borderId="0" xfId="32" applyFont="1" applyBorder="1" applyAlignment="1">
      <alignment vertical="center" wrapText="1"/>
    </xf>
    <xf numFmtId="9" fontId="24"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xf>
    <xf numFmtId="0" fontId="4" fillId="0" borderId="45" xfId="0" applyFont="1" applyFill="1" applyBorder="1" applyAlignment="1">
      <alignment wrapText="1"/>
    </xf>
    <xf numFmtId="0" fontId="4" fillId="0" borderId="46" xfId="0" applyFont="1" applyFill="1" applyBorder="1" applyAlignment="1">
      <alignment wrapText="1"/>
    </xf>
    <xf numFmtId="200" fontId="24" fillId="4" borderId="45" xfId="0" applyNumberFormat="1" applyFont="1" applyFill="1" applyBorder="1" applyAlignment="1">
      <alignment horizontal="center" vertical="center" wrapText="1"/>
    </xf>
    <xf numFmtId="200" fontId="4" fillId="0" borderId="46" xfId="32" applyNumberFormat="1" applyFont="1" applyFill="1" applyBorder="1" applyAlignment="1">
      <alignment horizontal="center" vertical="center" wrapText="1"/>
    </xf>
    <xf numFmtId="9" fontId="4" fillId="0" borderId="46" xfId="32" applyNumberFormat="1" applyFont="1" applyFill="1" applyBorder="1" applyAlignment="1">
      <alignment horizontal="center" vertical="center" wrapText="1"/>
    </xf>
    <xf numFmtId="0" fontId="4" fillId="5" borderId="46" xfId="32" applyFont="1" applyFill="1" applyBorder="1" applyAlignment="1">
      <alignment horizontal="center" vertical="center"/>
    </xf>
    <xf numFmtId="0" fontId="0" fillId="0" borderId="0" xfId="32" applyFont="1" applyAlignment="1">
      <alignment horizontal="left" vertical="center"/>
    </xf>
    <xf numFmtId="0" fontId="27" fillId="0" borderId="0" xfId="32" applyFont="1" applyAlignment="1">
      <alignment horizontal="left" vertical="center"/>
    </xf>
    <xf numFmtId="0" fontId="4" fillId="0" borderId="2" xfId="0" applyFont="1" applyFill="1" applyBorder="1" applyAlignment="1">
      <alignment vertical="center" wrapText="1"/>
    </xf>
    <xf numFmtId="0" fontId="4" fillId="0" borderId="40" xfId="0" applyFont="1" applyFill="1" applyBorder="1" applyAlignment="1">
      <alignment wrapText="1"/>
    </xf>
    <xf numFmtId="9" fontId="24" fillId="4" borderId="2" xfId="0" applyNumberFormat="1" applyFont="1" applyFill="1" applyBorder="1" applyAlignment="1">
      <alignment horizontal="center" vertical="center" wrapText="1"/>
    </xf>
    <xf numFmtId="206" fontId="4" fillId="0" borderId="40" xfId="32" applyNumberFormat="1" applyFont="1" applyFill="1" applyBorder="1" applyAlignment="1">
      <alignment horizontal="center" vertical="center" shrinkToFit="1"/>
    </xf>
    <xf numFmtId="9" fontId="4" fillId="5" borderId="40" xfId="32" applyNumberFormat="1" applyFont="1" applyFill="1" applyBorder="1" applyAlignment="1">
      <alignment horizontal="center" vertical="center"/>
    </xf>
    <xf numFmtId="10" fontId="0" fillId="0" borderId="0" xfId="32" applyNumberFormat="1" applyFont="1" applyAlignment="1">
      <alignment horizontal="left" vertical="center"/>
    </xf>
    <xf numFmtId="0" fontId="4" fillId="0" borderId="43" xfId="0" applyFont="1" applyFill="1" applyBorder="1" applyAlignment="1">
      <alignment wrapText="1"/>
    </xf>
    <xf numFmtId="9" fontId="24" fillId="4" borderId="43" xfId="0" applyNumberFormat="1" applyFont="1" applyFill="1" applyBorder="1" applyAlignment="1">
      <alignment horizontal="center" vertical="center" wrapText="1"/>
    </xf>
    <xf numFmtId="2" fontId="4" fillId="0" borderId="42" xfId="32" applyNumberFormat="1" applyFont="1" applyFill="1" applyBorder="1" applyAlignment="1">
      <alignment horizontal="center" vertical="center" wrapText="1"/>
    </xf>
    <xf numFmtId="9" fontId="4" fillId="5" borderId="42" xfId="32" applyNumberFormat="1" applyFont="1" applyFill="1" applyBorder="1" applyAlignment="1">
      <alignment horizontal="center" vertical="center"/>
    </xf>
    <xf numFmtId="0" fontId="27" fillId="0" borderId="0" xfId="32" applyFont="1" applyAlignment="1">
      <alignment horizontal="center" vertical="center"/>
    </xf>
    <xf numFmtId="207" fontId="0" fillId="0" borderId="0" xfId="32" applyNumberFormat="1" applyFont="1" applyAlignment="1">
      <alignment vertical="center"/>
    </xf>
    <xf numFmtId="0" fontId="28" fillId="6" borderId="0" xfId="31" applyFont="1" applyFill="1" applyBorder="1" applyAlignment="1">
      <alignment horizontal="center"/>
      <protection/>
    </xf>
    <xf numFmtId="0" fontId="28" fillId="6" borderId="0" xfId="31" applyFont="1" applyFill="1" applyBorder="1" applyAlignment="1">
      <alignment horizontal="center" wrapText="1"/>
      <protection/>
    </xf>
    <xf numFmtId="0" fontId="0" fillId="0" borderId="0" xfId="0" applyFill="1" applyAlignment="1">
      <alignment/>
    </xf>
    <xf numFmtId="0" fontId="0" fillId="0" borderId="0" xfId="32" applyFont="1" applyFill="1" applyAlignment="1">
      <alignment vertical="center"/>
    </xf>
    <xf numFmtId="0" fontId="28" fillId="6" borderId="0" xfId="31" applyFont="1" applyFill="1" applyBorder="1" applyAlignment="1">
      <alignment horizontal="left"/>
      <protection/>
    </xf>
    <xf numFmtId="10" fontId="28" fillId="6" borderId="0" xfId="31" applyNumberFormat="1" applyFont="1" applyFill="1" applyBorder="1" applyAlignment="1">
      <alignment horizontal="left"/>
      <protection/>
    </xf>
    <xf numFmtId="0" fontId="4" fillId="0" borderId="0" xfId="32" applyFont="1" applyAlignment="1">
      <alignment vertical="center"/>
    </xf>
    <xf numFmtId="0" fontId="7" fillId="0" borderId="0" xfId="32" applyFont="1" applyAlignment="1">
      <alignment horizontal="left" vertical="center" wrapText="1"/>
    </xf>
    <xf numFmtId="168" fontId="7" fillId="3" borderId="17" xfId="32" applyNumberFormat="1" applyFont="1" applyFill="1" applyBorder="1" applyAlignment="1">
      <alignment horizontal="center" vertical="center"/>
    </xf>
    <xf numFmtId="0" fontId="29" fillId="0" borderId="0" xfId="32" applyFont="1" applyAlignment="1">
      <alignment horizontal="right" vertical="center" wrapText="1"/>
    </xf>
    <xf numFmtId="168" fontId="22" fillId="0" borderId="0" xfId="32" applyNumberFormat="1" applyFont="1" applyFill="1" applyBorder="1" applyAlignment="1">
      <alignment horizontal="center" vertical="center"/>
    </xf>
    <xf numFmtId="168" fontId="7" fillId="0" borderId="17" xfId="32" applyNumberFormat="1" applyFont="1" applyFill="1" applyBorder="1" applyAlignment="1">
      <alignment horizontal="center" vertical="center"/>
    </xf>
    <xf numFmtId="168" fontId="29" fillId="0" borderId="0" xfId="32" applyNumberFormat="1" applyFont="1" applyBorder="1" applyAlignment="1">
      <alignment horizontal="center" vertical="center"/>
    </xf>
    <xf numFmtId="0" fontId="4" fillId="0" borderId="0" xfId="32" applyFont="1" applyBorder="1" applyAlignment="1">
      <alignment horizontal="left" vertical="center" wrapText="1"/>
    </xf>
    <xf numFmtId="49" fontId="4" fillId="0" borderId="0" xfId="32" applyNumberFormat="1" applyFont="1" applyAlignment="1">
      <alignment horizontal="right" vertical="top" wrapText="1"/>
    </xf>
    <xf numFmtId="0" fontId="18" fillId="0" borderId="0" xfId="0" applyFont="1" applyAlignment="1">
      <alignment wrapText="1"/>
    </xf>
    <xf numFmtId="0" fontId="7" fillId="0" borderId="35" xfId="32" applyFont="1" applyBorder="1" applyAlignment="1">
      <alignment horizontal="left" vertical="center" wrapText="1"/>
    </xf>
    <xf numFmtId="0" fontId="4" fillId="0" borderId="47" xfId="32" applyFont="1" applyBorder="1" applyAlignment="1">
      <alignment horizontal="left" vertical="center" wrapText="1"/>
    </xf>
    <xf numFmtId="0" fontId="7" fillId="0" borderId="48" xfId="32" applyFont="1" applyBorder="1" applyAlignment="1">
      <alignment horizontal="left" vertical="center" wrapText="1"/>
    </xf>
    <xf numFmtId="0" fontId="4" fillId="0" borderId="49" xfId="32" applyFont="1" applyFill="1" applyBorder="1" applyAlignment="1">
      <alignment horizontal="left" vertical="center" wrapText="1"/>
    </xf>
    <xf numFmtId="0" fontId="7" fillId="0" borderId="50" xfId="32" applyFont="1" applyBorder="1" applyAlignment="1">
      <alignment horizontal="left" vertical="center" wrapText="1"/>
    </xf>
    <xf numFmtId="0" fontId="4" fillId="0" borderId="51" xfId="32" applyFont="1" applyBorder="1" applyAlignment="1">
      <alignment horizontal="left" vertical="center" wrapText="1"/>
    </xf>
    <xf numFmtId="0" fontId="4" fillId="0" borderId="49" xfId="32" applyFont="1" applyBorder="1" applyAlignment="1">
      <alignment horizontal="left" vertical="center" wrapText="1"/>
    </xf>
    <xf numFmtId="0" fontId="4" fillId="0" borderId="52" xfId="32" applyFont="1" applyBorder="1" applyAlignment="1">
      <alignment horizontal="left" vertical="center" wrapText="1"/>
    </xf>
    <xf numFmtId="0" fontId="7" fillId="0" borderId="53" xfId="32" applyFont="1" applyBorder="1" applyAlignment="1">
      <alignment horizontal="left" vertical="center" wrapText="1"/>
    </xf>
    <xf numFmtId="0" fontId="4" fillId="0" borderId="54" xfId="32" applyFont="1" applyFill="1" applyBorder="1" applyAlignment="1">
      <alignment horizontal="left" vertical="center" wrapText="1"/>
    </xf>
    <xf numFmtId="0" fontId="15" fillId="0" borderId="55" xfId="32" applyFont="1" applyBorder="1" applyAlignment="1">
      <alignment horizontal="left" vertical="center" wrapText="1"/>
    </xf>
    <xf numFmtId="0" fontId="15" fillId="0" borderId="49" xfId="32" applyFont="1" applyBorder="1" applyAlignment="1">
      <alignment horizontal="left" vertical="center" wrapText="1"/>
    </xf>
    <xf numFmtId="0" fontId="0" fillId="0" borderId="55" xfId="32" applyFont="1" applyBorder="1" applyAlignment="1">
      <alignment vertical="center" wrapText="1"/>
    </xf>
    <xf numFmtId="0" fontId="0" fillId="0" borderId="49" xfId="32" applyFont="1" applyBorder="1" applyAlignment="1">
      <alignment vertical="center" wrapText="1"/>
    </xf>
    <xf numFmtId="0" fontId="0" fillId="0" borderId="56" xfId="32" applyFont="1" applyBorder="1" applyAlignment="1">
      <alignment vertical="center" wrapText="1"/>
    </xf>
    <xf numFmtId="0" fontId="0" fillId="0" borderId="47" xfId="32" applyFont="1" applyBorder="1" applyAlignment="1">
      <alignment vertical="center" wrapText="1"/>
    </xf>
    <xf numFmtId="0" fontId="0" fillId="0" borderId="0" xfId="32" applyFont="1" applyBorder="1" applyAlignment="1">
      <alignment vertical="center" wrapText="1"/>
    </xf>
    <xf numFmtId="0" fontId="23" fillId="0" borderId="5" xfId="0" applyFont="1" applyFill="1" applyBorder="1" applyAlignment="1">
      <alignment wrapText="1"/>
    </xf>
    <xf numFmtId="9" fontId="23" fillId="4" borderId="1" xfId="0" applyNumberFormat="1" applyFont="1" applyFill="1" applyBorder="1" applyAlignment="1">
      <alignment/>
    </xf>
    <xf numFmtId="0" fontId="23" fillId="4" borderId="4" xfId="0" applyFont="1" applyFill="1" applyBorder="1" applyAlignment="1">
      <alignment/>
    </xf>
    <xf numFmtId="0" fontId="23" fillId="0" borderId="3" xfId="0" applyFont="1" applyFill="1" applyBorder="1" applyAlignment="1">
      <alignment wrapText="1"/>
    </xf>
    <xf numFmtId="168" fontId="23" fillId="4" borderId="1" xfId="0" applyNumberFormat="1" applyFont="1" applyFill="1" applyBorder="1" applyAlignment="1">
      <alignment/>
    </xf>
    <xf numFmtId="0" fontId="9" fillId="0" borderId="0" xfId="32" applyFont="1" applyAlignment="1">
      <alignment horizontal="center" vertical="center" wrapText="1"/>
    </xf>
    <xf numFmtId="0" fontId="4" fillId="0" borderId="0" xfId="32" applyFont="1" applyBorder="1" applyAlignment="1">
      <alignment wrapText="1"/>
    </xf>
    <xf numFmtId="49" fontId="4" fillId="0" borderId="0" xfId="32" applyNumberFormat="1" applyFont="1" applyAlignment="1">
      <alignment vertical="top" wrapText="1"/>
    </xf>
    <xf numFmtId="0" fontId="0" fillId="6" borderId="0" xfId="32" applyFont="1" applyFill="1" applyBorder="1" applyAlignment="1">
      <alignment horizontal="left" vertical="center" wrapText="1"/>
    </xf>
    <xf numFmtId="0" fontId="0" fillId="6" borderId="49" xfId="32" applyFont="1" applyFill="1" applyBorder="1" applyAlignment="1">
      <alignment horizontal="left" vertical="center" wrapText="1"/>
    </xf>
    <xf numFmtId="0" fontId="25" fillId="0" borderId="18" xfId="32" applyFont="1" applyBorder="1" applyAlignment="1">
      <alignment horizontal="center" vertical="center"/>
    </xf>
    <xf numFmtId="0" fontId="0" fillId="6" borderId="55" xfId="32" applyFont="1" applyFill="1" applyBorder="1" applyAlignment="1">
      <alignment horizontal="left" vertical="center" wrapText="1"/>
    </xf>
    <xf numFmtId="0" fontId="35" fillId="0" borderId="55" xfId="30" applyFont="1" applyBorder="1" applyAlignment="1">
      <alignment vertical="center" wrapText="1"/>
    </xf>
    <xf numFmtId="0" fontId="35" fillId="0" borderId="49" xfId="30" applyFont="1" applyBorder="1" applyAlignment="1">
      <alignment vertical="center" wrapText="1"/>
    </xf>
    <xf numFmtId="0" fontId="15" fillId="0" borderId="55" xfId="32" applyFont="1" applyBorder="1" applyAlignment="1">
      <alignment horizontal="left" vertical="center" wrapText="1"/>
    </xf>
    <xf numFmtId="0" fontId="15" fillId="0" borderId="49" xfId="32" applyFont="1" applyBorder="1" applyAlignment="1">
      <alignment horizontal="left" vertical="center" wrapText="1"/>
    </xf>
    <xf numFmtId="0" fontId="9" fillId="0" borderId="0" xfId="32" applyFont="1" applyAlignment="1">
      <alignment horizontal="center" vertical="center" wrapText="1"/>
    </xf>
    <xf numFmtId="0" fontId="35" fillId="0" borderId="55" xfId="30" applyFont="1" applyBorder="1" applyAlignment="1">
      <alignment horizontal="left" vertical="center" wrapText="1"/>
    </xf>
    <xf numFmtId="0" fontId="35" fillId="0" borderId="49" xfId="30" applyFont="1" applyBorder="1" applyAlignment="1">
      <alignment horizontal="left" vertical="center" wrapText="1"/>
    </xf>
    <xf numFmtId="0" fontId="7" fillId="0" borderId="55" xfId="32" applyFont="1" applyFill="1" applyBorder="1" applyAlignment="1">
      <alignment horizontal="center" vertical="top" wrapText="1"/>
    </xf>
    <xf numFmtId="0" fontId="7" fillId="0" borderId="49" xfId="32" applyFont="1" applyFill="1" applyBorder="1" applyAlignment="1">
      <alignment horizontal="center" vertical="top" wrapText="1"/>
    </xf>
    <xf numFmtId="0" fontId="7" fillId="0" borderId="57" xfId="32" applyFont="1" applyBorder="1" applyAlignment="1">
      <alignment horizontal="left" vertical="center" wrapText="1"/>
    </xf>
    <xf numFmtId="0" fontId="7" fillId="0" borderId="58" xfId="32" applyFont="1" applyBorder="1" applyAlignment="1">
      <alignment horizontal="left" vertical="center" wrapText="1"/>
    </xf>
    <xf numFmtId="0" fontId="10" fillId="0" borderId="0" xfId="32" applyFont="1" applyAlignment="1">
      <alignment horizontal="center" vertical="center" wrapText="1"/>
    </xf>
    <xf numFmtId="0" fontId="7" fillId="0" borderId="59" xfId="32" applyFont="1" applyBorder="1" applyAlignment="1">
      <alignment horizontal="left" vertical="center" wrapText="1"/>
    </xf>
    <xf numFmtId="0" fontId="7" fillId="0" borderId="60" xfId="32" applyFont="1" applyBorder="1" applyAlignment="1">
      <alignment horizontal="left" vertical="center" wrapText="1"/>
    </xf>
    <xf numFmtId="0" fontId="0" fillId="0" borderId="0" xfId="32" applyFont="1" applyAlignment="1">
      <alignment horizontal="right" vertical="center" wrapText="1"/>
    </xf>
    <xf numFmtId="0" fontId="7" fillId="0" borderId="61" xfId="32" applyFont="1" applyBorder="1" applyAlignment="1">
      <alignment horizontal="left" vertical="center" wrapText="1"/>
    </xf>
    <xf numFmtId="0" fontId="7" fillId="0" borderId="50" xfId="32" applyFont="1" applyBorder="1" applyAlignment="1">
      <alignment horizontal="left" vertical="center" wrapText="1"/>
    </xf>
    <xf numFmtId="0" fontId="26" fillId="0" borderId="2" xfId="30" applyFont="1" applyBorder="1" applyAlignment="1">
      <alignment horizontal="center" vertical="center"/>
    </xf>
    <xf numFmtId="0" fontId="26" fillId="0" borderId="41" xfId="30" applyFont="1" applyBorder="1" applyAlignment="1">
      <alignment horizontal="center" vertical="center"/>
    </xf>
    <xf numFmtId="0" fontId="26" fillId="0" borderId="43" xfId="30" applyFont="1" applyBorder="1" applyAlignment="1">
      <alignment horizontal="center" vertical="center"/>
    </xf>
    <xf numFmtId="0" fontId="26" fillId="0" borderId="44" xfId="30" applyFont="1" applyBorder="1" applyAlignment="1">
      <alignment horizontal="center" vertical="center"/>
    </xf>
    <xf numFmtId="0" fontId="24" fillId="0" borderId="0" xfId="31" applyFont="1" applyFill="1" applyBorder="1" applyAlignment="1">
      <alignment horizontal="center"/>
      <protection/>
    </xf>
    <xf numFmtId="0" fontId="17" fillId="0" borderId="0" xfId="32" applyFont="1" applyAlignment="1">
      <alignment horizontal="center" vertical="center"/>
    </xf>
    <xf numFmtId="0" fontId="7" fillId="0" borderId="46" xfId="32" applyFont="1" applyBorder="1" applyAlignment="1">
      <alignment horizontal="center" vertical="center"/>
    </xf>
    <xf numFmtId="0" fontId="7" fillId="0" borderId="62" xfId="32" applyFont="1" applyBorder="1" applyAlignment="1">
      <alignment horizontal="center" vertical="center"/>
    </xf>
    <xf numFmtId="0" fontId="7" fillId="0" borderId="15" xfId="32" applyFont="1" applyBorder="1" applyAlignment="1">
      <alignment horizontal="center" vertical="center"/>
    </xf>
    <xf numFmtId="0" fontId="7" fillId="0" borderId="63" xfId="32" applyFont="1" applyBorder="1" applyAlignment="1">
      <alignment horizontal="center" vertical="center"/>
    </xf>
    <xf numFmtId="0" fontId="7" fillId="0" borderId="18" xfId="32" applyFont="1" applyBorder="1" applyAlignment="1">
      <alignment horizontal="center" vertical="center"/>
    </xf>
    <xf numFmtId="0" fontId="7" fillId="0" borderId="46" xfId="32" applyFont="1" applyBorder="1" applyAlignment="1">
      <alignment horizontal="center" vertical="center" wrapText="1"/>
    </xf>
    <xf numFmtId="0" fontId="7" fillId="0" borderId="62" xfId="32" applyFont="1" applyBorder="1" applyAlignment="1">
      <alignment horizontal="center" vertical="center" wrapText="1"/>
    </xf>
    <xf numFmtId="0" fontId="25" fillId="0" borderId="15" xfId="32" applyFont="1" applyBorder="1" applyAlignment="1">
      <alignment horizontal="center" vertical="center"/>
    </xf>
    <xf numFmtId="0" fontId="0" fillId="6" borderId="56" xfId="32" applyFont="1" applyFill="1" applyBorder="1" applyAlignment="1">
      <alignment horizontal="left" vertical="center" wrapText="1"/>
    </xf>
    <xf numFmtId="0" fontId="0" fillId="6" borderId="64" xfId="32" applyFont="1" applyFill="1" applyBorder="1" applyAlignment="1">
      <alignment horizontal="left" vertical="center" wrapText="1"/>
    </xf>
    <xf numFmtId="0" fontId="0" fillId="6" borderId="47" xfId="32" applyFont="1" applyFill="1" applyBorder="1" applyAlignment="1">
      <alignment horizontal="left" vertical="center" wrapText="1"/>
    </xf>
    <xf numFmtId="0" fontId="7" fillId="0" borderId="0" xfId="32" applyFont="1" applyBorder="1" applyAlignment="1">
      <alignment horizontal="left" vertical="center" wrapText="1"/>
    </xf>
    <xf numFmtId="0" fontId="7" fillId="0" borderId="15" xfId="0" applyFont="1" applyFill="1" applyBorder="1" applyAlignment="1">
      <alignment horizontal="center"/>
    </xf>
    <xf numFmtId="0" fontId="7" fillId="0" borderId="63" xfId="0" applyFont="1" applyFill="1" applyBorder="1" applyAlignment="1">
      <alignment horizontal="center"/>
    </xf>
    <xf numFmtId="0" fontId="7" fillId="0" borderId="18" xfId="0" applyFont="1" applyFill="1" applyBorder="1" applyAlignment="1">
      <alignment horizontal="center"/>
    </xf>
    <xf numFmtId="0" fontId="4" fillId="0" borderId="30" xfId="0" applyFont="1" applyBorder="1" applyAlignment="1">
      <alignment horizontal="left"/>
    </xf>
    <xf numFmtId="0" fontId="0" fillId="0" borderId="0" xfId="32" applyFont="1" applyAlignment="1">
      <alignment horizontal="center" vertical="center" wrapText="1"/>
    </xf>
    <xf numFmtId="0" fontId="7" fillId="0" borderId="15" xfId="0" applyFont="1" applyBorder="1" applyAlignment="1">
      <alignment horizontal="center"/>
    </xf>
    <xf numFmtId="0" fontId="7" fillId="0" borderId="63" xfId="0" applyFont="1" applyBorder="1" applyAlignment="1">
      <alignment horizontal="center"/>
    </xf>
    <xf numFmtId="0" fontId="7" fillId="0" borderId="18" xfId="0" applyFont="1" applyBorder="1" applyAlignment="1">
      <alignment horizontal="center"/>
    </xf>
    <xf numFmtId="0" fontId="6" fillId="5" borderId="0" xfId="0" applyFont="1" applyFill="1" applyAlignment="1">
      <alignment horizontal="left" wrapText="1"/>
    </xf>
    <xf numFmtId="0" fontId="7" fillId="0" borderId="15" xfId="0" applyFont="1" applyFill="1" applyBorder="1" applyAlignment="1">
      <alignment horizontal="center" vertical="center" wrapText="1"/>
    </xf>
    <xf numFmtId="0" fontId="7" fillId="0" borderId="63" xfId="0" applyFont="1" applyFill="1" applyBorder="1" applyAlignment="1">
      <alignment horizontal="center" vertical="center" wrapText="1"/>
    </xf>
  </cellXfs>
  <cellStyles count="19">
    <cellStyle name="Normal" xfId="0"/>
    <cellStyle name="Comma" xfId="16"/>
    <cellStyle name="Comma [0]" xfId="17"/>
    <cellStyle name="Currency" xfId="18"/>
    <cellStyle name="Currency [0]" xfId="19"/>
    <cellStyle name="Data" xfId="20"/>
    <cellStyle name="F2" xfId="21"/>
    <cellStyle name="F3" xfId="22"/>
    <cellStyle name="F4" xfId="23"/>
    <cellStyle name="F5" xfId="24"/>
    <cellStyle name="F6" xfId="25"/>
    <cellStyle name="F7" xfId="26"/>
    <cellStyle name="F8" xfId="27"/>
    <cellStyle name="Followed Hyperlink" xfId="28"/>
    <cellStyle name="Hyperlink" xfId="29"/>
    <cellStyle name="Hyperlink_mcc-err-namibia_mkt" xfId="30"/>
    <cellStyle name="Normal_jwwREPMCA ERR Model Tourism Component DRAFT FINAL V3 JB July 2007" xfId="31"/>
    <cellStyle name="Normal_mcc-err-namibia_mkt"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 Undiscounted Annual Net Benefits</a:t>
            </a:r>
          </a:p>
        </c:rich>
      </c:tx>
      <c:layout/>
      <c:spPr>
        <a:noFill/>
        <a:ln>
          <a:noFill/>
        </a:ln>
      </c:spPr>
    </c:title>
    <c:plotArea>
      <c:layout/>
      <c:areaChart>
        <c:grouping val="standard"/>
        <c:varyColors val="0"/>
        <c:ser>
          <c:idx val="0"/>
          <c:order val="0"/>
          <c:tx>
            <c:v>Net Benefits</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Calculation'!$E$15:$X$15</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'ERR Calculation'!$E$48:$X$48</c:f>
              <c:numCache>
                <c:ptCount val="20"/>
                <c:pt idx="0">
                  <c:v>-96903928.94994965</c:v>
                </c:pt>
                <c:pt idx="1">
                  <c:v>-85155770.04185191</c:v>
                </c:pt>
                <c:pt idx="2">
                  <c:v>-72462734.85808063</c:v>
                </c:pt>
                <c:pt idx="3">
                  <c:v>-75482420.64955363</c:v>
                </c:pt>
                <c:pt idx="4">
                  <c:v>-62806649.81287096</c:v>
                </c:pt>
                <c:pt idx="5">
                  <c:v>52108349.83015399</c:v>
                </c:pt>
                <c:pt idx="6">
                  <c:v>60311843.52248123</c:v>
                </c:pt>
                <c:pt idx="7">
                  <c:v>68535868.05554156</c:v>
                </c:pt>
                <c:pt idx="8">
                  <c:v>76794342.30408062</c:v>
                </c:pt>
                <c:pt idx="9">
                  <c:v>84432531.63970979</c:v>
                </c:pt>
                <c:pt idx="10">
                  <c:v>91374801.01991583</c:v>
                </c:pt>
                <c:pt idx="11">
                  <c:v>98608195.11367013</c:v>
                </c:pt>
                <c:pt idx="12">
                  <c:v>106143104.79502177</c:v>
                </c:pt>
                <c:pt idx="13">
                  <c:v>108959074.75972314</c:v>
                </c:pt>
                <c:pt idx="14">
                  <c:v>116977759.02340019</c:v>
                </c:pt>
                <c:pt idx="15">
                  <c:v>125326690.4982875</c:v>
                </c:pt>
                <c:pt idx="16">
                  <c:v>134017570.3343873</c:v>
                </c:pt>
                <c:pt idx="17">
                  <c:v>143062486.590875</c:v>
                </c:pt>
                <c:pt idx="18">
                  <c:v>152473926.56086895</c:v>
                </c:pt>
                <c:pt idx="19">
                  <c:v>162264789.4802901</c:v>
                </c:pt>
              </c:numCache>
            </c:numRef>
          </c:val>
        </c:ser>
        <c:axId val="41964335"/>
        <c:axId val="42134696"/>
      </c:areaChart>
      <c:catAx>
        <c:axId val="41964335"/>
        <c:scaling>
          <c:orientation val="minMax"/>
        </c:scaling>
        <c:axPos val="b"/>
        <c:title>
          <c:tx>
            <c:rich>
              <a:bodyPr vert="horz" rot="0" anchor="ctr"/>
              <a:lstStyle/>
              <a:p>
                <a:pPr algn="ctr">
                  <a:defRPr/>
                </a:pPr>
                <a:r>
                  <a:rPr lang="en-US" cap="none" sz="13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2134696"/>
        <c:crosses val="autoZero"/>
        <c:auto val="1"/>
        <c:lblOffset val="100"/>
        <c:noMultiLvlLbl val="0"/>
      </c:catAx>
      <c:valAx>
        <c:axId val="42134696"/>
        <c:scaling>
          <c:orientation val="minMax"/>
        </c:scaling>
        <c:axPos val="l"/>
        <c:title>
          <c:tx>
            <c:rich>
              <a:bodyPr vert="horz" rot="-5400000" anchor="ctr"/>
              <a:lstStyle/>
              <a:p>
                <a:pPr algn="ctr">
                  <a:defRPr/>
                </a:pPr>
                <a:r>
                  <a:rPr lang="en-US" cap="none" sz="13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196433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7/15/2008)</a:t>
            </a:r>
          </a:p>
        </c:rich>
      </c:tx>
      <c:layout/>
      <c:spPr>
        <a:noFill/>
        <a:ln>
          <a:noFill/>
        </a:ln>
      </c:spPr>
    </c:title>
    <c:plotArea>
      <c:layout>
        <c:manualLayout>
          <c:xMode val="edge"/>
          <c:yMode val="edge"/>
          <c:x val="0.03025"/>
          <c:y val="0.0995"/>
          <c:w val="0.9605"/>
          <c:h val="0.884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0.09479093102157693</c:v>
              </c:pt>
              <c:pt idx="10">
                <c:v>0.1122436873393999</c:v>
              </c:pt>
              <c:pt idx="20">
                <c:v>0.12969644365722288</c:v>
              </c:pt>
              <c:pt idx="30">
                <c:v>0.14714919997504586</c:v>
              </c:pt>
              <c:pt idx="40">
                <c:v>0.1646019562928688</c:v>
              </c:pt>
              <c:pt idx="49">
                <c:v>0.1803094369789095</c:v>
              </c:pt>
            </c:strLit>
          </c:cat>
          <c:val>
            <c:numLit>
              <c:ptCount val="50"/>
              <c:pt idx="0">
                <c:v>0</c:v>
              </c:pt>
              <c:pt idx="1">
                <c:v>2</c:v>
              </c:pt>
              <c:pt idx="2">
                <c:v>2</c:v>
              </c:pt>
              <c:pt idx="3">
                <c:v>5</c:v>
              </c:pt>
              <c:pt idx="4">
                <c:v>14</c:v>
              </c:pt>
              <c:pt idx="5">
                <c:v>29</c:v>
              </c:pt>
              <c:pt idx="6">
                <c:v>45</c:v>
              </c:pt>
              <c:pt idx="7">
                <c:v>66</c:v>
              </c:pt>
              <c:pt idx="8">
                <c:v>73</c:v>
              </c:pt>
              <c:pt idx="9">
                <c:v>108</c:v>
              </c:pt>
              <c:pt idx="10">
                <c:v>141</c:v>
              </c:pt>
              <c:pt idx="11">
                <c:v>167</c:v>
              </c:pt>
              <c:pt idx="12">
                <c:v>193</c:v>
              </c:pt>
              <c:pt idx="13">
                <c:v>215</c:v>
              </c:pt>
              <c:pt idx="14">
                <c:v>278</c:v>
              </c:pt>
              <c:pt idx="15">
                <c:v>274</c:v>
              </c:pt>
              <c:pt idx="16">
                <c:v>318</c:v>
              </c:pt>
              <c:pt idx="17">
                <c:v>371</c:v>
              </c:pt>
              <c:pt idx="18">
                <c:v>363</c:v>
              </c:pt>
              <c:pt idx="19">
                <c:v>422</c:v>
              </c:pt>
              <c:pt idx="20">
                <c:v>395</c:v>
              </c:pt>
              <c:pt idx="21">
                <c:v>431</c:v>
              </c:pt>
              <c:pt idx="22">
                <c:v>420</c:v>
              </c:pt>
              <c:pt idx="23">
                <c:v>452</c:v>
              </c:pt>
              <c:pt idx="24">
                <c:v>442</c:v>
              </c:pt>
              <c:pt idx="25">
                <c:v>398</c:v>
              </c:pt>
              <c:pt idx="26">
                <c:v>408</c:v>
              </c:pt>
              <c:pt idx="27">
                <c:v>433</c:v>
              </c:pt>
              <c:pt idx="28">
                <c:v>377</c:v>
              </c:pt>
              <c:pt idx="29">
                <c:v>344</c:v>
              </c:pt>
              <c:pt idx="30">
                <c:v>357</c:v>
              </c:pt>
              <c:pt idx="31">
                <c:v>283</c:v>
              </c:pt>
              <c:pt idx="32">
                <c:v>284</c:v>
              </c:pt>
              <c:pt idx="33">
                <c:v>228</c:v>
              </c:pt>
              <c:pt idx="34">
                <c:v>245</c:v>
              </c:pt>
              <c:pt idx="35">
                <c:v>206</c:v>
              </c:pt>
              <c:pt idx="36">
                <c:v>176</c:v>
              </c:pt>
              <c:pt idx="37">
                <c:v>176</c:v>
              </c:pt>
              <c:pt idx="38">
                <c:v>156</c:v>
              </c:pt>
              <c:pt idx="39">
                <c:v>129</c:v>
              </c:pt>
              <c:pt idx="40">
                <c:v>103</c:v>
              </c:pt>
              <c:pt idx="41">
                <c:v>100</c:v>
              </c:pt>
              <c:pt idx="42">
                <c:v>82</c:v>
              </c:pt>
              <c:pt idx="43">
                <c:v>64</c:v>
              </c:pt>
              <c:pt idx="44">
                <c:v>53</c:v>
              </c:pt>
              <c:pt idx="45">
                <c:v>45</c:v>
              </c:pt>
              <c:pt idx="46">
                <c:v>37</c:v>
              </c:pt>
              <c:pt idx="47">
                <c:v>23</c:v>
              </c:pt>
              <c:pt idx="48">
                <c:v>24</c:v>
              </c:pt>
              <c:pt idx="49">
                <c:v>10</c:v>
              </c:pt>
            </c:numLit>
          </c:val>
        </c:ser>
        <c:overlap val="100"/>
        <c:gapWidth val="10"/>
        <c:axId val="43667945"/>
        <c:axId val="57467186"/>
      </c:barChart>
      <c:catAx>
        <c:axId val="43667945"/>
        <c:scaling>
          <c:orientation val="minMax"/>
        </c:scaling>
        <c:axPos val="b"/>
        <c:delete val="0"/>
        <c:numFmt formatCode="0.0%" sourceLinked="0"/>
        <c:majorTickMark val="out"/>
        <c:minorTickMark val="none"/>
        <c:tickLblPos val="nextTo"/>
        <c:crossAx val="57467186"/>
        <c:crosses val="autoZero"/>
        <c:auto val="0"/>
        <c:lblOffset val="100"/>
        <c:tickLblSkip val="1"/>
        <c:tickMarkSkip val="5"/>
        <c:noMultiLvlLbl val="0"/>
      </c:catAx>
      <c:valAx>
        <c:axId val="57467186"/>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43667945"/>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19050</xdr:colOff>
      <xdr:row>12</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xdr:from>
      <xdr:col>1</xdr:col>
      <xdr:colOff>142875</xdr:colOff>
      <xdr:row>43</xdr:row>
      <xdr:rowOff>114300</xdr:rowOff>
    </xdr:from>
    <xdr:to>
      <xdr:col>6</xdr:col>
      <xdr:colOff>1066800</xdr:colOff>
      <xdr:row>87</xdr:row>
      <xdr:rowOff>28575</xdr:rowOff>
    </xdr:to>
    <xdr:graphicFrame>
      <xdr:nvGraphicFramePr>
        <xdr:cNvPr id="4" name="Chart 5"/>
        <xdr:cNvGraphicFramePr/>
      </xdr:nvGraphicFramePr>
      <xdr:xfrm>
        <a:off x="523875" y="10172700"/>
        <a:ext cx="10306050" cy="7038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19050</xdr:colOff>
      <xdr:row>0</xdr:row>
      <xdr:rowOff>19050</xdr:rowOff>
    </xdr:to>
    <xdr:pic>
      <xdr:nvPicPr>
        <xdr:cNvPr id="5" name="CB_Block_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1</xdr:col>
      <xdr:colOff>142875</xdr:colOff>
      <xdr:row>89</xdr:row>
      <xdr:rowOff>0</xdr:rowOff>
    </xdr:from>
    <xdr:to>
      <xdr:col>6</xdr:col>
      <xdr:colOff>1009650</xdr:colOff>
      <xdr:row>125</xdr:row>
      <xdr:rowOff>114300</xdr:rowOff>
    </xdr:to>
    <xdr:graphicFrame>
      <xdr:nvGraphicFramePr>
        <xdr:cNvPr id="7" name="Chart 11"/>
        <xdr:cNvGraphicFramePr/>
      </xdr:nvGraphicFramePr>
      <xdr:xfrm>
        <a:off x="523875" y="17506950"/>
        <a:ext cx="10248900" cy="5943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381000" y="28003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381000" y="28003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381000" y="28003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CB_Block_0" hidden="1"/>
        <xdr:cNvPicPr preferRelativeResize="1">
          <a:picLocks noChangeAspect="1"/>
        </xdr:cNvPicPr>
      </xdr:nvPicPr>
      <xdr:blipFill>
        <a:blip r:embed="rId1"/>
        <a:stretch>
          <a:fillRect/>
        </a:stretch>
      </xdr:blipFill>
      <xdr:spPr>
        <a:xfrm>
          <a:off x="381000" y="280035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19050</xdr:colOff>
      <xdr:row>10</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381000" y="2314575"/>
          <a:ext cx="19050" cy="19050"/>
        </a:xfrm>
        <a:prstGeom prst="rect">
          <a:avLst/>
        </a:prstGeom>
        <a:noFill/>
        <a:ln w="9525" cmpd="sng">
          <a:noFill/>
        </a:ln>
      </xdr:spPr>
    </xdr:pic>
    <xdr:clientData/>
  </xdr:twoCellAnchor>
  <xdr:twoCellAnchor editAs="oneCell">
    <xdr:from>
      <xdr:col>1</xdr:col>
      <xdr:colOff>0</xdr:colOff>
      <xdr:row>10</xdr:row>
      <xdr:rowOff>0</xdr:rowOff>
    </xdr:from>
    <xdr:to>
      <xdr:col>1</xdr:col>
      <xdr:colOff>19050</xdr:colOff>
      <xdr:row>10</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381000" y="2314575"/>
          <a:ext cx="19050" cy="19050"/>
        </a:xfrm>
        <a:prstGeom prst="rect">
          <a:avLst/>
        </a:prstGeom>
        <a:noFill/>
        <a:ln w="9525" cmpd="sng">
          <a:noFill/>
        </a:ln>
      </xdr:spPr>
    </xdr:pic>
    <xdr:clientData/>
  </xdr:twoCellAnchor>
  <xdr:twoCellAnchor editAs="oneCell">
    <xdr:from>
      <xdr:col>1</xdr:col>
      <xdr:colOff>0</xdr:colOff>
      <xdr:row>10</xdr:row>
      <xdr:rowOff>0</xdr:rowOff>
    </xdr:from>
    <xdr:to>
      <xdr:col>1</xdr:col>
      <xdr:colOff>19050</xdr:colOff>
      <xdr:row>10</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381000" y="2314575"/>
          <a:ext cx="19050"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Copy%20of%20mcc-err-tanzania-energydistribution_Tuesday.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Office_Shares\_divisions\Economic%20Analysis\ERR%20Spreadsheets\Web%20Dissemination\Ongoing%20Work\Namibia\47_Schools_ERR_wrk%20-%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B_DATA_"/>
      <sheetName val="User's Guide"/>
      <sheetName val="Activity Description"/>
      <sheetName val="ERR &amp; Sensitivity Analysis"/>
      <sheetName val="ERR Calculation"/>
      <sheetName val="Enrollment dynamics"/>
      <sheetName val="Key Assumptions"/>
      <sheetName val="Detailed enrollment"/>
    </sheetNames>
    <sheetDataSet>
      <sheetData sheetId="1">
        <row r="12">
          <cell r="C12" t="str">
            <v>Education Project</v>
          </cell>
        </row>
        <row r="13">
          <cell r="C13" t="str">
            <v>Upgrading and Constructing up to 47 Primary and Secondary Schools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I43"/>
  <sheetViews>
    <sheetView showGridLines="0" zoomScale="75" zoomScaleNormal="75" zoomScaleSheetLayoutView="35" workbookViewId="0" topLeftCell="A1">
      <selection activeCell="B11" sqref="B11:C11"/>
    </sheetView>
  </sheetViews>
  <sheetFormatPr defaultColWidth="9.140625" defaultRowHeight="12.75"/>
  <cols>
    <col min="1" max="1" width="5.7109375" style="114" customWidth="1"/>
    <col min="2" max="2" width="51.8515625" style="114" customWidth="1"/>
    <col min="3" max="3" width="117.57421875" style="114" customWidth="1"/>
    <col min="4" max="4" width="5.7109375" style="114" customWidth="1"/>
    <col min="5" max="5" width="23.8515625" style="114" customWidth="1"/>
    <col min="6" max="16384" width="9.140625" style="114" customWidth="1"/>
  </cols>
  <sheetData>
    <row r="5" spans="2:3" ht="20.25">
      <c r="B5" s="215" t="s">
        <v>158</v>
      </c>
      <c r="C5" s="215"/>
    </row>
    <row r="6" spans="2:3" ht="12.75">
      <c r="B6" s="222" t="s">
        <v>159</v>
      </c>
      <c r="C6" s="222"/>
    </row>
    <row r="7" spans="2:3" ht="12.75">
      <c r="B7" s="222"/>
      <c r="C7" s="222"/>
    </row>
    <row r="8" spans="2:3" ht="12.75">
      <c r="B8" s="222"/>
      <c r="C8" s="222"/>
    </row>
    <row r="9" spans="2:3" ht="20.25" customHeight="1">
      <c r="B9" s="222"/>
      <c r="C9" s="222"/>
    </row>
    <row r="10" spans="2:3" ht="12.75">
      <c r="B10" s="222"/>
      <c r="C10" s="222"/>
    </row>
    <row r="11" spans="2:3" ht="13.5" thickBot="1">
      <c r="B11" s="225" t="s">
        <v>221</v>
      </c>
      <c r="C11" s="225"/>
    </row>
    <row r="12" spans="2:3" ht="18.75" thickTop="1">
      <c r="B12" s="220" t="s">
        <v>192</v>
      </c>
      <c r="C12" s="182" t="s">
        <v>207</v>
      </c>
    </row>
    <row r="13" spans="2:3" ht="18.75" thickBot="1">
      <c r="B13" s="221"/>
      <c r="C13" s="183" t="s">
        <v>208</v>
      </c>
    </row>
    <row r="14" spans="2:3" ht="18.75" thickTop="1">
      <c r="B14" s="184" t="s">
        <v>193</v>
      </c>
      <c r="C14" s="185" t="s">
        <v>210</v>
      </c>
    </row>
    <row r="15" spans="2:3" ht="18">
      <c r="B15" s="186" t="s">
        <v>194</v>
      </c>
      <c r="C15" s="187" t="s">
        <v>211</v>
      </c>
    </row>
    <row r="16" spans="2:3" ht="45" customHeight="1">
      <c r="B16" s="184" t="s">
        <v>195</v>
      </c>
      <c r="C16" s="188" t="s">
        <v>212</v>
      </c>
    </row>
    <row r="17" spans="2:3" ht="36" customHeight="1">
      <c r="B17" s="226" t="s">
        <v>196</v>
      </c>
      <c r="C17" s="189" t="s">
        <v>197</v>
      </c>
    </row>
    <row r="18" spans="2:3" ht="27.75" customHeight="1">
      <c r="B18" s="227"/>
      <c r="C18" s="189" t="s">
        <v>213</v>
      </c>
    </row>
    <row r="19" spans="2:3" ht="36">
      <c r="B19" s="190" t="s">
        <v>218</v>
      </c>
      <c r="C19" s="191" t="s">
        <v>220</v>
      </c>
    </row>
    <row r="20" spans="2:3" ht="18">
      <c r="B20" s="190" t="s">
        <v>198</v>
      </c>
      <c r="C20" s="191" t="s">
        <v>219</v>
      </c>
    </row>
    <row r="21" spans="2:3" ht="18.75" thickBot="1">
      <c r="B21" s="223" t="s">
        <v>199</v>
      </c>
      <c r="C21" s="224"/>
    </row>
    <row r="22" spans="2:3" ht="18">
      <c r="B22" s="216" t="s">
        <v>178</v>
      </c>
      <c r="C22" s="217"/>
    </row>
    <row r="23" spans="2:3" ht="15">
      <c r="B23" s="213" t="s">
        <v>200</v>
      </c>
      <c r="C23" s="214"/>
    </row>
    <row r="24" spans="2:3" ht="18">
      <c r="B24" s="218"/>
      <c r="C24" s="219"/>
    </row>
    <row r="25" spans="2:3" ht="18">
      <c r="B25" s="211" t="s">
        <v>201</v>
      </c>
      <c r="C25" s="212"/>
    </row>
    <row r="26" spans="2:3" ht="15">
      <c r="B26" s="213" t="s">
        <v>202</v>
      </c>
      <c r="C26" s="214"/>
    </row>
    <row r="27" spans="2:3" ht="15">
      <c r="B27" s="192"/>
      <c r="C27" s="193"/>
    </row>
    <row r="28" spans="2:3" ht="18">
      <c r="B28" s="211" t="s">
        <v>214</v>
      </c>
      <c r="C28" s="212"/>
    </row>
    <row r="29" spans="2:3" ht="15">
      <c r="B29" s="213" t="s">
        <v>202</v>
      </c>
      <c r="C29" s="214"/>
    </row>
    <row r="30" spans="2:3" ht="12.75" customHeight="1">
      <c r="B30" s="194"/>
      <c r="C30" s="195"/>
    </row>
    <row r="31" spans="2:3" ht="12.75" customHeight="1">
      <c r="B31" s="211" t="s">
        <v>215</v>
      </c>
      <c r="C31" s="212"/>
    </row>
    <row r="32" spans="2:3" ht="15">
      <c r="B32" s="213" t="s">
        <v>203</v>
      </c>
      <c r="C32" s="214"/>
    </row>
    <row r="33" spans="2:3" ht="12.75" customHeight="1">
      <c r="B33" s="194"/>
      <c r="C33" s="195"/>
    </row>
    <row r="34" spans="2:3" ht="18">
      <c r="B34" s="211" t="s">
        <v>191</v>
      </c>
      <c r="C34" s="212"/>
    </row>
    <row r="35" spans="2:3" ht="15">
      <c r="B35" s="213" t="s">
        <v>204</v>
      </c>
      <c r="C35" s="214"/>
    </row>
    <row r="36" spans="2:3" ht="12.75" customHeight="1">
      <c r="B36" s="194"/>
      <c r="C36" s="195"/>
    </row>
    <row r="37" spans="2:3" ht="12.75" customHeight="1">
      <c r="B37" s="211" t="s">
        <v>216</v>
      </c>
      <c r="C37" s="212"/>
    </row>
    <row r="38" spans="2:9" ht="12.75" customHeight="1">
      <c r="B38" s="213" t="s">
        <v>217</v>
      </c>
      <c r="C38" s="214"/>
      <c r="D38"/>
      <c r="E38"/>
      <c r="F38"/>
      <c r="G38"/>
      <c r="H38"/>
      <c r="I38"/>
    </row>
    <row r="39" spans="2:3" ht="12.75" customHeight="1" thickBot="1">
      <c r="B39" s="196"/>
      <c r="C39" s="197"/>
    </row>
    <row r="40" ht="15" customHeight="1" thickTop="1">
      <c r="C40" s="198"/>
    </row>
    <row r="41" ht="12.75">
      <c r="C41" s="198"/>
    </row>
    <row r="42" ht="12.75" customHeight="1">
      <c r="C42" s="198"/>
    </row>
    <row r="43" ht="12.75" customHeight="1">
      <c r="C43" s="198"/>
    </row>
    <row r="45" ht="12.75" customHeight="1"/>
    <row r="46" ht="15" customHeight="1"/>
    <row r="48" ht="12.75" customHeight="1"/>
    <row r="49" ht="15" customHeight="1"/>
    <row r="51" ht="12.75" customHeight="1"/>
    <row r="52" ht="15" customHeight="1"/>
    <row r="54" ht="12.75" customHeight="1"/>
    <row r="55" ht="15" customHeight="1"/>
    <row r="57" ht="12.75" customHeight="1"/>
    <row r="59" ht="12.75" customHeight="1"/>
    <row r="60" ht="12.75" customHeight="1"/>
  </sheetData>
  <sheetProtection formatCells="0" insertColumns="0" insertRows="0" insertHyperlinks="0" deleteColumns="0" deleteRows="0" sort="0" autoFilter="0" pivotTables="0"/>
  <mergeCells count="19">
    <mergeCell ref="B34:C34"/>
    <mergeCell ref="B35:C35"/>
    <mergeCell ref="B12:B13"/>
    <mergeCell ref="B6:C10"/>
    <mergeCell ref="B31:C31"/>
    <mergeCell ref="B32:C32"/>
    <mergeCell ref="B21:C21"/>
    <mergeCell ref="B11:C11"/>
    <mergeCell ref="B17:B18"/>
    <mergeCell ref="B37:C37"/>
    <mergeCell ref="B38:C38"/>
    <mergeCell ref="B5:C5"/>
    <mergeCell ref="B29:C29"/>
    <mergeCell ref="B22:C22"/>
    <mergeCell ref="B23:C23"/>
    <mergeCell ref="B24:C24"/>
    <mergeCell ref="B28:C28"/>
    <mergeCell ref="B25:C25"/>
    <mergeCell ref="B26:C26"/>
  </mergeCells>
  <hyperlinks>
    <hyperlink ref="B28" location="'ERR &amp; Sensitivity Analysis'!A1" display="ERR &amp; Sensitivity Analysis"/>
    <hyperlink ref="B22" location="'Activity Description'!A1" display="Activity Description"/>
    <hyperlink ref="B28:C28" location="'ERR Calculation'!A1" display="ERR Calculation MCC"/>
    <hyperlink ref="B25" location="'ERR &amp; Sensitivity Analysis'!A1" display="ERR &amp; Sensitivity Analysis"/>
    <hyperlink ref="B31:C31" location="'Enrollment dynamics'!A1" display="Enrollment Dynamics"/>
    <hyperlink ref="B34:C34" location="'Key Assumptions'!A1" display="Key Assumptions"/>
    <hyperlink ref="B37" location="'Detailed enrollment'!A1" display="Detailed Enrollment"/>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5:D31"/>
  <sheetViews>
    <sheetView showGridLines="0" tabSelected="1" zoomScale="70" zoomScaleNormal="70" zoomScaleSheetLayoutView="35" workbookViewId="0" topLeftCell="A1">
      <selection activeCell="B6" sqref="B6:B10"/>
    </sheetView>
  </sheetViews>
  <sheetFormatPr defaultColWidth="9.140625" defaultRowHeight="12.75"/>
  <cols>
    <col min="1" max="1" width="5.7109375" style="114" customWidth="1"/>
    <col min="2" max="2" width="107.28125" style="114" bestFit="1" customWidth="1"/>
    <col min="3" max="4" width="5.7109375" style="114" customWidth="1"/>
    <col min="5" max="5" width="23.8515625" style="114" customWidth="1"/>
    <col min="6" max="16384" width="9.140625" style="114" customWidth="1"/>
  </cols>
  <sheetData>
    <row r="5" ht="20.25">
      <c r="B5" s="204" t="s">
        <v>158</v>
      </c>
    </row>
    <row r="6" ht="12.75" customHeight="1">
      <c r="B6" s="222" t="s">
        <v>159</v>
      </c>
    </row>
    <row r="7" ht="12.75" customHeight="1">
      <c r="B7" s="222"/>
    </row>
    <row r="8" ht="12.75" customHeight="1">
      <c r="B8" s="222"/>
    </row>
    <row r="9" ht="20.25" customHeight="1">
      <c r="B9" s="222"/>
    </row>
    <row r="10" ht="12.75" customHeight="1">
      <c r="B10" s="222"/>
    </row>
    <row r="11" spans="2:3" ht="12.75">
      <c r="B11" s="225" t="s">
        <v>221</v>
      </c>
      <c r="C11" s="225"/>
    </row>
    <row r="12" spans="1:4" ht="18">
      <c r="A12"/>
      <c r="B12" s="142" t="s">
        <v>205</v>
      </c>
      <c r="C12"/>
      <c r="D12"/>
    </row>
    <row r="13" spans="1:4" ht="18">
      <c r="A13"/>
      <c r="B13" s="179"/>
      <c r="C13"/>
      <c r="D13"/>
    </row>
    <row r="14" spans="1:4" ht="115.5" customHeight="1">
      <c r="A14"/>
      <c r="B14" s="205" t="s">
        <v>223</v>
      </c>
      <c r="C14"/>
      <c r="D14"/>
    </row>
    <row r="15" spans="1:4" ht="18">
      <c r="A15"/>
      <c r="B15" s="179"/>
      <c r="C15"/>
      <c r="D15"/>
    </row>
    <row r="16" spans="1:4" ht="18">
      <c r="A16"/>
      <c r="B16" s="180"/>
      <c r="C16"/>
      <c r="D16"/>
    </row>
    <row r="17" spans="1:4" ht="18">
      <c r="A17"/>
      <c r="B17" s="206" t="s">
        <v>206</v>
      </c>
      <c r="C17"/>
      <c r="D17"/>
    </row>
    <row r="18" ht="12.75"/>
    <row r="19" ht="72">
      <c r="B19" s="37" t="s">
        <v>224</v>
      </c>
    </row>
    <row r="20" ht="12.75"/>
    <row r="21" ht="126">
      <c r="B21" s="37" t="s">
        <v>225</v>
      </c>
    </row>
    <row r="22" ht="12.75"/>
    <row r="23" ht="15.75">
      <c r="B23" s="181"/>
    </row>
    <row r="24" ht="12.75" customHeight="1">
      <c r="B24" s="181"/>
    </row>
    <row r="25" ht="12.75" customHeight="1">
      <c r="B25" s="181"/>
    </row>
    <row r="26" ht="12.75" customHeight="1">
      <c r="B26" s="181"/>
    </row>
    <row r="27" spans="2:3" ht="12.75" customHeight="1">
      <c r="B27" s="181"/>
      <c r="C27" s="181"/>
    </row>
    <row r="28" spans="2:3" ht="12.75" customHeight="1">
      <c r="B28" s="181"/>
      <c r="C28" s="181"/>
    </row>
    <row r="29" spans="2:3" ht="12.75" customHeight="1">
      <c r="B29" s="181"/>
      <c r="C29" s="181"/>
    </row>
    <row r="30" spans="2:3" ht="12.75" customHeight="1">
      <c r="B30" s="181"/>
      <c r="C30" s="181"/>
    </row>
    <row r="31" spans="2:3" ht="12.75" customHeight="1">
      <c r="B31" s="181"/>
      <c r="C31" s="181"/>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customHeight="1"/>
    <row r="56" ht="12.75" customHeight="1"/>
    <row r="57" ht="12.75"/>
    <row r="58" ht="12.75"/>
    <row r="59" ht="12.75"/>
  </sheetData>
  <sheetProtection formatCells="0" insertColumns="0" insertRows="0" insertHyperlinks="0" deleteColumns="0" deleteRows="0" sort="0" autoFilter="0" pivotTables="0"/>
  <mergeCells count="2">
    <mergeCell ref="B6:B10"/>
    <mergeCell ref="B11:C11"/>
  </mergeCell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4.xml><?xml version="1.0" encoding="utf-8"?>
<worksheet xmlns="http://schemas.openxmlformats.org/spreadsheetml/2006/main" xmlns:r="http://schemas.openxmlformats.org/officeDocument/2006/relationships">
  <sheetPr codeName="Sheet19"/>
  <dimension ref="B6:K39"/>
  <sheetViews>
    <sheetView showGridLines="0" zoomScale="65" zoomScaleNormal="65" workbookViewId="0" topLeftCell="A1">
      <selection activeCell="A1" sqref="A1"/>
    </sheetView>
  </sheetViews>
  <sheetFormatPr defaultColWidth="9.140625" defaultRowHeight="12.75"/>
  <cols>
    <col min="1" max="1" width="5.7109375" style="113" customWidth="1"/>
    <col min="2" max="2" width="25.00390625" style="113" customWidth="1"/>
    <col min="3" max="3" width="55.57421875" style="114" customWidth="1"/>
    <col min="4" max="4" width="21.421875" style="113" customWidth="1"/>
    <col min="5" max="5" width="17.140625" style="115" customWidth="1"/>
    <col min="6" max="6" width="21.57421875" style="113" customWidth="1"/>
    <col min="7" max="7" width="18.28125" style="113" customWidth="1"/>
    <col min="8" max="8" width="5.7109375" style="113" customWidth="1"/>
    <col min="9" max="9" width="5.8515625" style="113" customWidth="1"/>
    <col min="10" max="10" width="12.8515625" style="113" bestFit="1" customWidth="1"/>
    <col min="11" max="11" width="5.7109375" style="113" customWidth="1"/>
    <col min="12" max="16384" width="9.140625" style="113" customWidth="1"/>
  </cols>
  <sheetData>
    <row r="1" ht="12.75"/>
    <row r="6" spans="2:7" ht="20.25" customHeight="1">
      <c r="B6" s="215" t="s">
        <v>158</v>
      </c>
      <c r="C6" s="215"/>
      <c r="D6" s="215"/>
      <c r="E6" s="215"/>
      <c r="F6" s="215"/>
      <c r="G6" s="215"/>
    </row>
    <row r="7" spans="2:7" ht="12.75">
      <c r="B7" s="222" t="s">
        <v>159</v>
      </c>
      <c r="C7" s="222"/>
      <c r="D7" s="222"/>
      <c r="E7" s="222"/>
      <c r="F7" s="222"/>
      <c r="G7" s="222"/>
    </row>
    <row r="8" spans="2:7" ht="12.75">
      <c r="B8" s="222"/>
      <c r="C8" s="222"/>
      <c r="D8" s="222"/>
      <c r="E8" s="222"/>
      <c r="F8" s="222"/>
      <c r="G8" s="222"/>
    </row>
    <row r="9" spans="2:7" ht="12.75">
      <c r="B9" s="222"/>
      <c r="C9" s="222"/>
      <c r="D9" s="222"/>
      <c r="E9" s="222"/>
      <c r="F9" s="222"/>
      <c r="G9" s="222"/>
    </row>
    <row r="10" spans="2:7" ht="12.75">
      <c r="B10" s="222"/>
      <c r="C10" s="222"/>
      <c r="D10" s="222"/>
      <c r="E10" s="222"/>
      <c r="F10" s="222"/>
      <c r="G10" s="222"/>
    </row>
    <row r="11" spans="2:7" ht="12.75">
      <c r="B11" s="222"/>
      <c r="C11" s="222"/>
      <c r="D11" s="222"/>
      <c r="E11" s="222"/>
      <c r="F11" s="222"/>
      <c r="G11" s="222"/>
    </row>
    <row r="12" spans="2:7" ht="12.75" customHeight="1">
      <c r="B12" s="225" t="s">
        <v>222</v>
      </c>
      <c r="C12" s="225"/>
      <c r="D12" s="225"/>
      <c r="E12" s="225"/>
      <c r="F12" s="225"/>
      <c r="G12" s="225"/>
    </row>
    <row r="13" ht="12.75"/>
    <row r="14" ht="12.75">
      <c r="F14" s="116"/>
    </row>
    <row r="15" spans="2:7" ht="18" customHeight="1">
      <c r="B15" s="245" t="s">
        <v>162</v>
      </c>
      <c r="C15" s="245"/>
      <c r="D15" s="245"/>
      <c r="E15" s="245"/>
      <c r="F15" s="245"/>
      <c r="G15" s="245" t="s">
        <v>163</v>
      </c>
    </row>
    <row r="16" ht="13.5" thickBot="1"/>
    <row r="17" spans="2:7" ht="13.5" thickTop="1">
      <c r="B17" s="117" t="s">
        <v>164</v>
      </c>
      <c r="C17" s="118"/>
      <c r="D17" s="119"/>
      <c r="E17" s="120"/>
      <c r="F17" s="119"/>
      <c r="G17" s="121"/>
    </row>
    <row r="18" spans="2:7" ht="12.75">
      <c r="B18" s="210" t="s">
        <v>209</v>
      </c>
      <c r="C18" s="207"/>
      <c r="D18" s="207"/>
      <c r="E18" s="207"/>
      <c r="F18" s="207"/>
      <c r="G18" s="208"/>
    </row>
    <row r="19" spans="2:7" ht="12.75">
      <c r="B19" s="210"/>
      <c r="C19" s="207"/>
      <c r="D19" s="207"/>
      <c r="E19" s="207"/>
      <c r="F19" s="207"/>
      <c r="G19" s="208"/>
    </row>
    <row r="20" spans="2:7" ht="13.5" thickBot="1">
      <c r="B20" s="242"/>
      <c r="C20" s="243"/>
      <c r="D20" s="243"/>
      <c r="E20" s="243"/>
      <c r="F20" s="243"/>
      <c r="G20" s="244"/>
    </row>
    <row r="21" ht="13.5" thickTop="1"/>
    <row r="22" spans="2:7" ht="39" customHeight="1">
      <c r="B22" s="122"/>
      <c r="C22" s="123" t="s">
        <v>165</v>
      </c>
      <c r="D22" s="124" t="str">
        <f>IF(D26=E26,IF(D27=E27,"Y","N"),"N")</f>
        <v>Y</v>
      </c>
      <c r="E22" s="125" t="str">
        <f>IF(E29=G29,IF(E30=G30,IF(E31=G31,"Y","N"),"N"),"N")</f>
        <v>Y</v>
      </c>
      <c r="F22" s="122"/>
      <c r="G22" s="122"/>
    </row>
    <row r="23" spans="2:7" ht="12.75" customHeight="1">
      <c r="B23" s="122"/>
      <c r="C23" s="126"/>
      <c r="D23" s="122"/>
      <c r="E23" s="122"/>
      <c r="F23" s="122"/>
      <c r="G23" s="122"/>
    </row>
    <row r="24" spans="2:7" ht="18">
      <c r="B24" s="234" t="s">
        <v>166</v>
      </c>
      <c r="C24" s="239" t="s">
        <v>167</v>
      </c>
      <c r="D24" s="236" t="s">
        <v>168</v>
      </c>
      <c r="E24" s="237"/>
      <c r="F24" s="237"/>
      <c r="G24" s="238"/>
    </row>
    <row r="25" spans="2:9" ht="54.75" thickBot="1">
      <c r="B25" s="235"/>
      <c r="C25" s="240"/>
      <c r="D25" s="127" t="s">
        <v>169</v>
      </c>
      <c r="E25" s="128" t="s">
        <v>170</v>
      </c>
      <c r="F25" s="128" t="s">
        <v>171</v>
      </c>
      <c r="G25" s="128" t="s">
        <v>172</v>
      </c>
      <c r="I25" s="122"/>
    </row>
    <row r="26" spans="2:10" ht="36">
      <c r="B26" s="129" t="s">
        <v>173</v>
      </c>
      <c r="C26" s="130" t="s">
        <v>174</v>
      </c>
      <c r="D26" s="131">
        <v>1</v>
      </c>
      <c r="E26" s="132">
        <v>1</v>
      </c>
      <c r="F26" s="133" t="s">
        <v>175</v>
      </c>
      <c r="G26" s="134">
        <f>D26</f>
        <v>1</v>
      </c>
      <c r="I26" s="241" t="s">
        <v>176</v>
      </c>
      <c r="J26" s="209"/>
    </row>
    <row r="27" spans="2:10" ht="36">
      <c r="B27" s="135" t="s">
        <v>173</v>
      </c>
      <c r="C27" s="136" t="s">
        <v>177</v>
      </c>
      <c r="D27" s="137">
        <v>1</v>
      </c>
      <c r="E27" s="138">
        <v>1</v>
      </c>
      <c r="F27" s="139" t="s">
        <v>175</v>
      </c>
      <c r="G27" s="140">
        <f>D27</f>
        <v>1</v>
      </c>
      <c r="I27" s="228" t="s">
        <v>178</v>
      </c>
      <c r="J27" s="229"/>
    </row>
    <row r="28" spans="2:10" ht="18">
      <c r="B28" s="141"/>
      <c r="C28" s="142"/>
      <c r="D28" s="143"/>
      <c r="E28" s="144"/>
      <c r="F28" s="144"/>
      <c r="G28" s="145"/>
      <c r="I28" s="230" t="s">
        <v>179</v>
      </c>
      <c r="J28" s="231"/>
    </row>
    <row r="29" spans="2:9" s="152" customFormat="1" ht="18">
      <c r="B29" s="146" t="s">
        <v>180</v>
      </c>
      <c r="C29" s="147" t="s">
        <v>181</v>
      </c>
      <c r="D29" s="148">
        <v>7</v>
      </c>
      <c r="E29" s="149">
        <v>7</v>
      </c>
      <c r="F29" s="150" t="s">
        <v>182</v>
      </c>
      <c r="G29" s="151">
        <f>IF(D22="Y",D29,E29)</f>
        <v>7</v>
      </c>
      <c r="I29" s="153"/>
    </row>
    <row r="30" spans="2:10" s="152" customFormat="1" ht="63" customHeight="1">
      <c r="B30" s="154" t="s">
        <v>180</v>
      </c>
      <c r="C30" s="155" t="s">
        <v>183</v>
      </c>
      <c r="D30" s="156">
        <v>0.2</v>
      </c>
      <c r="E30" s="132">
        <v>0.2</v>
      </c>
      <c r="F30" s="157" t="s">
        <v>184</v>
      </c>
      <c r="G30" s="158">
        <f>IF(D22="Y",D30,E30)</f>
        <v>0.2</v>
      </c>
      <c r="I30" s="153"/>
      <c r="J30" s="159"/>
    </row>
    <row r="31" spans="2:10" ht="27" customHeight="1">
      <c r="B31" s="160" t="s">
        <v>180</v>
      </c>
      <c r="C31" s="21" t="s">
        <v>185</v>
      </c>
      <c r="D31" s="161">
        <v>0.1</v>
      </c>
      <c r="E31" s="138">
        <v>0.1</v>
      </c>
      <c r="F31" s="162" t="s">
        <v>186</v>
      </c>
      <c r="G31" s="163">
        <f>IF(D22="Y",D31,E31)</f>
        <v>0.1</v>
      </c>
      <c r="H31"/>
      <c r="I31" s="164"/>
      <c r="J31" s="165"/>
    </row>
    <row r="32" spans="2:8" ht="20.25">
      <c r="B32" s="166"/>
      <c r="C32" s="167"/>
      <c r="D32" s="166"/>
      <c r="F32"/>
      <c r="G32"/>
      <c r="H32"/>
    </row>
    <row r="33" spans="2:8" s="169" customFormat="1" ht="18">
      <c r="B33" s="232">
        <f>IF($D$22="N","NOTE: Current calculations are based on USER INPUT and are not the original MCC estimates.",IF($E$22="N","NOTE: Current calculations are based on USER INPUT and are not the original MCC estimates.",""))</f>
      </c>
      <c r="C33" s="232"/>
      <c r="D33" s="232"/>
      <c r="E33" s="232"/>
      <c r="F33" s="232"/>
      <c r="G33" s="232"/>
      <c r="H33" s="168"/>
    </row>
    <row r="34" spans="2:8" ht="20.25">
      <c r="B34" s="170"/>
      <c r="C34" s="170"/>
      <c r="D34" s="170"/>
      <c r="E34" s="170"/>
      <c r="F34" s="171"/>
      <c r="G34" s="170"/>
      <c r="H34"/>
    </row>
    <row r="35" spans="2:4" ht="18">
      <c r="B35" s="172"/>
      <c r="C35" s="173" t="s">
        <v>187</v>
      </c>
      <c r="D35" s="174">
        <f>'ERR Calculation'!C49</f>
        <v>0.13668692507502853</v>
      </c>
    </row>
    <row r="36" spans="3:4" ht="12.75">
      <c r="C36" s="175"/>
      <c r="D36" s="176"/>
    </row>
    <row r="37" spans="3:11" ht="18">
      <c r="C37" s="173" t="s">
        <v>188</v>
      </c>
      <c r="D37" s="177">
        <v>0.137</v>
      </c>
      <c r="K37" s="113" t="s">
        <v>189</v>
      </c>
    </row>
    <row r="38" spans="3:4" ht="12.75">
      <c r="C38" s="175"/>
      <c r="D38" s="178"/>
    </row>
    <row r="39" spans="2:5" ht="15">
      <c r="B39" s="233" t="s">
        <v>190</v>
      </c>
      <c r="C39" s="233"/>
      <c r="D39" s="233"/>
      <c r="E39" s="233"/>
    </row>
  </sheetData>
  <mergeCells count="13">
    <mergeCell ref="B18:G20"/>
    <mergeCell ref="B6:G6"/>
    <mergeCell ref="B7:G11"/>
    <mergeCell ref="B12:G12"/>
    <mergeCell ref="B15:G15"/>
    <mergeCell ref="B24:B25"/>
    <mergeCell ref="D24:G24"/>
    <mergeCell ref="C24:C25"/>
    <mergeCell ref="I26:J26"/>
    <mergeCell ref="I27:J27"/>
    <mergeCell ref="I28:J28"/>
    <mergeCell ref="B33:G33"/>
    <mergeCell ref="B39:E39"/>
  </mergeCells>
  <hyperlinks>
    <hyperlink ref="I27" location="'Activity Description'!A1" display="   Activity Description"/>
    <hyperlink ref="I28" location="'User''s Guide'!A1" display="User's Guide"/>
  </hyperlinks>
  <printOptions horizontalCentered="1"/>
  <pageMargins left="0.25" right="0.25" top="1" bottom="1" header="0.5" footer="0.36"/>
  <pageSetup horizontalDpi="600" verticalDpi="600" orientation="portrait" scale="36"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pageSetUpPr fitToPage="1"/>
  </sheetPr>
  <dimension ref="B5:Z69"/>
  <sheetViews>
    <sheetView showGridLines="0" zoomScale="60" zoomScaleNormal="60" zoomScaleSheetLayoutView="45" workbookViewId="0" topLeftCell="E13">
      <selection activeCell="M47" sqref="M47"/>
    </sheetView>
  </sheetViews>
  <sheetFormatPr defaultColWidth="9.140625" defaultRowHeight="12.75"/>
  <cols>
    <col min="1" max="1" width="5.7109375" style="36" customWidth="1"/>
    <col min="2" max="2" width="47.421875" style="36" bestFit="1" customWidth="1"/>
    <col min="3" max="3" width="28.140625" style="36" bestFit="1" customWidth="1"/>
    <col min="4" max="4" width="28.00390625" style="36" bestFit="1" customWidth="1"/>
    <col min="5" max="16" width="17.8515625" style="36" bestFit="1" customWidth="1"/>
    <col min="17" max="24" width="17.28125" style="36" bestFit="1" customWidth="1"/>
    <col min="25" max="25" width="9.140625" style="36" customWidth="1"/>
    <col min="26" max="26" width="13.8515625" style="36" bestFit="1" customWidth="1"/>
    <col min="27" max="16384" width="9.140625" style="36" customWidth="1"/>
  </cols>
  <sheetData>
    <row r="1" ht="18"/>
    <row r="5" spans="2:24" s="4" customFormat="1" ht="20.25" customHeight="1">
      <c r="B5" s="215" t="s">
        <v>158</v>
      </c>
      <c r="C5" s="215"/>
      <c r="D5" s="215"/>
      <c r="E5" s="215"/>
      <c r="F5" s="215"/>
      <c r="G5" s="215"/>
      <c r="H5" s="215"/>
      <c r="I5" s="215"/>
      <c r="J5" s="215"/>
      <c r="K5" s="215"/>
      <c r="L5" s="215"/>
      <c r="M5" s="215"/>
      <c r="N5" s="215"/>
      <c r="O5" s="215"/>
      <c r="P5" s="215"/>
      <c r="Q5" s="215"/>
      <c r="R5" s="215"/>
      <c r="S5" s="215"/>
      <c r="T5" s="215"/>
      <c r="U5" s="215"/>
      <c r="V5" s="215"/>
      <c r="W5" s="215"/>
      <c r="X5" s="215"/>
    </row>
    <row r="6" spans="2:24" s="4" customFormat="1" ht="18" customHeight="1">
      <c r="B6" s="222" t="s">
        <v>159</v>
      </c>
      <c r="C6" s="222"/>
      <c r="D6" s="222"/>
      <c r="E6" s="222"/>
      <c r="F6" s="222"/>
      <c r="G6" s="222"/>
      <c r="H6" s="222"/>
      <c r="I6" s="222"/>
      <c r="J6" s="222"/>
      <c r="K6" s="222"/>
      <c r="L6" s="222"/>
      <c r="M6" s="222"/>
      <c r="N6" s="222"/>
      <c r="O6" s="222"/>
      <c r="P6" s="222"/>
      <c r="Q6" s="222"/>
      <c r="R6" s="222"/>
      <c r="S6" s="222"/>
      <c r="T6" s="222"/>
      <c r="U6" s="222"/>
      <c r="V6" s="222"/>
      <c r="W6" s="222"/>
      <c r="X6" s="222"/>
    </row>
    <row r="7" spans="2:24" s="4" customFormat="1" ht="18" customHeight="1">
      <c r="B7" s="222"/>
      <c r="C7" s="222"/>
      <c r="D7" s="222"/>
      <c r="E7" s="222"/>
      <c r="F7" s="222"/>
      <c r="G7" s="222"/>
      <c r="H7" s="222"/>
      <c r="I7" s="222"/>
      <c r="J7" s="222"/>
      <c r="K7" s="222"/>
      <c r="L7" s="222"/>
      <c r="M7" s="222"/>
      <c r="N7" s="222"/>
      <c r="O7" s="222"/>
      <c r="P7" s="222"/>
      <c r="Q7" s="222"/>
      <c r="R7" s="222"/>
      <c r="S7" s="222"/>
      <c r="T7" s="222"/>
      <c r="U7" s="222"/>
      <c r="V7" s="222"/>
      <c r="W7" s="222"/>
      <c r="X7" s="222"/>
    </row>
    <row r="8" spans="2:24" s="4" customFormat="1" ht="18" customHeight="1">
      <c r="B8" s="222"/>
      <c r="C8" s="222"/>
      <c r="D8" s="222"/>
      <c r="E8" s="222"/>
      <c r="F8" s="222"/>
      <c r="G8" s="222"/>
      <c r="H8" s="222"/>
      <c r="I8" s="222"/>
      <c r="J8" s="222"/>
      <c r="K8" s="222"/>
      <c r="L8" s="222"/>
      <c r="M8" s="222"/>
      <c r="N8" s="222"/>
      <c r="O8" s="222"/>
      <c r="P8" s="222"/>
      <c r="Q8" s="222"/>
      <c r="R8" s="222"/>
      <c r="S8" s="222"/>
      <c r="T8" s="222"/>
      <c r="U8" s="222"/>
      <c r="V8" s="222"/>
      <c r="W8" s="222"/>
      <c r="X8" s="222"/>
    </row>
    <row r="9" spans="2:24" s="4" customFormat="1" ht="18" customHeight="1">
      <c r="B9" s="222"/>
      <c r="C9" s="222"/>
      <c r="D9" s="222"/>
      <c r="E9" s="222"/>
      <c r="F9" s="222"/>
      <c r="G9" s="222"/>
      <c r="H9" s="222"/>
      <c r="I9" s="222"/>
      <c r="J9" s="222"/>
      <c r="K9" s="222"/>
      <c r="L9" s="222"/>
      <c r="M9" s="222"/>
      <c r="N9" s="222"/>
      <c r="O9" s="222"/>
      <c r="P9" s="222"/>
      <c r="Q9" s="222"/>
      <c r="R9" s="222"/>
      <c r="S9" s="222"/>
      <c r="T9" s="222"/>
      <c r="U9" s="222"/>
      <c r="V9" s="222"/>
      <c r="W9" s="222"/>
      <c r="X9" s="222"/>
    </row>
    <row r="10" spans="2:24" s="4" customFormat="1" ht="18" customHeight="1">
      <c r="B10" s="222"/>
      <c r="C10" s="222"/>
      <c r="D10" s="222"/>
      <c r="E10" s="222"/>
      <c r="F10" s="222"/>
      <c r="G10" s="222"/>
      <c r="H10" s="222"/>
      <c r="I10" s="222"/>
      <c r="J10" s="222"/>
      <c r="K10" s="222"/>
      <c r="L10" s="222"/>
      <c r="M10" s="222"/>
      <c r="N10" s="222"/>
      <c r="O10" s="222"/>
      <c r="P10" s="222"/>
      <c r="Q10" s="222"/>
      <c r="R10" s="222"/>
      <c r="S10" s="222"/>
      <c r="T10" s="222"/>
      <c r="U10" s="222"/>
      <c r="V10" s="222"/>
      <c r="W10" s="222"/>
      <c r="X10" s="222"/>
    </row>
    <row r="11" spans="2:24" s="4" customFormat="1" ht="18">
      <c r="B11" s="250" t="s">
        <v>221</v>
      </c>
      <c r="C11" s="250"/>
      <c r="D11" s="250"/>
      <c r="E11" s="250"/>
      <c r="F11" s="250"/>
      <c r="G11" s="250"/>
      <c r="H11" s="250"/>
      <c r="I11" s="250"/>
      <c r="J11" s="250"/>
      <c r="K11" s="250"/>
      <c r="L11" s="250"/>
      <c r="M11" s="250"/>
      <c r="N11" s="250"/>
      <c r="O11" s="250"/>
      <c r="P11" s="250"/>
      <c r="Q11" s="250"/>
      <c r="R11" s="250"/>
      <c r="S11" s="250"/>
      <c r="T11" s="250"/>
      <c r="U11" s="250"/>
      <c r="V11" s="250"/>
      <c r="W11" s="250"/>
      <c r="X11" s="250"/>
    </row>
    <row r="12" spans="2:24" s="4" customFormat="1" ht="18">
      <c r="B12" s="232">
        <f>IF('ERR &amp; Sensitivity Analysis'!D22="N","NOTE: Current calculations are based on USER INPUT and are not the original MCC estimates.",IF('ERR &amp; Sensitivity Analysis'!E22="N","NOTE: Current calculations are based on USER INPUT and are not the original MCC estimates.",""))</f>
      </c>
      <c r="C12" s="232"/>
      <c r="D12" s="232"/>
      <c r="E12" s="232"/>
      <c r="F12" s="232"/>
      <c r="G12" s="232"/>
      <c r="H12" s="112"/>
      <c r="I12" s="112"/>
      <c r="J12" s="112"/>
      <c r="K12" s="112"/>
      <c r="L12" s="112"/>
      <c r="M12" s="112"/>
      <c r="N12" s="112"/>
      <c r="O12" s="112"/>
      <c r="P12" s="112"/>
      <c r="Q12" s="112"/>
      <c r="R12" s="112"/>
      <c r="S12" s="112"/>
      <c r="T12" s="112"/>
      <c r="U12" s="112"/>
      <c r="V12" s="112"/>
      <c r="W12" s="112"/>
      <c r="X12" s="112"/>
    </row>
    <row r="13" spans="2:3" ht="18">
      <c r="B13" s="249" t="s">
        <v>161</v>
      </c>
      <c r="C13" s="249"/>
    </row>
    <row r="14" spans="2:24" s="4" customFormat="1" ht="18">
      <c r="B14" s="246" t="s">
        <v>97</v>
      </c>
      <c r="C14" s="247"/>
      <c r="D14" s="247"/>
      <c r="E14" s="247"/>
      <c r="F14" s="247"/>
      <c r="G14" s="247"/>
      <c r="H14" s="247"/>
      <c r="I14" s="247"/>
      <c r="J14" s="247"/>
      <c r="K14" s="247"/>
      <c r="L14" s="247"/>
      <c r="M14" s="247"/>
      <c r="N14" s="247"/>
      <c r="O14" s="247"/>
      <c r="P14" s="247"/>
      <c r="Q14" s="247"/>
      <c r="R14" s="247"/>
      <c r="S14" s="247"/>
      <c r="T14" s="247"/>
      <c r="U14" s="247"/>
      <c r="V14" s="247"/>
      <c r="W14" s="247"/>
      <c r="X14" s="248"/>
    </row>
    <row r="15" spans="2:24" s="84" customFormat="1" ht="18">
      <c r="B15" s="85"/>
      <c r="C15" s="86"/>
      <c r="D15" s="87" t="s">
        <v>0</v>
      </c>
      <c r="E15" s="87">
        <v>1</v>
      </c>
      <c r="F15" s="87">
        <v>2</v>
      </c>
      <c r="G15" s="87">
        <v>3</v>
      </c>
      <c r="H15" s="87">
        <v>4</v>
      </c>
      <c r="I15" s="87">
        <v>5</v>
      </c>
      <c r="J15" s="87">
        <v>6</v>
      </c>
      <c r="K15" s="87">
        <v>7</v>
      </c>
      <c r="L15" s="87">
        <v>8</v>
      </c>
      <c r="M15" s="87">
        <v>9</v>
      </c>
      <c r="N15" s="87">
        <v>10</v>
      </c>
      <c r="O15" s="87">
        <v>11</v>
      </c>
      <c r="P15" s="87">
        <v>12</v>
      </c>
      <c r="Q15" s="87">
        <v>13</v>
      </c>
      <c r="R15" s="87">
        <v>14</v>
      </c>
      <c r="S15" s="87">
        <v>15</v>
      </c>
      <c r="T15" s="87">
        <v>16</v>
      </c>
      <c r="U15" s="87">
        <v>17</v>
      </c>
      <c r="V15" s="87">
        <v>18</v>
      </c>
      <c r="W15" s="87">
        <v>19</v>
      </c>
      <c r="X15" s="88">
        <v>20</v>
      </c>
    </row>
    <row r="16" spans="2:24" ht="18">
      <c r="B16" s="94" t="s">
        <v>99</v>
      </c>
      <c r="C16" s="101"/>
      <c r="D16" s="111"/>
      <c r="E16" s="76"/>
      <c r="F16" s="71"/>
      <c r="G16" s="71"/>
      <c r="H16" s="71"/>
      <c r="I16" s="71"/>
      <c r="J16" s="71"/>
      <c r="K16" s="71"/>
      <c r="L16" s="71"/>
      <c r="M16" s="71"/>
      <c r="N16" s="71"/>
      <c r="O16" s="71"/>
      <c r="P16" s="71"/>
      <c r="Q16" s="71"/>
      <c r="R16" s="71"/>
      <c r="S16" s="71"/>
      <c r="T16" s="71"/>
      <c r="U16" s="71"/>
      <c r="V16" s="71"/>
      <c r="W16" s="71"/>
      <c r="X16" s="72"/>
    </row>
    <row r="17" spans="2:24" ht="18.75">
      <c r="B17" s="95" t="s">
        <v>1</v>
      </c>
      <c r="C17" s="101"/>
      <c r="D17" s="71"/>
      <c r="E17" s="76"/>
      <c r="F17" s="71"/>
      <c r="G17" s="71"/>
      <c r="H17" s="71"/>
      <c r="I17" s="71"/>
      <c r="J17" s="71"/>
      <c r="K17" s="71"/>
      <c r="L17" s="71"/>
      <c r="M17" s="71"/>
      <c r="N17" s="71"/>
      <c r="O17" s="71"/>
      <c r="P17" s="71"/>
      <c r="Q17" s="71"/>
      <c r="R17" s="71"/>
      <c r="S17" s="71"/>
      <c r="T17" s="71"/>
      <c r="U17" s="71"/>
      <c r="V17" s="71"/>
      <c r="W17" s="71"/>
      <c r="X17" s="72"/>
    </row>
    <row r="18" spans="2:24" ht="18">
      <c r="B18" s="96" t="s">
        <v>91</v>
      </c>
      <c r="C18" s="101">
        <v>1</v>
      </c>
      <c r="D18" s="71"/>
      <c r="E18" s="76"/>
      <c r="F18" s="71"/>
      <c r="G18" s="71"/>
      <c r="H18" s="71"/>
      <c r="I18" s="71"/>
      <c r="J18" s="71"/>
      <c r="K18" s="71"/>
      <c r="L18" s="71"/>
      <c r="M18" s="71"/>
      <c r="N18" s="71"/>
      <c r="O18" s="71"/>
      <c r="P18" s="71"/>
      <c r="Q18" s="71"/>
      <c r="R18" s="71"/>
      <c r="S18" s="71"/>
      <c r="T18" s="71"/>
      <c r="U18" s="71"/>
      <c r="V18" s="71"/>
      <c r="W18" s="71"/>
      <c r="X18" s="72"/>
    </row>
    <row r="19" spans="2:24" ht="18">
      <c r="B19" s="96" t="s">
        <v>92</v>
      </c>
      <c r="C19" s="101">
        <v>2</v>
      </c>
      <c r="D19" s="71"/>
      <c r="E19" s="76"/>
      <c r="F19" s="71"/>
      <c r="G19" s="71"/>
      <c r="H19" s="71"/>
      <c r="I19" s="71"/>
      <c r="J19" s="71"/>
      <c r="K19" s="71"/>
      <c r="L19" s="71"/>
      <c r="M19" s="71"/>
      <c r="N19" s="71"/>
      <c r="O19" s="71"/>
      <c r="P19" s="71"/>
      <c r="Q19" s="71"/>
      <c r="R19" s="71"/>
      <c r="S19" s="71"/>
      <c r="T19" s="71"/>
      <c r="U19" s="71"/>
      <c r="V19" s="71"/>
      <c r="W19" s="71"/>
      <c r="X19" s="72"/>
    </row>
    <row r="20" spans="2:24" ht="18">
      <c r="B20" s="96" t="s">
        <v>91</v>
      </c>
      <c r="C20" s="101">
        <v>3</v>
      </c>
      <c r="D20" s="71"/>
      <c r="E20" s="76"/>
      <c r="F20" s="71"/>
      <c r="G20" s="71"/>
      <c r="H20" s="71"/>
      <c r="I20" s="71"/>
      <c r="J20" s="71"/>
      <c r="K20" s="71"/>
      <c r="L20" s="71"/>
      <c r="M20" s="71"/>
      <c r="N20" s="71"/>
      <c r="O20" s="71"/>
      <c r="P20" s="71"/>
      <c r="Q20" s="71"/>
      <c r="R20" s="71"/>
      <c r="S20" s="71"/>
      <c r="T20" s="71"/>
      <c r="U20" s="71"/>
      <c r="V20" s="71"/>
      <c r="W20" s="71"/>
      <c r="X20" s="72"/>
    </row>
    <row r="21" spans="2:24" ht="18">
      <c r="B21" s="96" t="s">
        <v>91</v>
      </c>
      <c r="C21" s="101">
        <v>4</v>
      </c>
      <c r="D21" s="71"/>
      <c r="E21" s="76"/>
      <c r="F21" s="71"/>
      <c r="G21" s="71"/>
      <c r="H21" s="71"/>
      <c r="I21" s="71"/>
      <c r="J21" s="71"/>
      <c r="K21" s="71"/>
      <c r="L21" s="71"/>
      <c r="M21" s="71"/>
      <c r="N21" s="71"/>
      <c r="O21" s="71"/>
      <c r="P21" s="71"/>
      <c r="Q21" s="71"/>
      <c r="R21" s="71"/>
      <c r="S21" s="71"/>
      <c r="T21" s="71"/>
      <c r="U21" s="71"/>
      <c r="V21" s="71"/>
      <c r="W21" s="71"/>
      <c r="X21" s="72"/>
    </row>
    <row r="22" spans="2:24" ht="18">
      <c r="B22" s="96" t="s">
        <v>91</v>
      </c>
      <c r="C22" s="101">
        <v>5</v>
      </c>
      <c r="D22" s="71"/>
      <c r="E22" s="76"/>
      <c r="F22" s="71"/>
      <c r="G22" s="71"/>
      <c r="H22" s="71"/>
      <c r="I22" s="71"/>
      <c r="J22" s="71"/>
      <c r="K22" s="71"/>
      <c r="L22" s="71"/>
      <c r="M22" s="71"/>
      <c r="N22" s="71"/>
      <c r="O22" s="71"/>
      <c r="P22" s="71"/>
      <c r="Q22" s="71"/>
      <c r="R22" s="71"/>
      <c r="S22" s="71"/>
      <c r="T22" s="71"/>
      <c r="U22" s="71"/>
      <c r="V22" s="71"/>
      <c r="W22" s="71"/>
      <c r="X22" s="72"/>
    </row>
    <row r="23" spans="2:24" ht="18">
      <c r="B23" s="96" t="s">
        <v>91</v>
      </c>
      <c r="C23" s="101">
        <v>6</v>
      </c>
      <c r="D23" s="71"/>
      <c r="E23" s="76"/>
      <c r="F23" s="71"/>
      <c r="G23" s="71"/>
      <c r="H23" s="71"/>
      <c r="I23" s="71"/>
      <c r="J23" s="71"/>
      <c r="K23" s="71"/>
      <c r="L23" s="71"/>
      <c r="M23" s="71"/>
      <c r="N23" s="71"/>
      <c r="O23" s="71"/>
      <c r="P23" s="71"/>
      <c r="Q23" s="71"/>
      <c r="R23" s="71"/>
      <c r="S23" s="71"/>
      <c r="T23" s="71"/>
      <c r="U23" s="71"/>
      <c r="V23" s="71"/>
      <c r="W23" s="71"/>
      <c r="X23" s="72"/>
    </row>
    <row r="24" spans="2:24" ht="18">
      <c r="B24" s="96" t="s">
        <v>91</v>
      </c>
      <c r="C24" s="101">
        <v>7</v>
      </c>
      <c r="D24" s="71"/>
      <c r="E24" s="107">
        <f>+'Enrollment dynamics'!D20*'Key Assumptions'!$D$26</f>
        <v>23564467.12623343</v>
      </c>
      <c r="F24" s="73">
        <f>+'Enrollment dynamics'!E20*'Key Assumptions'!$D$26</f>
        <v>23564467.12623343</v>
      </c>
      <c r="G24" s="73">
        <f>+'Enrollment dynamics'!F20*'Key Assumptions'!$D$26</f>
        <v>23564467.12623343</v>
      </c>
      <c r="H24" s="73">
        <f>+'Enrollment dynamics'!G20*'Key Assumptions'!$D$26</f>
        <v>23564467.12623343</v>
      </c>
      <c r="I24" s="73">
        <f>+'Enrollment dynamics'!H20*'Key Assumptions'!$D$26</f>
        <v>23564467.12623343</v>
      </c>
      <c r="J24" s="73">
        <f>+'Enrollment dynamics'!I20*'Key Assumptions'!$D$26</f>
        <v>23564467.12623343</v>
      </c>
      <c r="K24" s="73">
        <f>+'Enrollment dynamics'!J20*'Key Assumptions'!$D$26</f>
        <v>23564467.12623343</v>
      </c>
      <c r="L24" s="73">
        <f>+'Enrollment dynamics'!K20*'Key Assumptions'!$D$26</f>
        <v>23564467.12623343</v>
      </c>
      <c r="M24" s="73">
        <f>+'Enrollment dynamics'!L20*'Key Assumptions'!$D$26</f>
        <v>23564467.12623343</v>
      </c>
      <c r="N24" s="73">
        <f>+'Enrollment dynamics'!M20*'Key Assumptions'!$D$26</f>
        <v>23564467.12623343</v>
      </c>
      <c r="O24" s="73">
        <f>+'Enrollment dynamics'!N20*'Key Assumptions'!$D$26</f>
        <v>23564467.12623343</v>
      </c>
      <c r="P24" s="73">
        <f>+'Enrollment dynamics'!O20*'Key Assumptions'!$D$26</f>
        <v>23564467.12623343</v>
      </c>
      <c r="Q24" s="73">
        <f>+'Enrollment dynamics'!P20*'Key Assumptions'!$D$26</f>
        <v>23564467.12623343</v>
      </c>
      <c r="R24" s="73">
        <f>+'Enrollment dynamics'!Q20*'Key Assumptions'!$D$26</f>
        <v>23564467.12623343</v>
      </c>
      <c r="S24" s="73">
        <f>+'Enrollment dynamics'!R20*'Key Assumptions'!$D$26</f>
        <v>23564467.12623343</v>
      </c>
      <c r="T24" s="73">
        <f>+'Enrollment dynamics'!S20*'Key Assumptions'!$D$26</f>
        <v>23564467.12623343</v>
      </c>
      <c r="U24" s="73">
        <f>+'Enrollment dynamics'!T20*'Key Assumptions'!$D$26</f>
        <v>23564467.12623343</v>
      </c>
      <c r="V24" s="73">
        <f>+'Enrollment dynamics'!U20*'Key Assumptions'!$D$26</f>
        <v>23564467.12623343</v>
      </c>
      <c r="W24" s="73">
        <f>+'Enrollment dynamics'!V20*'Key Assumptions'!$D$26</f>
        <v>23564467.12623343</v>
      </c>
      <c r="X24" s="74">
        <f>+'Enrollment dynamics'!W20*'Key Assumptions'!$D$26</f>
        <v>23564467.12623343</v>
      </c>
    </row>
    <row r="25" spans="2:26" ht="18">
      <c r="B25" s="96" t="s">
        <v>91</v>
      </c>
      <c r="C25" s="101">
        <v>8</v>
      </c>
      <c r="D25" s="71"/>
      <c r="E25" s="107"/>
      <c r="F25" s="73"/>
      <c r="G25" s="73"/>
      <c r="H25" s="73"/>
      <c r="I25" s="73"/>
      <c r="J25" s="73"/>
      <c r="K25" s="73"/>
      <c r="L25" s="73"/>
      <c r="M25" s="73"/>
      <c r="N25" s="73"/>
      <c r="O25" s="73"/>
      <c r="P25" s="73"/>
      <c r="Q25" s="73"/>
      <c r="R25" s="73"/>
      <c r="S25" s="73"/>
      <c r="T25" s="73"/>
      <c r="U25" s="73"/>
      <c r="V25" s="73"/>
      <c r="W25" s="73"/>
      <c r="X25" s="74"/>
      <c r="Y25" s="70"/>
      <c r="Z25" s="70"/>
    </row>
    <row r="26" spans="2:26" ht="18">
      <c r="B26" s="96" t="s">
        <v>91</v>
      </c>
      <c r="C26" s="101">
        <v>9</v>
      </c>
      <c r="D26" s="71"/>
      <c r="E26" s="107"/>
      <c r="F26" s="73"/>
      <c r="G26" s="73"/>
      <c r="H26" s="73"/>
      <c r="I26" s="73"/>
      <c r="J26" s="73"/>
      <c r="K26" s="73"/>
      <c r="L26" s="73"/>
      <c r="M26" s="73"/>
      <c r="N26" s="73"/>
      <c r="O26" s="73"/>
      <c r="P26" s="73"/>
      <c r="Q26" s="73"/>
      <c r="R26" s="73"/>
      <c r="S26" s="73"/>
      <c r="T26" s="73"/>
      <c r="U26" s="73"/>
      <c r="V26" s="73"/>
      <c r="W26" s="73"/>
      <c r="X26" s="74"/>
      <c r="Y26" s="70"/>
      <c r="Z26" s="70"/>
    </row>
    <row r="27" spans="2:26" ht="18">
      <c r="B27" s="96" t="s">
        <v>91</v>
      </c>
      <c r="C27" s="101">
        <v>10</v>
      </c>
      <c r="D27" s="71"/>
      <c r="E27" s="107">
        <f>+'Enrollment dynamics'!D23*'Key Assumptions'!$D$25</f>
        <v>156639132.9804487</v>
      </c>
      <c r="F27" s="73">
        <f>+'Enrollment dynamics'!E23*'Key Assumptions'!$D$25</f>
        <v>159771915.64005765</v>
      </c>
      <c r="G27" s="73">
        <f>+'Enrollment dynamics'!F23*'Key Assumptions'!$D$25</f>
        <v>162967353.9528588</v>
      </c>
      <c r="H27" s="73">
        <f>+'Enrollment dynamics'!G23*'Key Assumptions'!$D$25</f>
        <v>166226701.03191596</v>
      </c>
      <c r="I27" s="73">
        <f>+'Enrollment dynamics'!H23*'Key Assumptions'!$D$25</f>
        <v>169551235.05255428</v>
      </c>
      <c r="J27" s="73">
        <f>+'Enrollment dynamics'!I23*'Key Assumptions'!$D$25</f>
        <v>172942259.75360537</v>
      </c>
      <c r="K27" s="73">
        <f>+'Enrollment dynamics'!J23*'Key Assumptions'!$D$25</f>
        <v>176401104.94867748</v>
      </c>
      <c r="L27" s="73">
        <f>+'Enrollment dynamics'!K23*'Key Assumptions'!$D$25</f>
        <v>179929127.04765102</v>
      </c>
      <c r="M27" s="73">
        <f>+'Enrollment dynamics'!L23*'Key Assumptions'!$D$25</f>
        <v>183527709.58860406</v>
      </c>
      <c r="N27" s="73">
        <f>+'Enrollment dynamics'!M23*'Key Assumptions'!$D$25</f>
        <v>187198263.78037614</v>
      </c>
      <c r="O27" s="73">
        <f>+'Enrollment dynamics'!N23*'Key Assumptions'!$D$25</f>
        <v>190942229.05598366</v>
      </c>
      <c r="P27" s="73">
        <f>+'Enrollment dynamics'!O23*'Key Assumptions'!$D$25</f>
        <v>194761073.63710335</v>
      </c>
      <c r="Q27" s="73">
        <f>+'Enrollment dynamics'!P23*'Key Assumptions'!$D$25</f>
        <v>198656295.1098454</v>
      </c>
      <c r="R27" s="73">
        <f>+'Enrollment dynamics'!Q23*'Key Assumptions'!$D$25</f>
        <v>202629421.0120423</v>
      </c>
      <c r="S27" s="73">
        <f>+'Enrollment dynamics'!R23*'Key Assumptions'!$D$25</f>
        <v>206682009.43228316</v>
      </c>
      <c r="T27" s="73">
        <f>+'Enrollment dynamics'!S23*'Key Assumptions'!$D$25</f>
        <v>210815649.62092882</v>
      </c>
      <c r="U27" s="73">
        <f>+'Enrollment dynamics'!T23*'Key Assumptions'!$D$25</f>
        <v>215031962.6133474</v>
      </c>
      <c r="V27" s="73">
        <f>+'Enrollment dynamics'!U23*'Key Assumptions'!$D$25</f>
        <v>219332601.86561438</v>
      </c>
      <c r="W27" s="73">
        <f>+'Enrollment dynamics'!V23*'Key Assumptions'!$D$25</f>
        <v>223719253.90292665</v>
      </c>
      <c r="X27" s="74">
        <f>+'Enrollment dynamics'!W23*'Key Assumptions'!$D$25</f>
        <v>228193638.9809852</v>
      </c>
      <c r="Y27" s="70"/>
      <c r="Z27" s="70"/>
    </row>
    <row r="28" spans="2:26" ht="18">
      <c r="B28" s="96" t="s">
        <v>91</v>
      </c>
      <c r="C28" s="101">
        <v>11</v>
      </c>
      <c r="D28" s="71"/>
      <c r="E28" s="107"/>
      <c r="F28" s="73"/>
      <c r="G28" s="73"/>
      <c r="H28" s="73"/>
      <c r="I28" s="73"/>
      <c r="J28" s="73"/>
      <c r="K28" s="73"/>
      <c r="L28" s="73"/>
      <c r="M28" s="73"/>
      <c r="N28" s="73"/>
      <c r="O28" s="73"/>
      <c r="P28" s="73"/>
      <c r="Q28" s="73"/>
      <c r="R28" s="73"/>
      <c r="S28" s="73"/>
      <c r="T28" s="73"/>
      <c r="U28" s="73"/>
      <c r="V28" s="73"/>
      <c r="W28" s="73"/>
      <c r="X28" s="74"/>
      <c r="Y28" s="70"/>
      <c r="Z28" s="70"/>
    </row>
    <row r="29" spans="2:26" ht="18">
      <c r="B29" s="96" t="s">
        <v>91</v>
      </c>
      <c r="C29" s="101">
        <v>12</v>
      </c>
      <c r="D29" s="71"/>
      <c r="E29" s="107">
        <f>+'Enrollment dynamics'!D25*'Key Assumptions'!$D$24</f>
        <v>190014483.30628648</v>
      </c>
      <c r="F29" s="73">
        <f>+'Enrollment dynamics'!E25*'Key Assumptions'!$D$24</f>
        <v>193814772.9724122</v>
      </c>
      <c r="G29" s="73">
        <f>+'Enrollment dynamics'!F25*'Key Assumptions'!$D$24</f>
        <v>197691068.43186045</v>
      </c>
      <c r="H29" s="73">
        <f>+'Enrollment dynamics'!G25*'Key Assumptions'!$D$24</f>
        <v>201644889.80049765</v>
      </c>
      <c r="I29" s="73">
        <f>+'Enrollment dynamics'!H25*'Key Assumptions'!$D$24</f>
        <v>205677787.5965076</v>
      </c>
      <c r="J29" s="73">
        <f>+'Enrollment dynamics'!I25*'Key Assumptions'!$D$24</f>
        <v>209791343.3484378</v>
      </c>
      <c r="K29" s="73">
        <f>+'Enrollment dynamics'!J25*'Key Assumptions'!$D$24</f>
        <v>213987170.21540654</v>
      </c>
      <c r="L29" s="73">
        <f>+'Enrollment dynamics'!K25*'Key Assumptions'!$D$24</f>
        <v>218266913.61971468</v>
      </c>
      <c r="M29" s="73">
        <f>+'Enrollment dynamics'!L25*'Key Assumptions'!$D$24</f>
        <v>222632251.89210898</v>
      </c>
      <c r="N29" s="73">
        <f>+'Enrollment dynamics'!M25*'Key Assumptions'!$D$24</f>
        <v>227084896.92995113</v>
      </c>
      <c r="O29" s="73">
        <f>+'Enrollment dynamics'!N25*'Key Assumptions'!$D$24</f>
        <v>231626594.86855015</v>
      </c>
      <c r="P29" s="73">
        <f>+'Enrollment dynamics'!O25*'Key Assumptions'!$D$24</f>
        <v>236259126.76592115</v>
      </c>
      <c r="Q29" s="73">
        <f>+'Enrollment dynamics'!P25*'Key Assumptions'!$D$24</f>
        <v>240984309.30123955</v>
      </c>
      <c r="R29" s="73">
        <f>+'Enrollment dynamics'!Q25*'Key Assumptions'!$D$24</f>
        <v>245803995.48726434</v>
      </c>
      <c r="S29" s="73">
        <f>+'Enrollment dynamics'!R25*'Key Assumptions'!$D$24</f>
        <v>250720075.39700964</v>
      </c>
      <c r="T29" s="73">
        <f>+'Enrollment dynamics'!S25*'Key Assumptions'!$D$24</f>
        <v>255734476.90494984</v>
      </c>
      <c r="U29" s="73">
        <f>+'Enrollment dynamics'!T25*'Key Assumptions'!$D$24</f>
        <v>260849166.44304886</v>
      </c>
      <c r="V29" s="73">
        <f>+'Enrollment dynamics'!U25*'Key Assumptions'!$D$24</f>
        <v>266066149.77190986</v>
      </c>
      <c r="W29" s="73">
        <f>+'Enrollment dynamics'!V25*'Key Assumptions'!$D$24</f>
        <v>271387472.76734805</v>
      </c>
      <c r="X29" s="74">
        <f>+'Enrollment dynamics'!W25*'Key Assumptions'!$D$24</f>
        <v>276815222.222695</v>
      </c>
      <c r="Y29" s="70"/>
      <c r="Z29" s="70"/>
    </row>
    <row r="30" spans="2:26" ht="18.75">
      <c r="B30" s="97" t="s">
        <v>2</v>
      </c>
      <c r="C30" s="102"/>
      <c r="D30" s="89"/>
      <c r="E30" s="108"/>
      <c r="F30" s="90"/>
      <c r="G30" s="90"/>
      <c r="H30" s="90"/>
      <c r="I30" s="90"/>
      <c r="J30" s="90"/>
      <c r="K30" s="90"/>
      <c r="L30" s="90"/>
      <c r="M30" s="90"/>
      <c r="N30" s="90"/>
      <c r="O30" s="90"/>
      <c r="P30" s="90"/>
      <c r="Q30" s="90"/>
      <c r="R30" s="90"/>
      <c r="S30" s="90"/>
      <c r="T30" s="90"/>
      <c r="U30" s="90"/>
      <c r="V30" s="90"/>
      <c r="W30" s="90"/>
      <c r="X30" s="91"/>
      <c r="Y30" s="70"/>
      <c r="Z30" s="70"/>
    </row>
    <row r="31" spans="2:26" ht="18">
      <c r="B31" s="96" t="s">
        <v>91</v>
      </c>
      <c r="C31" s="101">
        <v>1</v>
      </c>
      <c r="D31" s="71"/>
      <c r="E31" s="107"/>
      <c r="F31" s="73"/>
      <c r="G31" s="73"/>
      <c r="H31" s="73"/>
      <c r="I31" s="73"/>
      <c r="J31" s="73"/>
      <c r="K31" s="73"/>
      <c r="L31" s="73"/>
      <c r="M31" s="73"/>
      <c r="N31" s="73"/>
      <c r="O31" s="73"/>
      <c r="P31" s="73"/>
      <c r="Q31" s="73"/>
      <c r="R31" s="73"/>
      <c r="S31" s="73"/>
      <c r="T31" s="73"/>
      <c r="U31" s="73"/>
      <c r="V31" s="73"/>
      <c r="W31" s="73"/>
      <c r="X31" s="74"/>
      <c r="Y31" s="70"/>
      <c r="Z31" s="70"/>
    </row>
    <row r="32" spans="2:26" ht="18">
      <c r="B32" s="96" t="s">
        <v>92</v>
      </c>
      <c r="C32" s="101">
        <v>2</v>
      </c>
      <c r="D32" s="71"/>
      <c r="E32" s="107"/>
      <c r="F32" s="73"/>
      <c r="G32" s="73"/>
      <c r="H32" s="73"/>
      <c r="I32" s="73"/>
      <c r="J32" s="73"/>
      <c r="K32" s="73"/>
      <c r="L32" s="73"/>
      <c r="M32" s="73"/>
      <c r="N32" s="73"/>
      <c r="O32" s="73"/>
      <c r="P32" s="73"/>
      <c r="Q32" s="73"/>
      <c r="R32" s="73"/>
      <c r="S32" s="73"/>
      <c r="T32" s="73"/>
      <c r="U32" s="73"/>
      <c r="V32" s="73"/>
      <c r="W32" s="73"/>
      <c r="X32" s="74"/>
      <c r="Y32" s="70"/>
      <c r="Z32" s="70"/>
    </row>
    <row r="33" spans="2:26" ht="18">
      <c r="B33" s="96" t="s">
        <v>91</v>
      </c>
      <c r="C33" s="101">
        <v>3</v>
      </c>
      <c r="D33" s="71"/>
      <c r="E33" s="107"/>
      <c r="F33" s="73"/>
      <c r="G33" s="73"/>
      <c r="H33" s="73"/>
      <c r="I33" s="73"/>
      <c r="J33" s="73"/>
      <c r="K33" s="73"/>
      <c r="L33" s="73"/>
      <c r="M33" s="73"/>
      <c r="N33" s="73"/>
      <c r="O33" s="73"/>
      <c r="P33" s="73"/>
      <c r="Q33" s="73"/>
      <c r="R33" s="73"/>
      <c r="S33" s="73"/>
      <c r="T33" s="73"/>
      <c r="U33" s="73"/>
      <c r="V33" s="73"/>
      <c r="W33" s="73"/>
      <c r="X33" s="74"/>
      <c r="Y33" s="70"/>
      <c r="Z33" s="70"/>
    </row>
    <row r="34" spans="2:26" ht="18">
      <c r="B34" s="96" t="s">
        <v>91</v>
      </c>
      <c r="C34" s="101">
        <v>4</v>
      </c>
      <c r="D34" s="71"/>
      <c r="E34" s="107"/>
      <c r="F34" s="73"/>
      <c r="G34" s="73"/>
      <c r="H34" s="73"/>
      <c r="I34" s="73"/>
      <c r="J34" s="73"/>
      <c r="K34" s="73"/>
      <c r="L34" s="73"/>
      <c r="M34" s="73"/>
      <c r="N34" s="73"/>
      <c r="O34" s="73"/>
      <c r="P34" s="73"/>
      <c r="Q34" s="73"/>
      <c r="R34" s="73"/>
      <c r="S34" s="73"/>
      <c r="T34" s="73"/>
      <c r="U34" s="73"/>
      <c r="V34" s="73"/>
      <c r="W34" s="73"/>
      <c r="X34" s="74"/>
      <c r="Y34" s="70"/>
      <c r="Z34" s="70"/>
    </row>
    <row r="35" spans="2:26" ht="18">
      <c r="B35" s="96" t="s">
        <v>91</v>
      </c>
      <c r="C35" s="101">
        <v>5</v>
      </c>
      <c r="D35" s="71"/>
      <c r="E35" s="107"/>
      <c r="F35" s="73"/>
      <c r="G35" s="73"/>
      <c r="H35" s="73"/>
      <c r="I35" s="73"/>
      <c r="J35" s="73"/>
      <c r="K35" s="73"/>
      <c r="L35" s="73"/>
      <c r="M35" s="73"/>
      <c r="N35" s="73"/>
      <c r="O35" s="73"/>
      <c r="P35" s="73"/>
      <c r="Q35" s="73"/>
      <c r="R35" s="73"/>
      <c r="S35" s="73"/>
      <c r="T35" s="73"/>
      <c r="U35" s="73"/>
      <c r="V35" s="73"/>
      <c r="W35" s="73"/>
      <c r="X35" s="74"/>
      <c r="Y35" s="70"/>
      <c r="Z35" s="70"/>
    </row>
    <row r="36" spans="2:26" ht="18">
      <c r="B36" s="96" t="s">
        <v>91</v>
      </c>
      <c r="C36" s="101">
        <v>6</v>
      </c>
      <c r="D36" s="71"/>
      <c r="E36" s="107"/>
      <c r="F36" s="73"/>
      <c r="G36" s="75"/>
      <c r="H36" s="73"/>
      <c r="I36" s="73"/>
      <c r="J36" s="73"/>
      <c r="K36" s="73"/>
      <c r="L36" s="73"/>
      <c r="M36" s="73"/>
      <c r="N36" s="73"/>
      <c r="O36" s="73"/>
      <c r="P36" s="73"/>
      <c r="Q36" s="73"/>
      <c r="R36" s="73"/>
      <c r="S36" s="73"/>
      <c r="T36" s="73"/>
      <c r="U36" s="73"/>
      <c r="V36" s="73"/>
      <c r="W36" s="73"/>
      <c r="X36" s="74"/>
      <c r="Y36" s="70"/>
      <c r="Z36" s="70"/>
    </row>
    <row r="37" spans="2:26" ht="18">
      <c r="B37" s="96" t="s">
        <v>91</v>
      </c>
      <c r="C37" s="101">
        <v>7</v>
      </c>
      <c r="D37" s="71"/>
      <c r="E37" s="107">
        <f>+'Enrollment dynamics'!D36*'Key Assumptions'!$D$26*('Key Assumptions'!$C$16*0.3+1)</f>
        <v>24978335.153807435</v>
      </c>
      <c r="F37" s="73">
        <f>+'Enrollment dynamics'!E36*'Key Assumptions'!$D$26*('Key Assumptions'!$C$16*0.5+1)</f>
        <v>25920913.838856775</v>
      </c>
      <c r="G37" s="73">
        <f>+'Enrollment dynamics'!F36*'Key Assumptions'!$D$26*('Key Assumptions'!$C$16*0.7+1)</f>
        <v>26863492.523906108</v>
      </c>
      <c r="H37" s="73">
        <f>+'Enrollment dynamics'!G36*'Key Assumptions'!$D$26*(1-'Key Assumptions'!$E$26)*('Key Assumptions'!$C$16*0.9+1)</f>
        <v>11122428.483582178</v>
      </c>
      <c r="I37" s="73">
        <f>+'Enrollment dynamics'!H36*'Key Assumptions'!$D$26*(1-'Key Assumptions'!$E$26)*('Key Assumptions'!$C$16+1)</f>
        <v>11310944.220592046</v>
      </c>
      <c r="J37" s="73">
        <f>+'Enrollment dynamics'!I36*'Key Assumptions'!$D$26*(1-'Key Assumptions'!$E$26)*('Key Assumptions'!$C$16+1)</f>
        <v>11310944.220592046</v>
      </c>
      <c r="K37" s="73">
        <f>+'Enrollment dynamics'!J36*'Key Assumptions'!$D$26*(1-'Key Assumptions'!$E$26)*('Key Assumptions'!$C$16+1)</f>
        <v>11310944.220592046</v>
      </c>
      <c r="L37" s="73">
        <f>+'Enrollment dynamics'!K36*'Key Assumptions'!$D$26*(1-'Key Assumptions'!$E$26)*('Key Assumptions'!$C$16+1)</f>
        <v>11310944.220592046</v>
      </c>
      <c r="M37" s="73">
        <f>+'Enrollment dynamics'!L36*'Key Assumptions'!$D$26*(1-'Key Assumptions'!$E$26)*('Key Assumptions'!$C$16+1)</f>
        <v>11310944.220592046</v>
      </c>
      <c r="N37" s="73">
        <f>+'Enrollment dynamics'!M36*'Key Assumptions'!$D$26*(1-'Key Assumptions'!$E$26)*('Key Assumptions'!$C$16+1)</f>
        <v>11310944.220592046</v>
      </c>
      <c r="O37" s="73">
        <f>+'Enrollment dynamics'!N36*'Key Assumptions'!$D$26*(1-'Key Assumptions'!$E$26)*('Key Assumptions'!$C$16+1)</f>
        <v>11310944.220592046</v>
      </c>
      <c r="P37" s="73">
        <f>+'Enrollment dynamics'!O36*'Key Assumptions'!$D$26*(1-'Key Assumptions'!$E$26)*('Key Assumptions'!$C$16+1)</f>
        <v>11310944.220592046</v>
      </c>
      <c r="Q37" s="73">
        <f>+'Enrollment dynamics'!P36*'Key Assumptions'!$D$26*(1-'Key Assumptions'!$E$26)*('Key Assumptions'!$C$16+1)</f>
        <v>11310944.220592046</v>
      </c>
      <c r="R37" s="73">
        <f>+'Enrollment dynamics'!Q36*'Key Assumptions'!$D$26*(1-'Key Assumptions'!$E$26)*('Key Assumptions'!$C$16+1)</f>
        <v>11310944.220592046</v>
      </c>
      <c r="S37" s="73">
        <f>+'Enrollment dynamics'!R36*'Key Assumptions'!$D$26*(1-'Key Assumptions'!$E$26)*('Key Assumptions'!$C$16+1)</f>
        <v>11310944.220592046</v>
      </c>
      <c r="T37" s="73">
        <f>+'Enrollment dynamics'!S36*'Key Assumptions'!$D$26*(1-'Key Assumptions'!$E$26)*('Key Assumptions'!$C$16+1)</f>
        <v>11310944.220592046</v>
      </c>
      <c r="U37" s="73">
        <f>+'Enrollment dynamics'!T36*'Key Assumptions'!$D$26*(1-'Key Assumptions'!$E$26)*('Key Assumptions'!$C$16+1)</f>
        <v>11310944.220592046</v>
      </c>
      <c r="V37" s="73">
        <f>+'Enrollment dynamics'!U36*'Key Assumptions'!$D$26*(1-'Key Assumptions'!$E$26)*('Key Assumptions'!$C$16+1)</f>
        <v>11310944.220592046</v>
      </c>
      <c r="W37" s="73">
        <f>+'Enrollment dynamics'!V36*'Key Assumptions'!$D$26*(1-'Key Assumptions'!$E$26)*('Key Assumptions'!$C$16+1)</f>
        <v>11310944.220592046</v>
      </c>
      <c r="X37" s="74">
        <f>+'Enrollment dynamics'!W36*'Key Assumptions'!$D$26*(1-'Key Assumptions'!$E$26)*('Key Assumptions'!$C$16+1)</f>
        <v>11310944.220592046</v>
      </c>
      <c r="Y37" s="70"/>
      <c r="Z37" s="70"/>
    </row>
    <row r="38" spans="2:26" ht="18">
      <c r="B38" s="96" t="s">
        <v>91</v>
      </c>
      <c r="C38" s="101">
        <v>8</v>
      </c>
      <c r="D38" s="71"/>
      <c r="E38" s="107"/>
      <c r="F38" s="73"/>
      <c r="G38" s="73"/>
      <c r="H38" s="73"/>
      <c r="I38" s="73"/>
      <c r="J38" s="73"/>
      <c r="K38" s="73"/>
      <c r="L38" s="73"/>
      <c r="M38" s="73"/>
      <c r="N38" s="73"/>
      <c r="O38" s="73"/>
      <c r="P38" s="73"/>
      <c r="Q38" s="73"/>
      <c r="R38" s="73"/>
      <c r="S38" s="73"/>
      <c r="T38" s="73"/>
      <c r="U38" s="73"/>
      <c r="V38" s="73"/>
      <c r="W38" s="73"/>
      <c r="X38" s="74"/>
      <c r="Y38" s="70"/>
      <c r="Z38" s="70"/>
    </row>
    <row r="39" spans="2:26" ht="18">
      <c r="B39" s="96" t="s">
        <v>91</v>
      </c>
      <c r="C39" s="101">
        <v>9</v>
      </c>
      <c r="D39" s="71"/>
      <c r="E39" s="107"/>
      <c r="F39" s="73"/>
      <c r="G39" s="73"/>
      <c r="H39" s="73"/>
      <c r="I39" s="73"/>
      <c r="J39" s="73"/>
      <c r="K39" s="73"/>
      <c r="L39" s="73"/>
      <c r="M39" s="73"/>
      <c r="N39" s="73"/>
      <c r="O39" s="73"/>
      <c r="P39" s="73"/>
      <c r="Q39" s="73"/>
      <c r="R39" s="73"/>
      <c r="S39" s="73"/>
      <c r="T39" s="73"/>
      <c r="U39" s="73"/>
      <c r="V39" s="73"/>
      <c r="W39" s="73"/>
      <c r="X39" s="74"/>
      <c r="Y39" s="70"/>
      <c r="Z39" s="70"/>
    </row>
    <row r="40" spans="2:26" ht="18">
      <c r="B40" s="96" t="s">
        <v>91</v>
      </c>
      <c r="C40" s="101">
        <v>10</v>
      </c>
      <c r="D40" s="71"/>
      <c r="E40" s="107">
        <f>+'Enrollment dynamics'!D39*'Key Assumptions'!$D$25*(1+'Key Assumptions'!$C$18*0.3)</f>
        <v>161338306.96986216</v>
      </c>
      <c r="F40" s="73">
        <f>+'Enrollment dynamics'!E39*'Key Assumptions'!$D$25*(1+'Key Assumptions'!$C$18*0.5)</f>
        <v>169405222.3183553</v>
      </c>
      <c r="G40" s="73">
        <f>+'Enrollment dynamics'!F39*'Key Assumptions'!$D$25*(1+'Key Assumptions'!$C$18*0.7)</f>
        <v>177810948.1114851</v>
      </c>
      <c r="H40" s="73">
        <f>+'Enrollment dynamics'!G39*'Key Assumptions'!$D$25*(1+'Key Assumptions'!$C$18*0.9)</f>
        <v>186568552.7521162</v>
      </c>
      <c r="I40" s="73">
        <f>+'Enrollment dynamics'!H39*'Key Assumptions'!$D$25*(1+'Key Assumptions'!$C$18)</f>
        <v>193928596.57628226</v>
      </c>
      <c r="J40" s="73">
        <f>+'Enrollment dynamics'!I39*'Key Assumptions'!$D$25*(1+'Key Assumptions'!$C$18)</f>
        <v>199746454.47357076</v>
      </c>
      <c r="K40" s="73">
        <f>+'Enrollment dynamics'!J39*'Key Assumptions'!$D$25*(1+'Key Assumptions'!$C$18)</f>
        <v>205738848.10777786</v>
      </c>
      <c r="L40" s="73">
        <f>+'Enrollment dynamics'!K39*'Key Assumptions'!$D$25*(1+'Key Assumptions'!$C$18)</f>
        <v>211911013.5510112</v>
      </c>
      <c r="M40" s="73">
        <f>+'Enrollment dynamics'!L39*'Key Assumptions'!$D$25*(1+'Key Assumptions'!$C$18)</f>
        <v>218268343.95754153</v>
      </c>
      <c r="N40" s="73">
        <f>+'Enrollment dynamics'!M39*'Key Assumptions'!$D$25*(1+'Key Assumptions'!$C$18)</f>
        <v>224816394.2762678</v>
      </c>
      <c r="O40" s="73">
        <f>+'Enrollment dynamics'!N39*'Key Assumptions'!$D$25*(1+'Key Assumptions'!$C$18)</f>
        <v>231560886.10455582</v>
      </c>
      <c r="P40" s="73">
        <f>+'Enrollment dynamics'!O39*'Key Assumptions'!$D$25*(1+'Key Assumptions'!$C$18)</f>
        <v>238507712.68769252</v>
      </c>
      <c r="Q40" s="73">
        <f>+'Enrollment dynamics'!P39*'Key Assumptions'!$D$25*(1+'Key Assumptions'!$C$18)</f>
        <v>245662944.06832328</v>
      </c>
      <c r="R40" s="73">
        <f>+'Enrollment dynamics'!Q39*'Key Assumptions'!$D$25*(1+'Key Assumptions'!$C$18)</f>
        <v>253032832.390373</v>
      </c>
      <c r="S40" s="73">
        <f>+'Enrollment dynamics'!R39*'Key Assumptions'!$D$25*(1+'Key Assumptions'!$C$18)</f>
        <v>260623817.36208418</v>
      </c>
      <c r="T40" s="73">
        <f>+'Enrollment dynamics'!S39*'Key Assumptions'!$D$25*(1+'Key Assumptions'!$C$18)</f>
        <v>268442531.8829467</v>
      </c>
      <c r="U40" s="73">
        <f>+'Enrollment dynamics'!T39*'Key Assumptions'!$D$25*(1+'Key Assumptions'!$C$18)</f>
        <v>276495807.83943516</v>
      </c>
      <c r="V40" s="73">
        <f>+'Enrollment dynamics'!U39*'Key Assumptions'!$D$25*(1+'Key Assumptions'!$C$18)</f>
        <v>284790682.0746182</v>
      </c>
      <c r="W40" s="73">
        <f>+'Enrollment dynamics'!V39*'Key Assumptions'!$D$25*(1+'Key Assumptions'!$C$18)</f>
        <v>293334402.5368568</v>
      </c>
      <c r="X40" s="74">
        <f>+'Enrollment dynamics'!W39*'Key Assumptions'!$D$25*(1+'Key Assumptions'!$C$18)</f>
        <v>302134434.6129624</v>
      </c>
      <c r="Y40" s="70"/>
      <c r="Z40" s="70"/>
    </row>
    <row r="41" spans="2:26" ht="18">
      <c r="B41" s="96" t="s">
        <v>91</v>
      </c>
      <c r="C41" s="101">
        <v>11</v>
      </c>
      <c r="D41" s="71"/>
      <c r="E41" s="107"/>
      <c r="F41" s="73"/>
      <c r="G41" s="73"/>
      <c r="H41" s="73"/>
      <c r="I41" s="73"/>
      <c r="J41" s="73"/>
      <c r="K41" s="73"/>
      <c r="L41" s="73"/>
      <c r="M41" s="73"/>
      <c r="N41" s="73"/>
      <c r="O41" s="73"/>
      <c r="P41" s="73"/>
      <c r="Q41" s="73"/>
      <c r="R41" s="73"/>
      <c r="S41" s="73"/>
      <c r="T41" s="73"/>
      <c r="U41" s="73"/>
      <c r="V41" s="73"/>
      <c r="W41" s="73"/>
      <c r="X41" s="74"/>
      <c r="Y41" s="70"/>
      <c r="Z41" s="70"/>
    </row>
    <row r="42" spans="2:26" ht="18">
      <c r="B42" s="96" t="s">
        <v>91</v>
      </c>
      <c r="C42" s="101">
        <v>12</v>
      </c>
      <c r="D42" s="71"/>
      <c r="E42" s="107">
        <f>+'Enrollment dynamics'!D41*'Key Assumptions'!$D$24*(1+'Key Assumptions'!$C$18*0.1)</f>
        <v>191914628.13934934</v>
      </c>
      <c r="F42" s="73">
        <f>+'Enrollment dynamics'!E41*'Key Assumptions'!$D$24*(1+'Key Assumptions'!$C$18*0.3)</f>
        <v>201586365.33963934</v>
      </c>
      <c r="G42" s="73">
        <f>+'Enrollment dynamics'!F41*'Key Assumptions'!$D$24*(1+'Key Assumptions'!$C$18*0.5)</f>
        <v>211665683.60662135</v>
      </c>
      <c r="H42" s="73">
        <f>+'Enrollment dynamics'!G41*'Key Assumptions'!$D$24*(1+'Key Assumptions'!$C$18*0.7)</f>
        <v>222168333.24081653</v>
      </c>
      <c r="I42" s="73">
        <f>+'Enrollment dynamics'!H41*'Key Assumptions'!$D$24*(1+'Key Assumptions'!$C$18*0.9)</f>
        <v>233110642.7378175</v>
      </c>
      <c r="J42" s="73">
        <f>+'Enrollment dynamics'!I41*'Key Assumptions'!$D$24*(1+'Key Assumptions'!$C$18)</f>
        <v>242306750.66233695</v>
      </c>
      <c r="K42" s="73">
        <f>+'Enrollment dynamics'!J41*'Key Assumptions'!$D$24*(1+'Key Assumptions'!$C$18)</f>
        <v>249575953.18220702</v>
      </c>
      <c r="L42" s="73">
        <f>+'Enrollment dynamics'!K41*'Key Assumptions'!$D$24*(1+'Key Assumptions'!$C$18)</f>
        <v>257063231.77767324</v>
      </c>
      <c r="M42" s="73">
        <f>+'Enrollment dynamics'!L41*'Key Assumptions'!$D$24*(1+'Key Assumptions'!$C$18)</f>
        <v>264775128.73100346</v>
      </c>
      <c r="N42" s="73">
        <f>+'Enrollment dynamics'!M41*'Key Assumptions'!$D$24*(1+'Key Assumptions'!$C$18)</f>
        <v>272718382.59293354</v>
      </c>
      <c r="O42" s="73">
        <f>+'Enrollment dynamics'!N41*'Key Assumptions'!$D$24*(1+'Key Assumptions'!$C$18)</f>
        <v>280899934.0707216</v>
      </c>
      <c r="P42" s="73">
        <f>+'Enrollment dynamics'!O41*'Key Assumptions'!$D$24*(1+'Key Assumptions'!$C$18)</f>
        <v>289326932.09284323</v>
      </c>
      <c r="Q42" s="73">
        <f>+'Enrollment dynamics'!P41*'Key Assumptions'!$D$24*(1+'Key Assumptions'!$C$18)</f>
        <v>298006740.05562854</v>
      </c>
      <c r="R42" s="73">
        <f>+'Enrollment dynamics'!Q41*'Key Assumptions'!$D$24*(1+'Key Assumptions'!$C$18)</f>
        <v>306946942.2572974</v>
      </c>
      <c r="S42" s="73">
        <f>+'Enrollment dynamics'!R41*'Key Assumptions'!$D$24*(1+'Key Assumptions'!$C$18)</f>
        <v>316155350.52501625</v>
      </c>
      <c r="T42" s="73">
        <f>+'Enrollment dynamics'!S41*'Key Assumptions'!$D$24*(1+'Key Assumptions'!$C$18)</f>
        <v>325640011.04076684</v>
      </c>
      <c r="U42" s="73">
        <f>+'Enrollment dynamics'!T41*'Key Assumptions'!$D$24*(1+'Key Assumptions'!$C$18)</f>
        <v>335409211.37198985</v>
      </c>
      <c r="V42" s="73">
        <f>+'Enrollment dynamics'!U41*'Key Assumptions'!$D$24*(1+'Key Assumptions'!$C$18)</f>
        <v>345471487.7131495</v>
      </c>
      <c r="W42" s="73">
        <f>+'Enrollment dynamics'!V41*'Key Assumptions'!$D$24*(1+'Key Assumptions'!$C$18)</f>
        <v>355835632.34454405</v>
      </c>
      <c r="X42" s="74">
        <f>+'Enrollment dynamics'!W41*'Key Assumptions'!$D$24*(1+'Key Assumptions'!$C$18)</f>
        <v>366510701.3148804</v>
      </c>
      <c r="Y42" s="70"/>
      <c r="Z42" s="70"/>
    </row>
    <row r="43" spans="2:26" ht="18">
      <c r="B43" s="96" t="s">
        <v>126</v>
      </c>
      <c r="C43" s="101"/>
      <c r="D43" s="71"/>
      <c r="E43" s="107">
        <v>0</v>
      </c>
      <c r="F43" s="73">
        <v>0</v>
      </c>
      <c r="G43" s="73">
        <v>0</v>
      </c>
      <c r="H43" s="73">
        <v>0</v>
      </c>
      <c r="I43" s="73">
        <f>+'Key Assumptions'!$C$43*'Enrollment dynamics'!H39*('Key Assumptions'!C62+'Key Assumptions'!D25*0.5)*0.1</f>
        <v>868041.1734350603</v>
      </c>
      <c r="J43" s="73">
        <f>+'Key Assumptions'!$C$43*'Enrollment dynamics'!I39*('Key Assumptions'!C62+'Key Assumptions'!D25*0.5)*0.3</f>
        <v>2682247.2259143363</v>
      </c>
      <c r="K43" s="73">
        <f>+'Key Assumptions'!$C$43*'Enrollment dynamics'!J39*('Key Assumptions'!C62+'Key Assumptions'!D25*0.5)*0.5</f>
        <v>4604524.404486278</v>
      </c>
      <c r="L43" s="73">
        <f>+'Key Assumptions'!$C$43*'Enrollment dynamics'!K39*('Key Assumptions'!C62+'Key Assumptions'!D25*0.5)*0.7</f>
        <v>6639724.191269212</v>
      </c>
      <c r="M43" s="73">
        <f>+'Key Assumptions'!$C$43*'Enrollment dynamics'!L39*('Key Assumptions'!C62+'Key Assumptions'!D25*0.5)*0.9</f>
        <v>8792891.893295085</v>
      </c>
      <c r="N43" s="73">
        <f>+'Key Assumptions'!$C$43*'Enrollment dynamics'!M39*('Key Assumptions'!C62+'Key Assumptions'!D25*0.5)</f>
        <v>10062976.277882153</v>
      </c>
      <c r="O43" s="73">
        <f>+'Key Assumptions'!$C$43*'Enrollment dynamics'!N39*('Key Assumptions'!C62+'Key Assumptions'!D25*0.5)</f>
        <v>10364865.566218618</v>
      </c>
      <c r="P43" s="73">
        <f>+'Key Assumptions'!$C$43*'Enrollment dynamics'!O39*('Key Assumptions'!C62+'Key Assumptions'!D25*0.5)</f>
        <v>10675811.533205178</v>
      </c>
      <c r="Q43" s="73">
        <f>+'Key Assumptions'!$C$43*'Enrollment dynamics'!P39*('Key Assumptions'!C62+'Key Assumptions'!D25*0.5)</f>
        <v>10996085.879201334</v>
      </c>
      <c r="R43" s="73">
        <f>+'Key Assumptions'!$C$43*'Enrollment dynamics'!Q39*'Key Assumptions'!C62+'Key Assumptions'!$D$25*0.5</f>
        <v>6294777.408405816</v>
      </c>
      <c r="S43" s="73">
        <f>+'Key Assumptions'!$C$43*'Enrollment dynamics'!R39*'Key Assumptions'!C62+'Key Assumptions'!$D$25*0.5</f>
        <v>6482736.7626389135</v>
      </c>
      <c r="T43" s="73">
        <f>+'Key Assumptions'!$C$43*'Enrollment dynamics'!S39*'Key Assumptions'!C62+'Key Assumptions'!$D$25*0.5</f>
        <v>6676334.897499004</v>
      </c>
      <c r="U43" s="73">
        <f>+'Key Assumptions'!$C$43*'Enrollment dynamics'!T39*'Key Assumptions'!C62+'Key Assumptions'!$D$25*0.5</f>
        <v>6875740.976404898</v>
      </c>
      <c r="V43" s="73">
        <f>+'Key Assumptions'!$C$43*'Enrollment dynamics'!U39*'Key Assumptions'!C62+'Key Assumptions'!$D$25*0.5</f>
        <v>7081129.237677968</v>
      </c>
      <c r="W43" s="73">
        <f>+'Key Assumptions'!$C$43*'Enrollment dynamics'!V39*'Key Assumptions'!C62+'Key Assumptions'!$D$25*0.5</f>
        <v>7292679.14678923</v>
      </c>
      <c r="X43" s="74">
        <f>+'Key Assumptions'!$C$43*'Enrollment dynamics'!W39*'Key Assumptions'!C62+'Key Assumptions'!$D$25*0.5</f>
        <v>7510575.553173831</v>
      </c>
      <c r="Y43" s="70"/>
      <c r="Z43" s="70"/>
    </row>
    <row r="44" spans="2:26" ht="18">
      <c r="B44" s="96" t="s">
        <v>114</v>
      </c>
      <c r="C44" s="101"/>
      <c r="D44" s="71"/>
      <c r="E44" s="107">
        <v>0</v>
      </c>
      <c r="F44" s="73">
        <v>0</v>
      </c>
      <c r="G44" s="73">
        <f>+'Enrollment dynamics'!D42*'Key Assumptions'!$C$42*'Key Assumptions'!$C$61*0.1</f>
        <v>337146.2108595001</v>
      </c>
      <c r="H44" s="73">
        <f>+'Enrollment dynamics'!E42*'Key Assumptions'!$C$42*'Key Assumptions'!C61*0.3</f>
        <v>1011438.6325785001</v>
      </c>
      <c r="I44" s="73">
        <f>+'Enrollment dynamics'!F42*'Key Assumptions'!$C$42*'Key Assumptions'!C61*0.5</f>
        <v>1685731.0542975003</v>
      </c>
      <c r="J44" s="73">
        <f>+'Enrollment dynamics'!G42*'Key Assumptions'!$C$42*'Key Assumptions'!C61*0.7</f>
        <v>2360023.4760165</v>
      </c>
      <c r="K44" s="73">
        <f>+'Enrollment dynamics'!H42*'Key Assumptions'!$C$42*'Key Assumptions'!C61*0.9</f>
        <v>3034315.8977355007</v>
      </c>
      <c r="L44" s="73">
        <f>+'Enrollment dynamics'!I42*'Key Assumptions'!$C$42*'Key Assumptions'!$C$61</f>
        <v>3371462.1085950006</v>
      </c>
      <c r="M44" s="73">
        <f>+'Enrollment dynamics'!J42*'Key Assumptions'!$C$42*'Key Assumptions'!$C$61</f>
        <v>3371462.1085950006</v>
      </c>
      <c r="N44" s="73">
        <f>+'Enrollment dynamics'!K42*'Key Assumptions'!$C$42*'Key Assumptions'!$C$61</f>
        <v>3371462.1085950006</v>
      </c>
      <c r="O44" s="73">
        <f>+'Enrollment dynamics'!L42*'Key Assumptions'!$C$42*'Key Assumptions'!$C$61</f>
        <v>3371462.1085950006</v>
      </c>
      <c r="P44" s="73">
        <f>+'Enrollment dynamics'!M42*'Key Assumptions'!$C$42*'Key Assumptions'!$C$61</f>
        <v>3371462.1085950006</v>
      </c>
      <c r="Q44" s="73">
        <f>+'Enrollment dynamics'!N42*'Key Assumptions'!$C$42*'Key Assumptions'!$C$61</f>
        <v>3371462.1085950006</v>
      </c>
      <c r="R44" s="73">
        <f>+'Enrollment dynamics'!O42*'Key Assumptions'!$C$42*'Key Assumptions'!$C$61</f>
        <v>3371462.1085950006</v>
      </c>
      <c r="S44" s="73">
        <f>+'Enrollment dynamics'!P42*'Key Assumptions'!$C$42*'Key Assumptions'!$C$61</f>
        <v>3371462.1085950006</v>
      </c>
      <c r="T44" s="73">
        <f>+'Enrollment dynamics'!Q42*'Key Assumptions'!$C$42*'Key Assumptions'!$C$61</f>
        <v>3371462.1085950006</v>
      </c>
      <c r="U44" s="73">
        <f>+'Enrollment dynamics'!R42*'Key Assumptions'!$C$42*'Key Assumptions'!$C$61</f>
        <v>3371462.1085950006</v>
      </c>
      <c r="V44" s="73">
        <f>+'Enrollment dynamics'!S42*'Key Assumptions'!$C$42*'Key Assumptions'!$C$61</f>
        <v>3371462.1085950006</v>
      </c>
      <c r="W44" s="73">
        <f>+'Enrollment dynamics'!T42*'Key Assumptions'!$C$42*'Key Assumptions'!$C$61</f>
        <v>3371462.1085950006</v>
      </c>
      <c r="X44" s="73">
        <f>+'Enrollment dynamics'!U42*'Key Assumptions'!$C$42*'Key Assumptions'!$C$61</f>
        <v>3371462.1085950006</v>
      </c>
      <c r="Y44" s="70"/>
      <c r="Z44" s="70"/>
    </row>
    <row r="45" spans="2:26" ht="18">
      <c r="B45" s="96" t="s">
        <v>115</v>
      </c>
      <c r="C45" s="101"/>
      <c r="D45" s="71"/>
      <c r="E45" s="107">
        <v>0</v>
      </c>
      <c r="F45" s="73">
        <v>0</v>
      </c>
      <c r="G45" s="73">
        <v>0</v>
      </c>
      <c r="H45" s="73">
        <v>0</v>
      </c>
      <c r="I45" s="73">
        <f>+'Enrollment dynamics'!D45*'Key Assumptions'!$C$42*'Key Assumptions'!C62*0.1</f>
        <v>653405.9316120001</v>
      </c>
      <c r="J45" s="73">
        <f>+'Enrollment dynamics'!E45*'Key Assumptions'!$C$42*'Key Assumptions'!C62*0.3</f>
        <v>2019024.3286810806</v>
      </c>
      <c r="K45" s="73">
        <f>+'Enrollment dynamics'!F45*'Key Assumptions'!$C$42*'Key Assumptions'!C62*0.5</f>
        <v>3465991.764235855</v>
      </c>
      <c r="L45" s="73">
        <f>+'Enrollment dynamics'!G45*'Key Assumptions'!$C$42*'Key Assumptions'!C62*0.7</f>
        <v>4997960.1240281025</v>
      </c>
      <c r="M45" s="73">
        <f>+'Enrollment dynamics'!H45*'Key Assumptions'!$C$42*'Key Assumptions'!C62*0.9</f>
        <v>6618727.192820073</v>
      </c>
      <c r="N45" s="73">
        <f>+'Enrollment dynamics'!I45*'Key Assumptions'!$C$42*'Key Assumptions'!$C$62</f>
        <v>7574765.565116308</v>
      </c>
      <c r="O45" s="73">
        <f>+'Enrollment dynamics'!J45*'Key Assumptions'!$C$42*'Key Assumptions'!$C$62</f>
        <v>7802008.532069796</v>
      </c>
      <c r="P45" s="73">
        <f>+'Enrollment dynamics'!K45*'Key Assumptions'!$C$42*'Key Assumptions'!$C$62</f>
        <v>8036068.78803189</v>
      </c>
      <c r="Q45" s="73">
        <f>+'Enrollment dynamics'!L45*'Key Assumptions'!$C$42*'Key Assumptions'!$C$62</f>
        <v>8277150.851672847</v>
      </c>
      <c r="R45" s="73">
        <f>+'Enrollment dynamics'!M45*'Key Assumptions'!$C$42*'Key Assumptions'!$C$62</f>
        <v>8525465.377223033</v>
      </c>
      <c r="S45" s="73">
        <f>+'Enrollment dynamics'!N45*'Key Assumptions'!$C$42*'Key Assumptions'!$C$62</f>
        <v>8781229.338539723</v>
      </c>
      <c r="T45" s="73">
        <f>+'Enrollment dynamics'!O45*'Key Assumptions'!$C$42*'Key Assumptions'!$C$62</f>
        <v>9044666.218695916</v>
      </c>
      <c r="U45" s="73">
        <f>+'Enrollment dynamics'!P45*'Key Assumptions'!$C$42*'Key Assumptions'!$C$62</f>
        <v>9316006.205256792</v>
      </c>
      <c r="V45" s="73">
        <f>+'Enrollment dynamics'!Q45*'Key Assumptions'!$C$42*'Key Assumptions'!$C$62</f>
        <v>9595486.391414495</v>
      </c>
      <c r="W45" s="73">
        <f>+'Enrollment dynamics'!R45*'Key Assumptions'!$C$42*'Key Assumptions'!$C$62</f>
        <v>9883350.983156933</v>
      </c>
      <c r="X45" s="73">
        <f>+'Enrollment dynamics'!S45*'Key Assumptions'!$C$42*'Key Assumptions'!$C$62</f>
        <v>10179851.512651637</v>
      </c>
      <c r="Y45" s="70"/>
      <c r="Z45" s="70"/>
    </row>
    <row r="46" spans="2:26" ht="18">
      <c r="B46" s="96" t="s">
        <v>100</v>
      </c>
      <c r="C46" s="101"/>
      <c r="D46" s="71"/>
      <c r="E46" s="107">
        <f>(+E42+E40+E37-E29-E27-E24+E44+E43)*'ERR &amp; Sensitivity Analysis'!$G$27</f>
        <v>8013186.85005036</v>
      </c>
      <c r="F46" s="107">
        <f>(+F42+F40+F37-F29-F27-F24+F44+F43)*'ERR &amp; Sensitivity Analysis'!$G$27</f>
        <v>19761345.758148104</v>
      </c>
      <c r="G46" s="107">
        <f>(+G42+G40+G37-G29-G27-G24+G44+G43)*'ERR &amp; Sensitivity Analysis'!$G$27</f>
        <v>32454380.94191938</v>
      </c>
      <c r="H46" s="107">
        <f>(+H42+H40+H37-H29-H27-H24+H44+H43)*'ERR &amp; Sensitivity Analysis'!$G$27</f>
        <v>29434695.150446393</v>
      </c>
      <c r="I46" s="107">
        <f>(+I42+I40+I37-I29-I27-I24+I44+I43)*'ERR &amp; Sensitivity Analysis'!$G$27</f>
        <v>42110465.987129055</v>
      </c>
      <c r="J46" s="107">
        <f>(+J42+J40+J37-J29-J27-J24+J44+J43)*'ERR &amp; Sensitivity Analysis'!$G$27</f>
        <v>52108349.83015399</v>
      </c>
      <c r="K46" s="107">
        <f>(+K42+K40+K37-K29-K27-K24+K44+K43)*'ERR &amp; Sensitivity Analysis'!$G$27</f>
        <v>60311843.52248123</v>
      </c>
      <c r="L46" s="107">
        <f>(+L42+L40+L37-L29-L27-L24+L44+L43)*'ERR &amp; Sensitivity Analysis'!$G$27</f>
        <v>68535868.05554156</v>
      </c>
      <c r="M46" s="107">
        <f>(+M42+M40+M37-M29-M27-M24+M44+M43)*'ERR &amp; Sensitivity Analysis'!$G$27</f>
        <v>76794342.30408062</v>
      </c>
      <c r="N46" s="107">
        <f>(+N42+N40+N37-N29-N27-N24+N44+N43)*'ERR &amp; Sensitivity Analysis'!$G$27</f>
        <v>84432531.63970979</v>
      </c>
      <c r="O46" s="107">
        <f>(+O42+O40+O37-O29-O27-O24+O44+O43)*'ERR &amp; Sensitivity Analysis'!$G$27</f>
        <v>91374801.01991583</v>
      </c>
      <c r="P46" s="107">
        <f>(+P42+P40+P37-P29-P27-P24+P44+P43)*'ERR &amp; Sensitivity Analysis'!$G$27</f>
        <v>98608195.11367013</v>
      </c>
      <c r="Q46" s="107">
        <f>(+Q42+Q40+Q37-Q29-Q27-Q24+Q44+Q43)*'ERR &amp; Sensitivity Analysis'!$G$27</f>
        <v>106143104.79502177</v>
      </c>
      <c r="R46" s="107">
        <f>(+R42+R40+R37-R29-R27-R24+R44+R43)*'ERR &amp; Sensitivity Analysis'!$G$27</f>
        <v>108959074.75972314</v>
      </c>
      <c r="S46" s="107">
        <f>(+S42+S40+S37-S29-S27-S24+S44+S43)*'ERR &amp; Sensitivity Analysis'!$G$27</f>
        <v>116977759.02340019</v>
      </c>
      <c r="T46" s="107">
        <f>(+T42+T40+T37-T29-T27-T24+T44+T43)*'ERR &amp; Sensitivity Analysis'!$G$27</f>
        <v>125326690.4982875</v>
      </c>
      <c r="U46" s="107">
        <f>(+U42+U40+U37-U29-U27-U24+U44+U43)*'ERR &amp; Sensitivity Analysis'!$G$27</f>
        <v>134017570.3343873</v>
      </c>
      <c r="V46" s="107">
        <f>(+V42+V40+V37-V29-V27-V24+V44+V43)*'ERR &amp; Sensitivity Analysis'!$G$27</f>
        <v>143062486.590875</v>
      </c>
      <c r="W46" s="107">
        <f>(+W42+W40+W37-W29-W27-W24+W44+W43)*'ERR &amp; Sensitivity Analysis'!$G$27</f>
        <v>152473926.56086895</v>
      </c>
      <c r="X46" s="107">
        <f>(+X42+X40+X37-X29-X27-X24+X44+X43)*'ERR &amp; Sensitivity Analysis'!$G$27</f>
        <v>162264789.4802901</v>
      </c>
      <c r="Y46" s="70"/>
      <c r="Z46" s="70"/>
    </row>
    <row r="47" spans="2:24" ht="18">
      <c r="B47" s="96" t="s">
        <v>101</v>
      </c>
      <c r="C47" s="101"/>
      <c r="D47" s="73">
        <f>74940797*'Key Assumptions'!C12</f>
        <v>524585579</v>
      </c>
      <c r="E47" s="107">
        <f>(+$D$47*0.2)*'ERR &amp; Sensitivity Analysis'!$G$26</f>
        <v>104917115.80000001</v>
      </c>
      <c r="F47" s="107">
        <f>(+$D$47*0.2)*'ERR &amp; Sensitivity Analysis'!$G$26</f>
        <v>104917115.80000001</v>
      </c>
      <c r="G47" s="107">
        <f>(+$D$47*0.2)*'ERR &amp; Sensitivity Analysis'!$G$26</f>
        <v>104917115.80000001</v>
      </c>
      <c r="H47" s="107">
        <f>(+$D$47*0.2)*'ERR &amp; Sensitivity Analysis'!$G$26</f>
        <v>104917115.80000001</v>
      </c>
      <c r="I47" s="107">
        <f>(+$D$47*0.2)*'ERR &amp; Sensitivity Analysis'!$G$26</f>
        <v>104917115.80000001</v>
      </c>
      <c r="J47" s="71"/>
      <c r="K47" s="71"/>
      <c r="L47" s="71"/>
      <c r="M47" s="71"/>
      <c r="N47" s="71"/>
      <c r="O47" s="71"/>
      <c r="P47" s="71"/>
      <c r="Q47" s="71"/>
      <c r="R47" s="71"/>
      <c r="S47" s="71"/>
      <c r="T47" s="71"/>
      <c r="U47" s="71"/>
      <c r="V47" s="71"/>
      <c r="W47" s="71"/>
      <c r="X47" s="72"/>
    </row>
    <row r="48" spans="2:24" ht="18">
      <c r="B48" s="96" t="s">
        <v>102</v>
      </c>
      <c r="C48" s="101"/>
      <c r="D48" s="71"/>
      <c r="E48" s="107">
        <f aca="true" t="shared" si="0" ref="E48:X48">+E46-E47</f>
        <v>-96903928.94994965</v>
      </c>
      <c r="F48" s="73">
        <f t="shared" si="0"/>
        <v>-85155770.04185191</v>
      </c>
      <c r="G48" s="73">
        <f t="shared" si="0"/>
        <v>-72462734.85808063</v>
      </c>
      <c r="H48" s="73">
        <f t="shared" si="0"/>
        <v>-75482420.64955363</v>
      </c>
      <c r="I48" s="73">
        <f t="shared" si="0"/>
        <v>-62806649.81287096</v>
      </c>
      <c r="J48" s="73">
        <f t="shared" si="0"/>
        <v>52108349.83015399</v>
      </c>
      <c r="K48" s="73">
        <f t="shared" si="0"/>
        <v>60311843.52248123</v>
      </c>
      <c r="L48" s="73">
        <f t="shared" si="0"/>
        <v>68535868.05554156</v>
      </c>
      <c r="M48" s="73">
        <f t="shared" si="0"/>
        <v>76794342.30408062</v>
      </c>
      <c r="N48" s="73">
        <f t="shared" si="0"/>
        <v>84432531.63970979</v>
      </c>
      <c r="O48" s="73">
        <f t="shared" si="0"/>
        <v>91374801.01991583</v>
      </c>
      <c r="P48" s="73">
        <f t="shared" si="0"/>
        <v>98608195.11367013</v>
      </c>
      <c r="Q48" s="73">
        <f t="shared" si="0"/>
        <v>106143104.79502177</v>
      </c>
      <c r="R48" s="73">
        <f t="shared" si="0"/>
        <v>108959074.75972314</v>
      </c>
      <c r="S48" s="73">
        <f t="shared" si="0"/>
        <v>116977759.02340019</v>
      </c>
      <c r="T48" s="73">
        <f t="shared" si="0"/>
        <v>125326690.4982875</v>
      </c>
      <c r="U48" s="73">
        <f t="shared" si="0"/>
        <v>134017570.3343873</v>
      </c>
      <c r="V48" s="73">
        <f t="shared" si="0"/>
        <v>143062486.590875</v>
      </c>
      <c r="W48" s="73">
        <f t="shared" si="0"/>
        <v>152473926.56086895</v>
      </c>
      <c r="X48" s="74">
        <f t="shared" si="0"/>
        <v>162264789.4802901</v>
      </c>
    </row>
    <row r="49" spans="2:24" ht="18">
      <c r="B49" s="92" t="s">
        <v>103</v>
      </c>
      <c r="C49" s="103">
        <f>+IRR(E48:W48)</f>
        <v>0.13668692507502853</v>
      </c>
      <c r="D49" s="71"/>
      <c r="E49" s="76"/>
      <c r="F49" s="71"/>
      <c r="G49" s="71"/>
      <c r="H49" s="71"/>
      <c r="I49" s="71"/>
      <c r="J49" s="71"/>
      <c r="K49" s="71"/>
      <c r="L49" s="71"/>
      <c r="M49" s="71"/>
      <c r="N49" s="71"/>
      <c r="O49" s="71"/>
      <c r="P49" s="71"/>
      <c r="Q49" s="71"/>
      <c r="R49" s="71"/>
      <c r="S49" s="71"/>
      <c r="T49" s="71"/>
      <c r="U49" s="71"/>
      <c r="V49" s="71"/>
      <c r="W49" s="71"/>
      <c r="X49" s="72"/>
    </row>
    <row r="50" spans="2:24" s="4" customFormat="1" ht="18">
      <c r="B50" s="98" t="s">
        <v>127</v>
      </c>
      <c r="C50" s="7"/>
      <c r="D50" s="77"/>
      <c r="E50" s="93"/>
      <c r="F50" s="77"/>
      <c r="G50" s="77"/>
      <c r="H50" s="77"/>
      <c r="I50" s="77"/>
      <c r="J50" s="77"/>
      <c r="K50" s="77"/>
      <c r="L50" s="77"/>
      <c r="M50" s="77"/>
      <c r="N50" s="77"/>
      <c r="O50" s="77"/>
      <c r="P50" s="77"/>
      <c r="Q50" s="77"/>
      <c r="R50" s="77"/>
      <c r="S50" s="77"/>
      <c r="T50" s="77"/>
      <c r="U50" s="77"/>
      <c r="V50" s="77"/>
      <c r="W50" s="77"/>
      <c r="X50" s="78"/>
    </row>
    <row r="51" spans="2:24" s="4" customFormat="1" ht="18">
      <c r="B51" s="98" t="s">
        <v>137</v>
      </c>
      <c r="D51" s="77"/>
      <c r="E51" s="93"/>
      <c r="F51" s="77"/>
      <c r="G51" s="77"/>
      <c r="H51" s="77"/>
      <c r="I51" s="77"/>
      <c r="J51" s="77"/>
      <c r="K51" s="77"/>
      <c r="L51" s="77"/>
      <c r="M51" s="77"/>
      <c r="N51" s="77"/>
      <c r="O51" s="77"/>
      <c r="P51" s="77"/>
      <c r="Q51" s="77"/>
      <c r="R51" s="77"/>
      <c r="S51" s="77"/>
      <c r="T51" s="77"/>
      <c r="U51" s="77"/>
      <c r="V51" s="77"/>
      <c r="W51" s="77"/>
      <c r="X51" s="78"/>
    </row>
    <row r="52" spans="2:24" s="4" customFormat="1" ht="18">
      <c r="B52" s="99" t="s">
        <v>128</v>
      </c>
      <c r="C52" s="104">
        <v>0.1</v>
      </c>
      <c r="D52" s="77"/>
      <c r="E52" s="93"/>
      <c r="F52" s="77"/>
      <c r="G52" s="77"/>
      <c r="H52" s="77"/>
      <c r="I52" s="77"/>
      <c r="J52" s="77"/>
      <c r="K52" s="77"/>
      <c r="L52" s="77"/>
      <c r="M52" s="77"/>
      <c r="N52" s="77"/>
      <c r="O52" s="77"/>
      <c r="P52" s="77"/>
      <c r="Q52" s="77"/>
      <c r="R52" s="77"/>
      <c r="S52" s="77"/>
      <c r="T52" s="77"/>
      <c r="U52" s="77"/>
      <c r="V52" s="77"/>
      <c r="W52" s="77"/>
      <c r="X52" s="78"/>
    </row>
    <row r="53" spans="2:24" s="4" customFormat="1" ht="18">
      <c r="B53" s="99" t="s">
        <v>130</v>
      </c>
      <c r="C53" s="104"/>
      <c r="D53" s="77"/>
      <c r="E53" s="109">
        <f aca="true" t="shared" si="1" ref="E53:X53">E37+E40+E42-E24-E27-E29+E43</f>
        <v>8013186.85005033</v>
      </c>
      <c r="F53" s="79">
        <f t="shared" si="1"/>
        <v>19761345.758148134</v>
      </c>
      <c r="G53" s="79">
        <f t="shared" si="1"/>
        <v>32117234.73105991</v>
      </c>
      <c r="H53" s="79">
        <f t="shared" si="1"/>
        <v>28423256.517867863</v>
      </c>
      <c r="I53" s="79">
        <f t="shared" si="1"/>
        <v>40424734.932831526</v>
      </c>
      <c r="J53" s="79">
        <f t="shared" si="1"/>
        <v>49748326.35413752</v>
      </c>
      <c r="K53" s="79">
        <f t="shared" si="1"/>
        <v>57277527.624745764</v>
      </c>
      <c r="L53" s="79">
        <f t="shared" si="1"/>
        <v>65164405.946946494</v>
      </c>
      <c r="M53" s="79">
        <f t="shared" si="1"/>
        <v>73422880.19548556</v>
      </c>
      <c r="N53" s="79">
        <f t="shared" si="1"/>
        <v>81061069.53111488</v>
      </c>
      <c r="O53" s="79">
        <f t="shared" si="1"/>
        <v>88003338.91132084</v>
      </c>
      <c r="P53" s="79">
        <f t="shared" si="1"/>
        <v>95236733.0050751</v>
      </c>
      <c r="Q53" s="79">
        <f t="shared" si="1"/>
        <v>102771642.68642686</v>
      </c>
      <c r="R53" s="79">
        <f t="shared" si="1"/>
        <v>105587612.65112814</v>
      </c>
      <c r="S53" s="79">
        <f t="shared" si="1"/>
        <v>113606296.91480513</v>
      </c>
      <c r="T53" s="79">
        <f t="shared" si="1"/>
        <v>121955228.38969247</v>
      </c>
      <c r="U53" s="79">
        <f t="shared" si="1"/>
        <v>130646108.22579226</v>
      </c>
      <c r="V53" s="79">
        <f t="shared" si="1"/>
        <v>139691024.4822799</v>
      </c>
      <c r="W53" s="79">
        <f t="shared" si="1"/>
        <v>149102464.45227388</v>
      </c>
      <c r="X53" s="80">
        <f t="shared" si="1"/>
        <v>158893327.3716951</v>
      </c>
    </row>
    <row r="54" spans="2:24" s="4" customFormat="1" ht="18">
      <c r="B54" s="99" t="s">
        <v>129</v>
      </c>
      <c r="C54" s="104"/>
      <c r="D54" s="77"/>
      <c r="E54" s="109">
        <f>E44+E45</f>
        <v>0</v>
      </c>
      <c r="F54" s="79">
        <f aca="true" t="shared" si="2" ref="F54:X54">F44+F45</f>
        <v>0</v>
      </c>
      <c r="G54" s="79">
        <f t="shared" si="2"/>
        <v>337146.2108595001</v>
      </c>
      <c r="H54" s="79">
        <f t="shared" si="2"/>
        <v>1011438.6325785001</v>
      </c>
      <c r="I54" s="79">
        <f t="shared" si="2"/>
        <v>2339136.9859095</v>
      </c>
      <c r="J54" s="79">
        <f t="shared" si="2"/>
        <v>4379047.804697581</v>
      </c>
      <c r="K54" s="79">
        <f t="shared" si="2"/>
        <v>6500307.661971356</v>
      </c>
      <c r="L54" s="79">
        <f t="shared" si="2"/>
        <v>8369422.232623103</v>
      </c>
      <c r="M54" s="79">
        <f t="shared" si="2"/>
        <v>9990189.301415075</v>
      </c>
      <c r="N54" s="79">
        <f t="shared" si="2"/>
        <v>10946227.673711307</v>
      </c>
      <c r="O54" s="79">
        <f t="shared" si="2"/>
        <v>11173470.640664797</v>
      </c>
      <c r="P54" s="79">
        <f t="shared" si="2"/>
        <v>11407530.89662689</v>
      </c>
      <c r="Q54" s="79">
        <f t="shared" si="2"/>
        <v>11648612.960267847</v>
      </c>
      <c r="R54" s="79">
        <f t="shared" si="2"/>
        <v>11896927.485818034</v>
      </c>
      <c r="S54" s="79">
        <f t="shared" si="2"/>
        <v>12152691.447134724</v>
      </c>
      <c r="T54" s="79">
        <f t="shared" si="2"/>
        <v>12416128.327290917</v>
      </c>
      <c r="U54" s="79">
        <f t="shared" si="2"/>
        <v>12687468.313851792</v>
      </c>
      <c r="V54" s="79">
        <f t="shared" si="2"/>
        <v>12966948.500009496</v>
      </c>
      <c r="W54" s="79">
        <f t="shared" si="2"/>
        <v>13254813.091751933</v>
      </c>
      <c r="X54" s="80">
        <f t="shared" si="2"/>
        <v>13551313.621246638</v>
      </c>
    </row>
    <row r="55" spans="2:24" s="4" customFormat="1" ht="18">
      <c r="B55" s="99" t="s">
        <v>131</v>
      </c>
      <c r="C55" s="105">
        <f>NPV(C52,F46:I46)+E46</f>
        <v>103676586.06898187</v>
      </c>
      <c r="D55" s="77"/>
      <c r="E55" s="93"/>
      <c r="F55" s="77"/>
      <c r="G55" s="77"/>
      <c r="H55" s="77"/>
      <c r="I55" s="77"/>
      <c r="J55" s="77"/>
      <c r="K55" s="77"/>
      <c r="L55" s="77"/>
      <c r="M55" s="77"/>
      <c r="N55" s="77"/>
      <c r="O55" s="77"/>
      <c r="P55" s="77"/>
      <c r="Q55" s="77"/>
      <c r="R55" s="77"/>
      <c r="S55" s="77"/>
      <c r="T55" s="77"/>
      <c r="U55" s="77"/>
      <c r="V55" s="77"/>
      <c r="W55" s="77"/>
      <c r="X55" s="78"/>
    </row>
    <row r="56" spans="2:24" s="4" customFormat="1" ht="18">
      <c r="B56" s="99" t="s">
        <v>132</v>
      </c>
      <c r="C56" s="105">
        <f>NPV(C52,F53:I53)+E53</f>
        <v>101486667.02979475</v>
      </c>
      <c r="D56" s="77"/>
      <c r="E56" s="93"/>
      <c r="F56" s="77"/>
      <c r="G56" s="77"/>
      <c r="H56" s="77"/>
      <c r="I56" s="77"/>
      <c r="J56" s="77"/>
      <c r="K56" s="77"/>
      <c r="L56" s="77"/>
      <c r="M56" s="77"/>
      <c r="N56" s="77"/>
      <c r="O56" s="77"/>
      <c r="P56" s="77"/>
      <c r="Q56" s="77"/>
      <c r="R56" s="77"/>
      <c r="S56" s="77"/>
      <c r="T56" s="77"/>
      <c r="U56" s="77"/>
      <c r="V56" s="77"/>
      <c r="W56" s="77"/>
      <c r="X56" s="78"/>
    </row>
    <row r="57" spans="2:24" s="4" customFormat="1" ht="18">
      <c r="B57" s="99" t="s">
        <v>133</v>
      </c>
      <c r="C57" s="105">
        <f>NPV(C52,F54:I54)+E54</f>
        <v>2636204.0822934527</v>
      </c>
      <c r="D57" s="77"/>
      <c r="E57" s="93"/>
      <c r="F57" s="77"/>
      <c r="G57" s="77"/>
      <c r="H57" s="77"/>
      <c r="I57" s="77"/>
      <c r="J57" s="77"/>
      <c r="K57" s="77"/>
      <c r="L57" s="77"/>
      <c r="M57" s="77"/>
      <c r="N57" s="77"/>
      <c r="O57" s="77"/>
      <c r="P57" s="77"/>
      <c r="Q57" s="77"/>
      <c r="R57" s="77"/>
      <c r="S57" s="77"/>
      <c r="T57" s="77"/>
      <c r="U57" s="77"/>
      <c r="V57" s="77"/>
      <c r="W57" s="77"/>
      <c r="X57" s="78"/>
    </row>
    <row r="58" spans="2:24" s="4" customFormat="1" ht="18">
      <c r="B58" s="99" t="s">
        <v>134</v>
      </c>
      <c r="C58" s="105">
        <f>NPV(C52,F46:X46)+E46</f>
        <v>584283031.5283586</v>
      </c>
      <c r="D58" s="77"/>
      <c r="E58" s="93"/>
      <c r="F58" s="77"/>
      <c r="G58" s="77"/>
      <c r="H58" s="77"/>
      <c r="I58" s="77"/>
      <c r="J58" s="77"/>
      <c r="K58" s="77"/>
      <c r="L58" s="77"/>
      <c r="M58" s="77"/>
      <c r="N58" s="77"/>
      <c r="O58" s="77"/>
      <c r="P58" s="77"/>
      <c r="Q58" s="77"/>
      <c r="R58" s="77"/>
      <c r="S58" s="77"/>
      <c r="T58" s="77"/>
      <c r="U58" s="77"/>
      <c r="V58" s="77"/>
      <c r="W58" s="77"/>
      <c r="X58" s="78"/>
    </row>
    <row r="59" spans="2:24" s="4" customFormat="1" ht="18">
      <c r="B59" s="99" t="s">
        <v>135</v>
      </c>
      <c r="C59" s="105">
        <f>NPV(C52,F53:X53)+E53</f>
        <v>565396516.6607555</v>
      </c>
      <c r="D59" s="77"/>
      <c r="E59" s="93"/>
      <c r="F59" s="77"/>
      <c r="G59" s="77"/>
      <c r="H59" s="77"/>
      <c r="I59" s="77"/>
      <c r="J59" s="77"/>
      <c r="K59" s="77"/>
      <c r="L59" s="77"/>
      <c r="M59" s="77"/>
      <c r="N59" s="77"/>
      <c r="O59" s="77"/>
      <c r="P59" s="77"/>
      <c r="Q59" s="77"/>
      <c r="R59" s="77"/>
      <c r="S59" s="77"/>
      <c r="T59" s="77"/>
      <c r="U59" s="77"/>
      <c r="V59" s="77"/>
      <c r="W59" s="77"/>
      <c r="X59" s="78"/>
    </row>
    <row r="60" spans="2:24" s="4" customFormat="1" ht="18">
      <c r="B60" s="99" t="s">
        <v>136</v>
      </c>
      <c r="C60" s="105">
        <f>NPV(C52,F54:X54)+E54</f>
        <v>54184808.33766087</v>
      </c>
      <c r="D60" s="77"/>
      <c r="E60" s="93"/>
      <c r="F60" s="77"/>
      <c r="G60" s="77"/>
      <c r="H60" s="77"/>
      <c r="I60" s="77"/>
      <c r="J60" s="77"/>
      <c r="K60" s="77"/>
      <c r="L60" s="77"/>
      <c r="M60" s="77"/>
      <c r="N60" s="77"/>
      <c r="O60" s="77"/>
      <c r="P60" s="77"/>
      <c r="Q60" s="77"/>
      <c r="R60" s="77"/>
      <c r="S60" s="77"/>
      <c r="T60" s="77"/>
      <c r="U60" s="77"/>
      <c r="V60" s="77"/>
      <c r="W60" s="77"/>
      <c r="X60" s="78"/>
    </row>
    <row r="61" spans="2:24" s="4" customFormat="1" ht="18">
      <c r="B61" s="98" t="s">
        <v>138</v>
      </c>
      <c r="C61" s="7"/>
      <c r="D61" s="77"/>
      <c r="E61" s="93"/>
      <c r="F61" s="77"/>
      <c r="G61" s="77"/>
      <c r="H61" s="77"/>
      <c r="I61" s="77"/>
      <c r="J61" s="77"/>
      <c r="K61" s="77"/>
      <c r="L61" s="77"/>
      <c r="M61" s="77"/>
      <c r="N61" s="77"/>
      <c r="O61" s="77"/>
      <c r="P61" s="77"/>
      <c r="Q61" s="77"/>
      <c r="R61" s="77"/>
      <c r="S61" s="77"/>
      <c r="T61" s="77"/>
      <c r="U61" s="77"/>
      <c r="V61" s="77"/>
      <c r="W61" s="77"/>
      <c r="X61" s="78"/>
    </row>
    <row r="62" spans="2:24" s="4" customFormat="1" ht="18">
      <c r="B62" s="100" t="s">
        <v>139</v>
      </c>
      <c r="C62" s="106"/>
      <c r="D62" s="81"/>
      <c r="E62" s="110">
        <f>'Enrollment dynamics'!D36+'Enrollment dynamics'!D39+'Enrollment dynamics'!D41</f>
        <v>5344</v>
      </c>
      <c r="F62" s="82">
        <f>E62+'Enrollment dynamics'!E36+'Enrollment dynamics'!E39+'Enrollment dynamics'!E41</f>
        <v>10782.53</v>
      </c>
      <c r="G62" s="82">
        <f>F62+'Enrollment dynamics'!F36+'Enrollment dynamics'!F39</f>
        <v>15795.4022</v>
      </c>
      <c r="H62" s="82">
        <f>G62+'Enrollment dynamics'!G36+'Enrollment dynamics'!G39</f>
        <v>20892.870566</v>
      </c>
      <c r="I62" s="82">
        <f>H62+'Enrollment dynamics'!H36+'Enrollment dynamics'!H39</f>
        <v>26077.47298298</v>
      </c>
      <c r="J62" s="82">
        <f>I62+'Enrollment dynamics'!I36</f>
        <v>28270.47298298</v>
      </c>
      <c r="K62" s="82">
        <f>J62+'Enrollment dynamics'!J36</f>
        <v>30463.47298298</v>
      </c>
      <c r="L62" s="82">
        <f>K62+'Enrollment dynamics'!K36</f>
        <v>32656.47298298</v>
      </c>
      <c r="M62" s="82">
        <f>L62+'Enrollment dynamics'!L36</f>
        <v>34849.472982980005</v>
      </c>
      <c r="N62" s="82">
        <f>M62+'Enrollment dynamics'!M36</f>
        <v>37042.472982980005</v>
      </c>
      <c r="O62" s="82">
        <f>N62+'Enrollment dynamics'!N36</f>
        <v>39235.472982980005</v>
      </c>
      <c r="P62" s="82">
        <f>O62+'Enrollment dynamics'!O36</f>
        <v>41428.472982980005</v>
      </c>
      <c r="Q62" s="82">
        <f>P62+'Enrollment dynamics'!P36</f>
        <v>43621.472982980005</v>
      </c>
      <c r="R62" s="82">
        <f>Q62+'Enrollment dynamics'!Q36</f>
        <v>45814.472982980005</v>
      </c>
      <c r="S62" s="82">
        <f>R62+'Enrollment dynamics'!R36</f>
        <v>48007.472982980005</v>
      </c>
      <c r="T62" s="82">
        <f>S62+'Enrollment dynamics'!S36</f>
        <v>50200.472982980005</v>
      </c>
      <c r="U62" s="82">
        <f>T62+'Enrollment dynamics'!T36</f>
        <v>52393.472982980005</v>
      </c>
      <c r="V62" s="82">
        <f>U62+'Enrollment dynamics'!U36</f>
        <v>54586.472982980005</v>
      </c>
      <c r="W62" s="82">
        <f>V62+'Enrollment dynamics'!V36</f>
        <v>56779.472982980005</v>
      </c>
      <c r="X62" s="83">
        <f>W62+'Enrollment dynamics'!W36</f>
        <v>58972.472982980005</v>
      </c>
    </row>
    <row r="63" s="4" customFormat="1" ht="18"/>
    <row r="64" s="4" customFormat="1" ht="18"/>
    <row r="65" s="4" customFormat="1" ht="18"/>
    <row r="66" s="4" customFormat="1" ht="18"/>
    <row r="67" s="4" customFormat="1" ht="18"/>
    <row r="68" s="4" customFormat="1" ht="18"/>
    <row r="69" spans="2:24" s="4" customFormat="1" ht="18">
      <c r="B69" s="36"/>
      <c r="C69" s="36"/>
      <c r="D69" s="36"/>
      <c r="E69" s="36"/>
      <c r="F69" s="36"/>
      <c r="G69" s="36"/>
      <c r="H69" s="36"/>
      <c r="I69" s="36"/>
      <c r="J69" s="36"/>
      <c r="K69" s="36"/>
      <c r="L69" s="36"/>
      <c r="M69" s="36"/>
      <c r="N69" s="36"/>
      <c r="O69" s="36"/>
      <c r="P69" s="36"/>
      <c r="Q69" s="36"/>
      <c r="R69" s="36"/>
      <c r="S69" s="36"/>
      <c r="T69" s="36"/>
      <c r="U69" s="36"/>
      <c r="V69" s="36"/>
      <c r="W69" s="36"/>
      <c r="X69" s="36"/>
    </row>
  </sheetData>
  <mergeCells count="6">
    <mergeCell ref="B14:X14"/>
    <mergeCell ref="B13:C13"/>
    <mergeCell ref="B5:X5"/>
    <mergeCell ref="B6:X10"/>
    <mergeCell ref="B11:X11"/>
    <mergeCell ref="B12:G12"/>
  </mergeCells>
  <printOptions/>
  <pageMargins left="0.75" right="0.75" top="1" bottom="1" header="0.5" footer="0.5"/>
  <pageSetup fitToHeight="1" fitToWidth="1" horizontalDpi="600" verticalDpi="600" orientation="landscape" scale="26" r:id="rId3"/>
  <headerFooter alignWithMargins="0">
    <oddHeader>&amp;L&amp;G&amp;R&amp;27&amp;A</oddHeader>
    <oddFooter>&amp;R&amp;P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2:W46"/>
  <sheetViews>
    <sheetView showGridLines="0" zoomScale="60" zoomScaleNormal="60" workbookViewId="0" topLeftCell="A1">
      <selection activeCell="E21" sqref="E21"/>
    </sheetView>
  </sheetViews>
  <sheetFormatPr defaultColWidth="9.140625" defaultRowHeight="12.75"/>
  <cols>
    <col min="1" max="1" width="5.7109375" style="40" customWidth="1"/>
    <col min="2" max="2" width="25.140625" style="40" bestFit="1" customWidth="1"/>
    <col min="3" max="3" width="4.421875" style="40" bestFit="1" customWidth="1"/>
    <col min="4" max="23" width="10.00390625" style="40" bestFit="1" customWidth="1"/>
    <col min="24" max="16384" width="9.140625" style="40" customWidth="1"/>
  </cols>
  <sheetData>
    <row r="2" spans="2:5" ht="18">
      <c r="B2" s="37"/>
      <c r="C2" s="37"/>
      <c r="D2" s="37"/>
      <c r="E2" s="37"/>
    </row>
    <row r="3" spans="2:23" ht="20.25" customHeight="1">
      <c r="B3" s="215" t="s">
        <v>158</v>
      </c>
      <c r="C3" s="215"/>
      <c r="D3" s="215"/>
      <c r="E3" s="215"/>
      <c r="F3" s="215"/>
      <c r="G3" s="215"/>
      <c r="H3" s="215"/>
      <c r="I3" s="215"/>
      <c r="J3" s="215"/>
      <c r="K3" s="215"/>
      <c r="L3" s="215"/>
      <c r="M3" s="215"/>
      <c r="N3" s="215"/>
      <c r="O3" s="215"/>
      <c r="P3" s="215"/>
      <c r="Q3" s="215"/>
      <c r="R3" s="215"/>
      <c r="S3" s="215"/>
      <c r="T3" s="215"/>
      <c r="U3" s="215"/>
      <c r="V3" s="215"/>
      <c r="W3" s="215"/>
    </row>
    <row r="4" spans="2:23" ht="18" customHeight="1">
      <c r="B4" s="222" t="s">
        <v>159</v>
      </c>
      <c r="C4" s="222"/>
      <c r="D4" s="222"/>
      <c r="E4" s="222"/>
      <c r="F4" s="222"/>
      <c r="G4" s="222"/>
      <c r="H4" s="222"/>
      <c r="I4" s="222"/>
      <c r="J4" s="222"/>
      <c r="K4" s="222"/>
      <c r="L4" s="222"/>
      <c r="M4" s="222"/>
      <c r="N4" s="222"/>
      <c r="O4" s="222"/>
      <c r="P4" s="222"/>
      <c r="Q4" s="222"/>
      <c r="R4" s="222"/>
      <c r="S4" s="222"/>
      <c r="T4" s="222"/>
      <c r="U4" s="222"/>
      <c r="V4" s="222"/>
      <c r="W4" s="222"/>
    </row>
    <row r="5" spans="2:23" ht="18" customHeight="1">
      <c r="B5" s="222"/>
      <c r="C5" s="222"/>
      <c r="D5" s="222"/>
      <c r="E5" s="222"/>
      <c r="F5" s="222"/>
      <c r="G5" s="222"/>
      <c r="H5" s="222"/>
      <c r="I5" s="222"/>
      <c r="J5" s="222"/>
      <c r="K5" s="222"/>
      <c r="L5" s="222"/>
      <c r="M5" s="222"/>
      <c r="N5" s="222"/>
      <c r="O5" s="222"/>
      <c r="P5" s="222"/>
      <c r="Q5" s="222"/>
      <c r="R5" s="222"/>
      <c r="S5" s="222"/>
      <c r="T5" s="222"/>
      <c r="U5" s="222"/>
      <c r="V5" s="222"/>
      <c r="W5" s="222"/>
    </row>
    <row r="6" spans="2:23" ht="18" customHeight="1">
      <c r="B6" s="222"/>
      <c r="C6" s="222"/>
      <c r="D6" s="222"/>
      <c r="E6" s="222"/>
      <c r="F6" s="222"/>
      <c r="G6" s="222"/>
      <c r="H6" s="222"/>
      <c r="I6" s="222"/>
      <c r="J6" s="222"/>
      <c r="K6" s="222"/>
      <c r="L6" s="222"/>
      <c r="M6" s="222"/>
      <c r="N6" s="222"/>
      <c r="O6" s="222"/>
      <c r="P6" s="222"/>
      <c r="Q6" s="222"/>
      <c r="R6" s="222"/>
      <c r="S6" s="222"/>
      <c r="T6" s="222"/>
      <c r="U6" s="222"/>
      <c r="V6" s="222"/>
      <c r="W6" s="222"/>
    </row>
    <row r="7" spans="2:23" ht="18" customHeight="1">
      <c r="B7" s="222"/>
      <c r="C7" s="222"/>
      <c r="D7" s="222"/>
      <c r="E7" s="222"/>
      <c r="F7" s="222"/>
      <c r="G7" s="222"/>
      <c r="H7" s="222"/>
      <c r="I7" s="222"/>
      <c r="J7" s="222"/>
      <c r="K7" s="222"/>
      <c r="L7" s="222"/>
      <c r="M7" s="222"/>
      <c r="N7" s="222"/>
      <c r="O7" s="222"/>
      <c r="P7" s="222"/>
      <c r="Q7" s="222"/>
      <c r="R7" s="222"/>
      <c r="S7" s="222"/>
      <c r="T7" s="222"/>
      <c r="U7" s="222"/>
      <c r="V7" s="222"/>
      <c r="W7" s="222"/>
    </row>
    <row r="8" spans="2:23" ht="18" customHeight="1">
      <c r="B8" s="222"/>
      <c r="C8" s="222"/>
      <c r="D8" s="222"/>
      <c r="E8" s="222"/>
      <c r="F8" s="222"/>
      <c r="G8" s="222"/>
      <c r="H8" s="222"/>
      <c r="I8" s="222"/>
      <c r="J8" s="222"/>
      <c r="K8" s="222"/>
      <c r="L8" s="222"/>
      <c r="M8" s="222"/>
      <c r="N8" s="222"/>
      <c r="O8" s="222"/>
      <c r="P8" s="222"/>
      <c r="Q8" s="222"/>
      <c r="R8" s="222"/>
      <c r="S8" s="222"/>
      <c r="T8" s="222"/>
      <c r="U8" s="222"/>
      <c r="V8" s="222"/>
      <c r="W8" s="222"/>
    </row>
    <row r="9" spans="2:23" ht="18">
      <c r="B9" s="225" t="s">
        <v>221</v>
      </c>
      <c r="C9" s="225"/>
      <c r="D9" s="225"/>
      <c r="E9" s="225"/>
      <c r="F9" s="225"/>
      <c r="G9" s="225"/>
      <c r="H9" s="225"/>
      <c r="I9" s="225"/>
      <c r="J9" s="225"/>
      <c r="K9" s="225"/>
      <c r="L9" s="225"/>
      <c r="M9" s="225"/>
      <c r="N9" s="225"/>
      <c r="O9" s="225"/>
      <c r="P9" s="225"/>
      <c r="Q9" s="225"/>
      <c r="R9" s="225"/>
      <c r="S9" s="225"/>
      <c r="T9" s="225"/>
      <c r="U9" s="225"/>
      <c r="V9" s="225"/>
      <c r="W9" s="225"/>
    </row>
    <row r="10" spans="2:23" ht="18">
      <c r="B10" s="251" t="s">
        <v>98</v>
      </c>
      <c r="C10" s="252"/>
      <c r="D10" s="252"/>
      <c r="E10" s="252"/>
      <c r="F10" s="252"/>
      <c r="G10" s="252"/>
      <c r="H10" s="252"/>
      <c r="I10" s="252"/>
      <c r="J10" s="252"/>
      <c r="K10" s="252"/>
      <c r="L10" s="252"/>
      <c r="M10" s="252"/>
      <c r="N10" s="252"/>
      <c r="O10" s="252"/>
      <c r="P10" s="252"/>
      <c r="Q10" s="252"/>
      <c r="R10" s="252"/>
      <c r="S10" s="252"/>
      <c r="T10" s="252"/>
      <c r="U10" s="252"/>
      <c r="V10" s="252"/>
      <c r="W10" s="253"/>
    </row>
    <row r="11" spans="2:23" s="54" customFormat="1" ht="18">
      <c r="B11" s="69" t="s">
        <v>0</v>
      </c>
      <c r="C11" s="55"/>
      <c r="D11" s="55">
        <v>1</v>
      </c>
      <c r="E11" s="55">
        <v>2</v>
      </c>
      <c r="F11" s="55">
        <v>3</v>
      </c>
      <c r="G11" s="55">
        <v>4</v>
      </c>
      <c r="H11" s="55">
        <v>5</v>
      </c>
      <c r="I11" s="55">
        <v>6</v>
      </c>
      <c r="J11" s="55">
        <v>7</v>
      </c>
      <c r="K11" s="55">
        <v>8</v>
      </c>
      <c r="L11" s="55">
        <v>9</v>
      </c>
      <c r="M11" s="55">
        <v>10</v>
      </c>
      <c r="N11" s="55">
        <v>11</v>
      </c>
      <c r="O11" s="55">
        <v>12</v>
      </c>
      <c r="P11" s="55">
        <v>13</v>
      </c>
      <c r="Q11" s="55">
        <v>14</v>
      </c>
      <c r="R11" s="55">
        <v>15</v>
      </c>
      <c r="S11" s="55">
        <v>16</v>
      </c>
      <c r="T11" s="55">
        <v>17</v>
      </c>
      <c r="U11" s="55">
        <v>18</v>
      </c>
      <c r="V11" s="55">
        <v>19</v>
      </c>
      <c r="W11" s="56">
        <v>20</v>
      </c>
    </row>
    <row r="12" spans="2:23" ht="18">
      <c r="B12" s="57" t="s">
        <v>93</v>
      </c>
      <c r="C12" s="46"/>
      <c r="D12" s="46"/>
      <c r="E12" s="46"/>
      <c r="F12" s="46"/>
      <c r="G12" s="46"/>
      <c r="H12" s="46"/>
      <c r="I12" s="46"/>
      <c r="J12" s="46"/>
      <c r="K12" s="46"/>
      <c r="L12" s="46"/>
      <c r="M12" s="46"/>
      <c r="N12" s="46"/>
      <c r="O12" s="46"/>
      <c r="P12" s="46"/>
      <c r="Q12" s="46"/>
      <c r="R12" s="46"/>
      <c r="S12" s="46"/>
      <c r="T12" s="46"/>
      <c r="U12" s="46"/>
      <c r="V12" s="46"/>
      <c r="W12" s="47"/>
    </row>
    <row r="13" spans="2:23" ht="18.75">
      <c r="B13" s="61" t="s">
        <v>1</v>
      </c>
      <c r="C13" s="62"/>
      <c r="D13" s="62"/>
      <c r="E13" s="62"/>
      <c r="F13" s="62"/>
      <c r="G13" s="62"/>
      <c r="H13" s="62"/>
      <c r="I13" s="62"/>
      <c r="J13" s="62"/>
      <c r="K13" s="62"/>
      <c r="L13" s="62"/>
      <c r="M13" s="62"/>
      <c r="N13" s="62"/>
      <c r="O13" s="62"/>
      <c r="P13" s="62"/>
      <c r="Q13" s="62"/>
      <c r="R13" s="62"/>
      <c r="S13" s="62"/>
      <c r="T13" s="62"/>
      <c r="U13" s="62"/>
      <c r="V13" s="62"/>
      <c r="W13" s="63"/>
    </row>
    <row r="14" spans="2:23" ht="18">
      <c r="B14" s="45" t="s">
        <v>91</v>
      </c>
      <c r="C14" s="46">
        <v>1</v>
      </c>
      <c r="D14" s="58">
        <f>+'Key Assumptions'!C45</f>
        <v>1910</v>
      </c>
      <c r="E14" s="58">
        <f aca="true" t="shared" si="0" ref="E14:E20">+D14</f>
        <v>1910</v>
      </c>
      <c r="F14" s="58">
        <f aca="true" t="shared" si="1" ref="F14:W14">+E14</f>
        <v>1910</v>
      </c>
      <c r="G14" s="58">
        <f t="shared" si="1"/>
        <v>1910</v>
      </c>
      <c r="H14" s="58">
        <f t="shared" si="1"/>
        <v>1910</v>
      </c>
      <c r="I14" s="58">
        <f t="shared" si="1"/>
        <v>1910</v>
      </c>
      <c r="J14" s="58">
        <f t="shared" si="1"/>
        <v>1910</v>
      </c>
      <c r="K14" s="58">
        <f t="shared" si="1"/>
        <v>1910</v>
      </c>
      <c r="L14" s="58">
        <f t="shared" si="1"/>
        <v>1910</v>
      </c>
      <c r="M14" s="58">
        <f t="shared" si="1"/>
        <v>1910</v>
      </c>
      <c r="N14" s="58">
        <f t="shared" si="1"/>
        <v>1910</v>
      </c>
      <c r="O14" s="58">
        <f t="shared" si="1"/>
        <v>1910</v>
      </c>
      <c r="P14" s="58">
        <f t="shared" si="1"/>
        <v>1910</v>
      </c>
      <c r="Q14" s="58">
        <f t="shared" si="1"/>
        <v>1910</v>
      </c>
      <c r="R14" s="58">
        <f t="shared" si="1"/>
        <v>1910</v>
      </c>
      <c r="S14" s="58">
        <f t="shared" si="1"/>
        <v>1910</v>
      </c>
      <c r="T14" s="58">
        <f t="shared" si="1"/>
        <v>1910</v>
      </c>
      <c r="U14" s="58">
        <f t="shared" si="1"/>
        <v>1910</v>
      </c>
      <c r="V14" s="58">
        <f t="shared" si="1"/>
        <v>1910</v>
      </c>
      <c r="W14" s="59">
        <f t="shared" si="1"/>
        <v>1910</v>
      </c>
    </row>
    <row r="15" spans="2:23" ht="18">
      <c r="B15" s="45" t="s">
        <v>92</v>
      </c>
      <c r="C15" s="46">
        <v>2</v>
      </c>
      <c r="D15" s="58">
        <f>+'Key Assumptions'!C46</f>
        <v>1791</v>
      </c>
      <c r="E15" s="58">
        <f t="shared" si="0"/>
        <v>1791</v>
      </c>
      <c r="F15" s="58">
        <f aca="true" t="shared" si="2" ref="F15:W15">+E15</f>
        <v>1791</v>
      </c>
      <c r="G15" s="58">
        <f t="shared" si="2"/>
        <v>1791</v>
      </c>
      <c r="H15" s="58">
        <f t="shared" si="2"/>
        <v>1791</v>
      </c>
      <c r="I15" s="58">
        <f t="shared" si="2"/>
        <v>1791</v>
      </c>
      <c r="J15" s="58">
        <f t="shared" si="2"/>
        <v>1791</v>
      </c>
      <c r="K15" s="58">
        <f t="shared" si="2"/>
        <v>1791</v>
      </c>
      <c r="L15" s="58">
        <f t="shared" si="2"/>
        <v>1791</v>
      </c>
      <c r="M15" s="58">
        <f t="shared" si="2"/>
        <v>1791</v>
      </c>
      <c r="N15" s="58">
        <f t="shared" si="2"/>
        <v>1791</v>
      </c>
      <c r="O15" s="58">
        <f t="shared" si="2"/>
        <v>1791</v>
      </c>
      <c r="P15" s="58">
        <f t="shared" si="2"/>
        <v>1791</v>
      </c>
      <c r="Q15" s="58">
        <f t="shared" si="2"/>
        <v>1791</v>
      </c>
      <c r="R15" s="58">
        <f t="shared" si="2"/>
        <v>1791</v>
      </c>
      <c r="S15" s="58">
        <f t="shared" si="2"/>
        <v>1791</v>
      </c>
      <c r="T15" s="58">
        <f t="shared" si="2"/>
        <v>1791</v>
      </c>
      <c r="U15" s="58">
        <f t="shared" si="2"/>
        <v>1791</v>
      </c>
      <c r="V15" s="58">
        <f t="shared" si="2"/>
        <v>1791</v>
      </c>
      <c r="W15" s="59">
        <f t="shared" si="2"/>
        <v>1791</v>
      </c>
    </row>
    <row r="16" spans="2:23" ht="18">
      <c r="B16" s="45" t="s">
        <v>91</v>
      </c>
      <c r="C16" s="46">
        <v>3</v>
      </c>
      <c r="D16" s="58">
        <f>+'Key Assumptions'!C47</f>
        <v>1774</v>
      </c>
      <c r="E16" s="58">
        <f t="shared" si="0"/>
        <v>1774</v>
      </c>
      <c r="F16" s="58">
        <f aca="true" t="shared" si="3" ref="F16:W16">+E16</f>
        <v>1774</v>
      </c>
      <c r="G16" s="58">
        <f t="shared" si="3"/>
        <v>1774</v>
      </c>
      <c r="H16" s="58">
        <f t="shared" si="3"/>
        <v>1774</v>
      </c>
      <c r="I16" s="58">
        <f t="shared" si="3"/>
        <v>1774</v>
      </c>
      <c r="J16" s="58">
        <f t="shared" si="3"/>
        <v>1774</v>
      </c>
      <c r="K16" s="58">
        <f t="shared" si="3"/>
        <v>1774</v>
      </c>
      <c r="L16" s="58">
        <f t="shared" si="3"/>
        <v>1774</v>
      </c>
      <c r="M16" s="58">
        <f t="shared" si="3"/>
        <v>1774</v>
      </c>
      <c r="N16" s="58">
        <f t="shared" si="3"/>
        <v>1774</v>
      </c>
      <c r="O16" s="58">
        <f t="shared" si="3"/>
        <v>1774</v>
      </c>
      <c r="P16" s="58">
        <f t="shared" si="3"/>
        <v>1774</v>
      </c>
      <c r="Q16" s="58">
        <f t="shared" si="3"/>
        <v>1774</v>
      </c>
      <c r="R16" s="58">
        <f t="shared" si="3"/>
        <v>1774</v>
      </c>
      <c r="S16" s="58">
        <f t="shared" si="3"/>
        <v>1774</v>
      </c>
      <c r="T16" s="58">
        <f t="shared" si="3"/>
        <v>1774</v>
      </c>
      <c r="U16" s="58">
        <f t="shared" si="3"/>
        <v>1774</v>
      </c>
      <c r="V16" s="58">
        <f t="shared" si="3"/>
        <v>1774</v>
      </c>
      <c r="W16" s="59">
        <f t="shared" si="3"/>
        <v>1774</v>
      </c>
    </row>
    <row r="17" spans="2:23" ht="18">
      <c r="B17" s="45" t="s">
        <v>91</v>
      </c>
      <c r="C17" s="46">
        <v>4</v>
      </c>
      <c r="D17" s="58">
        <f>+'Key Assumptions'!C48</f>
        <v>1844</v>
      </c>
      <c r="E17" s="58">
        <f t="shared" si="0"/>
        <v>1844</v>
      </c>
      <c r="F17" s="58">
        <f aca="true" t="shared" si="4" ref="F17:W17">+E17</f>
        <v>1844</v>
      </c>
      <c r="G17" s="58">
        <f t="shared" si="4"/>
        <v>1844</v>
      </c>
      <c r="H17" s="58">
        <f t="shared" si="4"/>
        <v>1844</v>
      </c>
      <c r="I17" s="58">
        <f t="shared" si="4"/>
        <v>1844</v>
      </c>
      <c r="J17" s="58">
        <f t="shared" si="4"/>
        <v>1844</v>
      </c>
      <c r="K17" s="58">
        <f t="shared" si="4"/>
        <v>1844</v>
      </c>
      <c r="L17" s="58">
        <f t="shared" si="4"/>
        <v>1844</v>
      </c>
      <c r="M17" s="58">
        <f t="shared" si="4"/>
        <v>1844</v>
      </c>
      <c r="N17" s="58">
        <f t="shared" si="4"/>
        <v>1844</v>
      </c>
      <c r="O17" s="58">
        <f t="shared" si="4"/>
        <v>1844</v>
      </c>
      <c r="P17" s="58">
        <f t="shared" si="4"/>
        <v>1844</v>
      </c>
      <c r="Q17" s="58">
        <f t="shared" si="4"/>
        <v>1844</v>
      </c>
      <c r="R17" s="58">
        <f t="shared" si="4"/>
        <v>1844</v>
      </c>
      <c r="S17" s="58">
        <f t="shared" si="4"/>
        <v>1844</v>
      </c>
      <c r="T17" s="58">
        <f t="shared" si="4"/>
        <v>1844</v>
      </c>
      <c r="U17" s="58">
        <f t="shared" si="4"/>
        <v>1844</v>
      </c>
      <c r="V17" s="58">
        <f t="shared" si="4"/>
        <v>1844</v>
      </c>
      <c r="W17" s="59">
        <f t="shared" si="4"/>
        <v>1844</v>
      </c>
    </row>
    <row r="18" spans="2:23" ht="18">
      <c r="B18" s="45" t="s">
        <v>91</v>
      </c>
      <c r="C18" s="46">
        <v>5</v>
      </c>
      <c r="D18" s="58">
        <f>+'Key Assumptions'!C49</f>
        <v>2524</v>
      </c>
      <c r="E18" s="58">
        <f t="shared" si="0"/>
        <v>2524</v>
      </c>
      <c r="F18" s="58">
        <f aca="true" t="shared" si="5" ref="F18:W18">+E18</f>
        <v>2524</v>
      </c>
      <c r="G18" s="58">
        <f t="shared" si="5"/>
        <v>2524</v>
      </c>
      <c r="H18" s="58">
        <f t="shared" si="5"/>
        <v>2524</v>
      </c>
      <c r="I18" s="58">
        <f t="shared" si="5"/>
        <v>2524</v>
      </c>
      <c r="J18" s="58">
        <f t="shared" si="5"/>
        <v>2524</v>
      </c>
      <c r="K18" s="58">
        <f t="shared" si="5"/>
        <v>2524</v>
      </c>
      <c r="L18" s="58">
        <f t="shared" si="5"/>
        <v>2524</v>
      </c>
      <c r="M18" s="58">
        <f t="shared" si="5"/>
        <v>2524</v>
      </c>
      <c r="N18" s="58">
        <f t="shared" si="5"/>
        <v>2524</v>
      </c>
      <c r="O18" s="58">
        <f t="shared" si="5"/>
        <v>2524</v>
      </c>
      <c r="P18" s="58">
        <f t="shared" si="5"/>
        <v>2524</v>
      </c>
      <c r="Q18" s="58">
        <f t="shared" si="5"/>
        <v>2524</v>
      </c>
      <c r="R18" s="58">
        <f t="shared" si="5"/>
        <v>2524</v>
      </c>
      <c r="S18" s="58">
        <f t="shared" si="5"/>
        <v>2524</v>
      </c>
      <c r="T18" s="58">
        <f t="shared" si="5"/>
        <v>2524</v>
      </c>
      <c r="U18" s="58">
        <f t="shared" si="5"/>
        <v>2524</v>
      </c>
      <c r="V18" s="58">
        <f t="shared" si="5"/>
        <v>2524</v>
      </c>
      <c r="W18" s="59">
        <f t="shared" si="5"/>
        <v>2524</v>
      </c>
    </row>
    <row r="19" spans="2:23" ht="18">
      <c r="B19" s="45" t="s">
        <v>91</v>
      </c>
      <c r="C19" s="46">
        <v>6</v>
      </c>
      <c r="D19" s="58">
        <f>+'Key Assumptions'!C50</f>
        <v>2085</v>
      </c>
      <c r="E19" s="58">
        <f t="shared" si="0"/>
        <v>2085</v>
      </c>
      <c r="F19" s="58">
        <f aca="true" t="shared" si="6" ref="F19:W19">+E19</f>
        <v>2085</v>
      </c>
      <c r="G19" s="58">
        <f t="shared" si="6"/>
        <v>2085</v>
      </c>
      <c r="H19" s="58">
        <f t="shared" si="6"/>
        <v>2085</v>
      </c>
      <c r="I19" s="58">
        <f t="shared" si="6"/>
        <v>2085</v>
      </c>
      <c r="J19" s="58">
        <f t="shared" si="6"/>
        <v>2085</v>
      </c>
      <c r="K19" s="58">
        <f t="shared" si="6"/>
        <v>2085</v>
      </c>
      <c r="L19" s="58">
        <f t="shared" si="6"/>
        <v>2085</v>
      </c>
      <c r="M19" s="58">
        <f t="shared" si="6"/>
        <v>2085</v>
      </c>
      <c r="N19" s="58">
        <f t="shared" si="6"/>
        <v>2085</v>
      </c>
      <c r="O19" s="58">
        <f t="shared" si="6"/>
        <v>2085</v>
      </c>
      <c r="P19" s="58">
        <f t="shared" si="6"/>
        <v>2085</v>
      </c>
      <c r="Q19" s="58">
        <f t="shared" si="6"/>
        <v>2085</v>
      </c>
      <c r="R19" s="58">
        <f t="shared" si="6"/>
        <v>2085</v>
      </c>
      <c r="S19" s="58">
        <f t="shared" si="6"/>
        <v>2085</v>
      </c>
      <c r="T19" s="58">
        <f t="shared" si="6"/>
        <v>2085</v>
      </c>
      <c r="U19" s="58">
        <f t="shared" si="6"/>
        <v>2085</v>
      </c>
      <c r="V19" s="58">
        <f t="shared" si="6"/>
        <v>2085</v>
      </c>
      <c r="W19" s="59">
        <f t="shared" si="6"/>
        <v>2085</v>
      </c>
    </row>
    <row r="20" spans="2:23" ht="18">
      <c r="B20" s="45" t="s">
        <v>91</v>
      </c>
      <c r="C20" s="46">
        <v>7</v>
      </c>
      <c r="D20" s="58">
        <f>+'Key Assumptions'!C51</f>
        <v>2193</v>
      </c>
      <c r="E20" s="58">
        <f t="shared" si="0"/>
        <v>2193</v>
      </c>
      <c r="F20" s="58">
        <f aca="true" t="shared" si="7" ref="F20:W20">+E20</f>
        <v>2193</v>
      </c>
      <c r="G20" s="58">
        <f t="shared" si="7"/>
        <v>2193</v>
      </c>
      <c r="H20" s="58">
        <f t="shared" si="7"/>
        <v>2193</v>
      </c>
      <c r="I20" s="58">
        <f t="shared" si="7"/>
        <v>2193</v>
      </c>
      <c r="J20" s="58">
        <f t="shared" si="7"/>
        <v>2193</v>
      </c>
      <c r="K20" s="58">
        <f t="shared" si="7"/>
        <v>2193</v>
      </c>
      <c r="L20" s="58">
        <f t="shared" si="7"/>
        <v>2193</v>
      </c>
      <c r="M20" s="58">
        <f t="shared" si="7"/>
        <v>2193</v>
      </c>
      <c r="N20" s="58">
        <f t="shared" si="7"/>
        <v>2193</v>
      </c>
      <c r="O20" s="58">
        <f t="shared" si="7"/>
        <v>2193</v>
      </c>
      <c r="P20" s="58">
        <f t="shared" si="7"/>
        <v>2193</v>
      </c>
      <c r="Q20" s="58">
        <f t="shared" si="7"/>
        <v>2193</v>
      </c>
      <c r="R20" s="58">
        <f t="shared" si="7"/>
        <v>2193</v>
      </c>
      <c r="S20" s="58">
        <f t="shared" si="7"/>
        <v>2193</v>
      </c>
      <c r="T20" s="58">
        <f t="shared" si="7"/>
        <v>2193</v>
      </c>
      <c r="U20" s="58">
        <f t="shared" si="7"/>
        <v>2193</v>
      </c>
      <c r="V20" s="58">
        <f t="shared" si="7"/>
        <v>2193</v>
      </c>
      <c r="W20" s="59">
        <f t="shared" si="7"/>
        <v>2193</v>
      </c>
    </row>
    <row r="21" spans="2:23" ht="18">
      <c r="B21" s="45" t="s">
        <v>91</v>
      </c>
      <c r="C21" s="46">
        <v>8</v>
      </c>
      <c r="D21" s="58">
        <f>+'Key Assumptions'!C52</f>
        <v>4540</v>
      </c>
      <c r="E21" s="58">
        <f>+D21*(1+'Key Assumptions'!$C$14)</f>
        <v>4630.8</v>
      </c>
      <c r="F21" s="58">
        <f>+E21*(1+'Key Assumptions'!$C$14)</f>
        <v>4723.416</v>
      </c>
      <c r="G21" s="58">
        <f>+F21*(1+'Key Assumptions'!$C$14)</f>
        <v>4817.88432</v>
      </c>
      <c r="H21" s="58">
        <f>+G21*(1+'Key Assumptions'!$C$14)</f>
        <v>4914.2420064</v>
      </c>
      <c r="I21" s="58">
        <f>+H21*(1+'Key Assumptions'!$C$14)</f>
        <v>5012.526846528</v>
      </c>
      <c r="J21" s="58">
        <f>+I21*(1+'Key Assumptions'!$C$14)</f>
        <v>5112.77738345856</v>
      </c>
      <c r="K21" s="58">
        <f>+J21*(1+'Key Assumptions'!$C$14)</f>
        <v>5215.032931127731</v>
      </c>
      <c r="L21" s="58">
        <f>+K21*(1+'Key Assumptions'!$C$14)</f>
        <v>5319.333589750286</v>
      </c>
      <c r="M21" s="58">
        <f>+L21*(1+'Key Assumptions'!$C$14)</f>
        <v>5425.720261545292</v>
      </c>
      <c r="N21" s="58">
        <f>+M21*(1+'Key Assumptions'!$C$14)</f>
        <v>5534.234666776198</v>
      </c>
      <c r="O21" s="58">
        <f>+N21*(1+'Key Assumptions'!$C$14)</f>
        <v>5644.919360111721</v>
      </c>
      <c r="P21" s="58">
        <f>+O21*(1+'Key Assumptions'!$C$14)</f>
        <v>5757.817747313956</v>
      </c>
      <c r="Q21" s="58">
        <f>+P21*(1+'Key Assumptions'!$C$14)</f>
        <v>5872.974102260235</v>
      </c>
      <c r="R21" s="58">
        <f>+Q21*(1+'Key Assumptions'!$C$14)</f>
        <v>5990.43358430544</v>
      </c>
      <c r="S21" s="58">
        <f>+R21*(1+'Key Assumptions'!$C$14)</f>
        <v>6110.2422559915485</v>
      </c>
      <c r="T21" s="58">
        <f>+S21*(1+'Key Assumptions'!$C$14)</f>
        <v>6232.447101111379</v>
      </c>
      <c r="U21" s="58">
        <f>+T21*(1+'Key Assumptions'!$C$14)</f>
        <v>6357.096043133607</v>
      </c>
      <c r="V21" s="58">
        <f>+U21*(1+'Key Assumptions'!$C$14)</f>
        <v>6484.237963996279</v>
      </c>
      <c r="W21" s="59">
        <f>+V21*(1+'Key Assumptions'!$C$14)</f>
        <v>6613.922723276205</v>
      </c>
    </row>
    <row r="22" spans="2:23" ht="18">
      <c r="B22" s="45" t="s">
        <v>91</v>
      </c>
      <c r="C22" s="46">
        <v>9</v>
      </c>
      <c r="D22" s="58">
        <f>+'Key Assumptions'!C53</f>
        <v>3513</v>
      </c>
      <c r="E22" s="58">
        <f>+D22*(1+'Key Assumptions'!$C$14)</f>
        <v>3583.26</v>
      </c>
      <c r="F22" s="58">
        <f>+E22*(1+'Key Assumptions'!$C$14)</f>
        <v>3654.9252</v>
      </c>
      <c r="G22" s="58">
        <f>+F22*(1+'Key Assumptions'!$C$14)</f>
        <v>3728.023704</v>
      </c>
      <c r="H22" s="58">
        <f>+G22*(1+'Key Assumptions'!$C$14)</f>
        <v>3802.58417808</v>
      </c>
      <c r="I22" s="58">
        <f>+H22*(1+'Key Assumptions'!$C$14)</f>
        <v>3878.6358616416</v>
      </c>
      <c r="J22" s="58">
        <f>+I22*(1+'Key Assumptions'!$C$14)</f>
        <v>3956.208578874432</v>
      </c>
      <c r="K22" s="58">
        <f>+J22*(1+'Key Assumptions'!$C$14)</f>
        <v>4035.3327504519207</v>
      </c>
      <c r="L22" s="58">
        <f>+K22*(1+'Key Assumptions'!$C$14)</f>
        <v>4116.039405460959</v>
      </c>
      <c r="M22" s="58">
        <f>+L22*(1+'Key Assumptions'!$C$14)</f>
        <v>4198.360193570178</v>
      </c>
      <c r="N22" s="58">
        <f>+M22*(1+'Key Assumptions'!$C$14)</f>
        <v>4282.3273974415815</v>
      </c>
      <c r="O22" s="58">
        <f>+N22*(1+'Key Assumptions'!$C$14)</f>
        <v>4367.973945390413</v>
      </c>
      <c r="P22" s="58">
        <f>+O22*(1+'Key Assumptions'!$C$14)</f>
        <v>4455.333424298221</v>
      </c>
      <c r="Q22" s="58">
        <f>+P22*(1+'Key Assumptions'!$C$14)</f>
        <v>4544.440092784185</v>
      </c>
      <c r="R22" s="58">
        <f>+Q22*(1+'Key Assumptions'!$C$14)</f>
        <v>4635.328894639869</v>
      </c>
      <c r="S22" s="58">
        <f>+R22*(1+'Key Assumptions'!$C$14)</f>
        <v>4728.035472532666</v>
      </c>
      <c r="T22" s="58">
        <f>+S22*(1+'Key Assumptions'!$C$14)</f>
        <v>4822.596181983319</v>
      </c>
      <c r="U22" s="58">
        <f>+T22*(1+'Key Assumptions'!$C$14)</f>
        <v>4919.0481056229855</v>
      </c>
      <c r="V22" s="58">
        <f>+U22*(1+'Key Assumptions'!$C$14)</f>
        <v>5017.429067735446</v>
      </c>
      <c r="W22" s="59">
        <f>+V22*(1+'Key Assumptions'!$C$14)</f>
        <v>5117.777649090154</v>
      </c>
    </row>
    <row r="23" spans="2:23" ht="18">
      <c r="B23" s="45" t="s">
        <v>91</v>
      </c>
      <c r="C23" s="46">
        <v>10</v>
      </c>
      <c r="D23" s="58">
        <f>+'Key Assumptions'!C54</f>
        <v>2658</v>
      </c>
      <c r="E23" s="58">
        <f>+D23*(1+'Key Assumptions'!$C$14)</f>
        <v>2711.16</v>
      </c>
      <c r="F23" s="58">
        <f>+E23*(1+'Key Assumptions'!$C$14)</f>
        <v>2765.3831999999998</v>
      </c>
      <c r="G23" s="58">
        <f>+F23*(1+'Key Assumptions'!$C$14)</f>
        <v>2820.6908639999997</v>
      </c>
      <c r="H23" s="58">
        <f>+G23*(1+'Key Assumptions'!$C$14)</f>
        <v>2877.1046812799996</v>
      </c>
      <c r="I23" s="58">
        <f>+H23*(1+'Key Assumptions'!$C$14)</f>
        <v>2934.6467749055996</v>
      </c>
      <c r="J23" s="58">
        <f>+I23*(1+'Key Assumptions'!$C$14)</f>
        <v>2993.3397104037117</v>
      </c>
      <c r="K23" s="58">
        <f>+J23*(1+'Key Assumptions'!$C$14)</f>
        <v>3053.206504611786</v>
      </c>
      <c r="L23" s="58">
        <f>+K23*(1+'Key Assumptions'!$C$14)</f>
        <v>3114.2706347040216</v>
      </c>
      <c r="M23" s="58">
        <f>+L23*(1+'Key Assumptions'!$C$14)</f>
        <v>3176.5560473981022</v>
      </c>
      <c r="N23" s="58">
        <f>+M23*(1+'Key Assumptions'!$C$14)</f>
        <v>3240.087168346064</v>
      </c>
      <c r="O23" s="58">
        <f>+N23*(1+'Key Assumptions'!$C$14)</f>
        <v>3304.8889117129856</v>
      </c>
      <c r="P23" s="58">
        <f>+O23*(1+'Key Assumptions'!$C$14)</f>
        <v>3370.9866899472454</v>
      </c>
      <c r="Q23" s="58">
        <f>+P23*(1+'Key Assumptions'!$C$14)</f>
        <v>3438.4064237461903</v>
      </c>
      <c r="R23" s="58">
        <f>+Q23*(1+'Key Assumptions'!$C$14)</f>
        <v>3507.174552221114</v>
      </c>
      <c r="S23" s="58">
        <f>+R23*(1+'Key Assumptions'!$C$14)</f>
        <v>3577.3180432655363</v>
      </c>
      <c r="T23" s="58">
        <f>+S23*(1+'Key Assumptions'!$C$14)</f>
        <v>3648.864404130847</v>
      </c>
      <c r="U23" s="58">
        <f>+T23*(1+'Key Assumptions'!$C$14)</f>
        <v>3721.8416922134643</v>
      </c>
      <c r="V23" s="58">
        <f>+U23*(1+'Key Assumptions'!$C$14)</f>
        <v>3796.2785260577334</v>
      </c>
      <c r="W23" s="59">
        <f>+V23*(1+'Key Assumptions'!$C$14)</f>
        <v>3872.2040965788883</v>
      </c>
    </row>
    <row r="24" spans="2:23" ht="18">
      <c r="B24" s="45" t="s">
        <v>91</v>
      </c>
      <c r="C24" s="46">
        <v>11</v>
      </c>
      <c r="D24" s="58">
        <f>+'Key Assumptions'!C55</f>
        <v>737</v>
      </c>
      <c r="E24" s="58">
        <f>+D24*(1+'Key Assumptions'!$C$14)</f>
        <v>751.74</v>
      </c>
      <c r="F24" s="58">
        <f>+E24*(1+'Key Assumptions'!$C$14)</f>
        <v>766.7748</v>
      </c>
      <c r="G24" s="58">
        <f>+F24*(1+'Key Assumptions'!$C$14)</f>
        <v>782.1102960000001</v>
      </c>
      <c r="H24" s="58">
        <f>+G24*(1+'Key Assumptions'!$C$14)</f>
        <v>797.7525019200001</v>
      </c>
      <c r="I24" s="58">
        <f>+H24*(1+'Key Assumptions'!$C$14)</f>
        <v>813.7075519584001</v>
      </c>
      <c r="J24" s="58">
        <f>+I24*(1+'Key Assumptions'!$C$14)</f>
        <v>829.9817029975682</v>
      </c>
      <c r="K24" s="58">
        <f>+J24*(1+'Key Assumptions'!$C$14)</f>
        <v>846.5813370575196</v>
      </c>
      <c r="L24" s="58">
        <f>+K24*(1+'Key Assumptions'!$C$14)</f>
        <v>863.51296379867</v>
      </c>
      <c r="M24" s="58">
        <f>+L24*(1+'Key Assumptions'!$C$14)</f>
        <v>880.7832230746434</v>
      </c>
      <c r="N24" s="58">
        <f>+M24*(1+'Key Assumptions'!$C$14)</f>
        <v>898.3988875361363</v>
      </c>
      <c r="O24" s="58">
        <f>+N24*(1+'Key Assumptions'!$C$14)</f>
        <v>916.366865286859</v>
      </c>
      <c r="P24" s="58">
        <f>+O24*(1+'Key Assumptions'!$C$14)</f>
        <v>934.6942025925962</v>
      </c>
      <c r="Q24" s="58">
        <f>+P24*(1+'Key Assumptions'!$C$14)</f>
        <v>953.3880866444481</v>
      </c>
      <c r="R24" s="58">
        <f>+Q24*(1+'Key Assumptions'!$C$14)</f>
        <v>972.455848377337</v>
      </c>
      <c r="S24" s="58">
        <f>+R24*(1+'Key Assumptions'!$C$14)</f>
        <v>991.9049653448837</v>
      </c>
      <c r="T24" s="58">
        <f>+S24*(1+'Key Assumptions'!$C$14)</f>
        <v>1011.7430646517814</v>
      </c>
      <c r="U24" s="58">
        <f>+T24*(1+'Key Assumptions'!$C$14)</f>
        <v>1031.9779259448171</v>
      </c>
      <c r="V24" s="58">
        <f>+U24*(1+'Key Assumptions'!$C$14)</f>
        <v>1052.6174844637135</v>
      </c>
      <c r="W24" s="59">
        <f>+V24*(1+'Key Assumptions'!$C$14)</f>
        <v>1073.6698341529877</v>
      </c>
    </row>
    <row r="25" spans="2:23" ht="18">
      <c r="B25" s="45" t="s">
        <v>91</v>
      </c>
      <c r="C25" s="46">
        <v>12</v>
      </c>
      <c r="D25" s="58">
        <f>+'Key Assumptions'!C56</f>
        <v>493</v>
      </c>
      <c r="E25" s="58">
        <f>+D25*(1+'Key Assumptions'!$C$14)</f>
        <v>502.86</v>
      </c>
      <c r="F25" s="58">
        <f>+E25*(1+'Key Assumptions'!$C$14)</f>
        <v>512.9172</v>
      </c>
      <c r="G25" s="58">
        <f>+F25*(1+'Key Assumptions'!$C$14)</f>
        <v>523.175544</v>
      </c>
      <c r="H25" s="58">
        <f>+G25*(1+'Key Assumptions'!$C$14)</f>
        <v>533.63905488</v>
      </c>
      <c r="I25" s="58">
        <f>+H25*(1+'Key Assumptions'!$C$14)</f>
        <v>544.3118359776</v>
      </c>
      <c r="J25" s="58">
        <f>+I25*(1+'Key Assumptions'!$C$14)</f>
        <v>555.198072697152</v>
      </c>
      <c r="K25" s="58">
        <f>+J25*(1+'Key Assumptions'!$C$14)</f>
        <v>566.3020341510951</v>
      </c>
      <c r="L25" s="58">
        <f>+K25*(1+'Key Assumptions'!$C$14)</f>
        <v>577.628074834117</v>
      </c>
      <c r="M25" s="58">
        <f>+L25*(1+'Key Assumptions'!$C$14)</f>
        <v>589.1806363307993</v>
      </c>
      <c r="N25" s="58">
        <f>+M25*(1+'Key Assumptions'!$C$14)</f>
        <v>600.9642490574153</v>
      </c>
      <c r="O25" s="58">
        <f>+N25*(1+'Key Assumptions'!$C$14)</f>
        <v>612.9835340385636</v>
      </c>
      <c r="P25" s="58">
        <f>+O25*(1+'Key Assumptions'!$C$14)</f>
        <v>625.2432047193348</v>
      </c>
      <c r="Q25" s="58">
        <f>+P25*(1+'Key Assumptions'!$C$14)</f>
        <v>637.7480688137215</v>
      </c>
      <c r="R25" s="58">
        <f>+Q25*(1+'Key Assumptions'!$C$14)</f>
        <v>650.5030301899959</v>
      </c>
      <c r="S25" s="58">
        <f>+R25*(1+'Key Assumptions'!$C$14)</f>
        <v>663.5130907937959</v>
      </c>
      <c r="T25" s="58">
        <f>+S25*(1+'Key Assumptions'!$C$14)</f>
        <v>676.7833526096719</v>
      </c>
      <c r="U25" s="58">
        <f>+T25*(1+'Key Assumptions'!$C$14)</f>
        <v>690.3190196618654</v>
      </c>
      <c r="V25" s="58">
        <f>+U25*(1+'Key Assumptions'!$C$14)</f>
        <v>704.1254000551027</v>
      </c>
      <c r="W25" s="59">
        <f>+V25*(1+'Key Assumptions'!$C$14)</f>
        <v>718.2079080562047</v>
      </c>
    </row>
    <row r="26" spans="2:23" ht="18">
      <c r="B26" s="45" t="s">
        <v>120</v>
      </c>
      <c r="C26" s="46"/>
      <c r="D26" s="58">
        <f>SUM(D14:D20)</f>
        <v>14121</v>
      </c>
      <c r="E26" s="58">
        <f aca="true" t="shared" si="8" ref="E26:W26">SUM(E14:E20)</f>
        <v>14121</v>
      </c>
      <c r="F26" s="58">
        <f t="shared" si="8"/>
        <v>14121</v>
      </c>
      <c r="G26" s="58">
        <f t="shared" si="8"/>
        <v>14121</v>
      </c>
      <c r="H26" s="58">
        <f t="shared" si="8"/>
        <v>14121</v>
      </c>
      <c r="I26" s="58">
        <f t="shared" si="8"/>
        <v>14121</v>
      </c>
      <c r="J26" s="58">
        <f t="shared" si="8"/>
        <v>14121</v>
      </c>
      <c r="K26" s="58">
        <f t="shared" si="8"/>
        <v>14121</v>
      </c>
      <c r="L26" s="58">
        <f t="shared" si="8"/>
        <v>14121</v>
      </c>
      <c r="M26" s="58">
        <f t="shared" si="8"/>
        <v>14121</v>
      </c>
      <c r="N26" s="58">
        <f t="shared" si="8"/>
        <v>14121</v>
      </c>
      <c r="O26" s="58">
        <f t="shared" si="8"/>
        <v>14121</v>
      </c>
      <c r="P26" s="58">
        <f t="shared" si="8"/>
        <v>14121</v>
      </c>
      <c r="Q26" s="58">
        <f t="shared" si="8"/>
        <v>14121</v>
      </c>
      <c r="R26" s="58">
        <f t="shared" si="8"/>
        <v>14121</v>
      </c>
      <c r="S26" s="58">
        <f t="shared" si="8"/>
        <v>14121</v>
      </c>
      <c r="T26" s="58">
        <f t="shared" si="8"/>
        <v>14121</v>
      </c>
      <c r="U26" s="58">
        <f t="shared" si="8"/>
        <v>14121</v>
      </c>
      <c r="V26" s="58">
        <f t="shared" si="8"/>
        <v>14121</v>
      </c>
      <c r="W26" s="59">
        <f t="shared" si="8"/>
        <v>14121</v>
      </c>
    </row>
    <row r="27" spans="2:23" ht="18">
      <c r="B27" s="45" t="s">
        <v>121</v>
      </c>
      <c r="C27" s="46"/>
      <c r="D27" s="58">
        <f>SUM(D21:D23)</f>
        <v>10711</v>
      </c>
      <c r="E27" s="58">
        <f aca="true" t="shared" si="9" ref="E27:W27">SUM(E21:E23)</f>
        <v>10925.220000000001</v>
      </c>
      <c r="F27" s="58">
        <f t="shared" si="9"/>
        <v>11143.724400000001</v>
      </c>
      <c r="G27" s="58">
        <f t="shared" si="9"/>
        <v>11366.598888</v>
      </c>
      <c r="H27" s="58">
        <f t="shared" si="9"/>
        <v>11593.93086576</v>
      </c>
      <c r="I27" s="58">
        <f t="shared" si="9"/>
        <v>11825.809483075198</v>
      </c>
      <c r="J27" s="58">
        <f t="shared" si="9"/>
        <v>12062.325672736704</v>
      </c>
      <c r="K27" s="58">
        <f t="shared" si="9"/>
        <v>12303.572186191437</v>
      </c>
      <c r="L27" s="58">
        <f t="shared" si="9"/>
        <v>12549.643629915267</v>
      </c>
      <c r="M27" s="58">
        <f t="shared" si="9"/>
        <v>12800.636502513571</v>
      </c>
      <c r="N27" s="58">
        <f t="shared" si="9"/>
        <v>13056.649232563843</v>
      </c>
      <c r="O27" s="58">
        <f t="shared" si="9"/>
        <v>13317.782217215119</v>
      </c>
      <c r="P27" s="58">
        <f t="shared" si="9"/>
        <v>13584.137861559422</v>
      </c>
      <c r="Q27" s="58">
        <f t="shared" si="9"/>
        <v>13855.82061879061</v>
      </c>
      <c r="R27" s="58">
        <f t="shared" si="9"/>
        <v>14132.93703116642</v>
      </c>
      <c r="S27" s="58">
        <f t="shared" si="9"/>
        <v>14415.59577178975</v>
      </c>
      <c r="T27" s="58">
        <f t="shared" si="9"/>
        <v>14703.907687225546</v>
      </c>
      <c r="U27" s="58">
        <f t="shared" si="9"/>
        <v>14997.985840970057</v>
      </c>
      <c r="V27" s="58">
        <f t="shared" si="9"/>
        <v>15297.945557789459</v>
      </c>
      <c r="W27" s="59">
        <f t="shared" si="9"/>
        <v>15603.904468945246</v>
      </c>
    </row>
    <row r="28" spans="2:23" ht="18">
      <c r="B28" s="45" t="s">
        <v>122</v>
      </c>
      <c r="C28" s="46"/>
      <c r="D28" s="58">
        <f>SUM(D24:D25)</f>
        <v>1230</v>
      </c>
      <c r="E28" s="58">
        <f aca="true" t="shared" si="10" ref="E28:W28">SUM(E24:E25)</f>
        <v>1254.6</v>
      </c>
      <c r="F28" s="58">
        <f t="shared" si="10"/>
        <v>1279.692</v>
      </c>
      <c r="G28" s="58">
        <f t="shared" si="10"/>
        <v>1305.28584</v>
      </c>
      <c r="H28" s="58">
        <f t="shared" si="10"/>
        <v>1331.3915568000002</v>
      </c>
      <c r="I28" s="58">
        <f t="shared" si="10"/>
        <v>1358.0193879360002</v>
      </c>
      <c r="J28" s="58">
        <f t="shared" si="10"/>
        <v>1385.1797756947203</v>
      </c>
      <c r="K28" s="58">
        <f t="shared" si="10"/>
        <v>1412.8833712086148</v>
      </c>
      <c r="L28" s="58">
        <f t="shared" si="10"/>
        <v>1441.141038632787</v>
      </c>
      <c r="M28" s="58">
        <f t="shared" si="10"/>
        <v>1469.9638594054427</v>
      </c>
      <c r="N28" s="58">
        <f t="shared" si="10"/>
        <v>1499.3631365935516</v>
      </c>
      <c r="O28" s="58">
        <f t="shared" si="10"/>
        <v>1529.3503993254226</v>
      </c>
      <c r="P28" s="58">
        <f t="shared" si="10"/>
        <v>1559.937407311931</v>
      </c>
      <c r="Q28" s="58">
        <f t="shared" si="10"/>
        <v>1591.1361554581695</v>
      </c>
      <c r="R28" s="58">
        <f t="shared" si="10"/>
        <v>1622.958878567333</v>
      </c>
      <c r="S28" s="58">
        <f t="shared" si="10"/>
        <v>1655.4180561386797</v>
      </c>
      <c r="T28" s="58">
        <f t="shared" si="10"/>
        <v>1688.5264172614534</v>
      </c>
      <c r="U28" s="58">
        <f t="shared" si="10"/>
        <v>1722.2969456066826</v>
      </c>
      <c r="V28" s="58">
        <f t="shared" si="10"/>
        <v>1756.742884518816</v>
      </c>
      <c r="W28" s="59">
        <f t="shared" si="10"/>
        <v>1791.8777422091925</v>
      </c>
    </row>
    <row r="29" spans="2:23" ht="18.75">
      <c r="B29" s="61" t="s">
        <v>2</v>
      </c>
      <c r="C29" s="62"/>
      <c r="D29" s="62"/>
      <c r="E29" s="62"/>
      <c r="F29" s="62"/>
      <c r="G29" s="62"/>
      <c r="H29" s="62"/>
      <c r="I29" s="62"/>
      <c r="J29" s="62"/>
      <c r="K29" s="62"/>
      <c r="L29" s="62"/>
      <c r="M29" s="62"/>
      <c r="N29" s="62"/>
      <c r="O29" s="62"/>
      <c r="P29" s="62"/>
      <c r="Q29" s="62"/>
      <c r="R29" s="62"/>
      <c r="S29" s="62"/>
      <c r="T29" s="62"/>
      <c r="U29" s="62"/>
      <c r="V29" s="62"/>
      <c r="W29" s="63"/>
    </row>
    <row r="30" spans="2:23" ht="18">
      <c r="B30" s="45" t="s">
        <v>91</v>
      </c>
      <c r="C30" s="46">
        <v>1</v>
      </c>
      <c r="D30" s="58">
        <f>+'Key Assumptions'!C45</f>
        <v>1910</v>
      </c>
      <c r="E30" s="58">
        <f aca="true" t="shared" si="11" ref="E30:E36">+D30</f>
        <v>1910</v>
      </c>
      <c r="F30" s="58">
        <f aca="true" t="shared" si="12" ref="F30:W36">+E30</f>
        <v>1910</v>
      </c>
      <c r="G30" s="58">
        <f t="shared" si="12"/>
        <v>1910</v>
      </c>
      <c r="H30" s="58">
        <f t="shared" si="12"/>
        <v>1910</v>
      </c>
      <c r="I30" s="58">
        <f t="shared" si="12"/>
        <v>1910</v>
      </c>
      <c r="J30" s="58">
        <f t="shared" si="12"/>
        <v>1910</v>
      </c>
      <c r="K30" s="58">
        <f t="shared" si="12"/>
        <v>1910</v>
      </c>
      <c r="L30" s="58">
        <f t="shared" si="12"/>
        <v>1910</v>
      </c>
      <c r="M30" s="58">
        <f t="shared" si="12"/>
        <v>1910</v>
      </c>
      <c r="N30" s="58">
        <f t="shared" si="12"/>
        <v>1910</v>
      </c>
      <c r="O30" s="58">
        <f t="shared" si="12"/>
        <v>1910</v>
      </c>
      <c r="P30" s="58">
        <f t="shared" si="12"/>
        <v>1910</v>
      </c>
      <c r="Q30" s="58">
        <f t="shared" si="12"/>
        <v>1910</v>
      </c>
      <c r="R30" s="58">
        <f t="shared" si="12"/>
        <v>1910</v>
      </c>
      <c r="S30" s="58">
        <f t="shared" si="12"/>
        <v>1910</v>
      </c>
      <c r="T30" s="58">
        <f t="shared" si="12"/>
        <v>1910</v>
      </c>
      <c r="U30" s="58">
        <f t="shared" si="12"/>
        <v>1910</v>
      </c>
      <c r="V30" s="58">
        <f t="shared" si="12"/>
        <v>1910</v>
      </c>
      <c r="W30" s="59">
        <f t="shared" si="12"/>
        <v>1910</v>
      </c>
    </row>
    <row r="31" spans="2:23" ht="18">
      <c r="B31" s="45" t="s">
        <v>92</v>
      </c>
      <c r="C31" s="46">
        <v>2</v>
      </c>
      <c r="D31" s="58">
        <f>+'Key Assumptions'!C46</f>
        <v>1791</v>
      </c>
      <c r="E31" s="58">
        <f t="shared" si="11"/>
        <v>1791</v>
      </c>
      <c r="F31" s="58">
        <f aca="true" t="shared" si="13" ref="F31:T31">+E31</f>
        <v>1791</v>
      </c>
      <c r="G31" s="58">
        <f t="shared" si="13"/>
        <v>1791</v>
      </c>
      <c r="H31" s="58">
        <f t="shared" si="13"/>
        <v>1791</v>
      </c>
      <c r="I31" s="58">
        <f t="shared" si="13"/>
        <v>1791</v>
      </c>
      <c r="J31" s="58">
        <f t="shared" si="13"/>
        <v>1791</v>
      </c>
      <c r="K31" s="58">
        <f t="shared" si="13"/>
        <v>1791</v>
      </c>
      <c r="L31" s="58">
        <f t="shared" si="13"/>
        <v>1791</v>
      </c>
      <c r="M31" s="58">
        <f t="shared" si="13"/>
        <v>1791</v>
      </c>
      <c r="N31" s="58">
        <f t="shared" si="13"/>
        <v>1791</v>
      </c>
      <c r="O31" s="58">
        <f t="shared" si="13"/>
        <v>1791</v>
      </c>
      <c r="P31" s="58">
        <f t="shared" si="13"/>
        <v>1791</v>
      </c>
      <c r="Q31" s="58">
        <f t="shared" si="13"/>
        <v>1791</v>
      </c>
      <c r="R31" s="58">
        <f t="shared" si="13"/>
        <v>1791</v>
      </c>
      <c r="S31" s="58">
        <f t="shared" si="13"/>
        <v>1791</v>
      </c>
      <c r="T31" s="58">
        <f t="shared" si="13"/>
        <v>1791</v>
      </c>
      <c r="U31" s="58">
        <f t="shared" si="12"/>
        <v>1791</v>
      </c>
      <c r="V31" s="58">
        <f t="shared" si="12"/>
        <v>1791</v>
      </c>
      <c r="W31" s="59">
        <f t="shared" si="12"/>
        <v>1791</v>
      </c>
    </row>
    <row r="32" spans="2:23" ht="18">
      <c r="B32" s="45" t="s">
        <v>91</v>
      </c>
      <c r="C32" s="46">
        <v>3</v>
      </c>
      <c r="D32" s="58">
        <f>+'Key Assumptions'!C47</f>
        <v>1774</v>
      </c>
      <c r="E32" s="58">
        <f t="shared" si="11"/>
        <v>1774</v>
      </c>
      <c r="F32" s="58">
        <f t="shared" si="12"/>
        <v>1774</v>
      </c>
      <c r="G32" s="58">
        <f t="shared" si="12"/>
        <v>1774</v>
      </c>
      <c r="H32" s="58">
        <f t="shared" si="12"/>
        <v>1774</v>
      </c>
      <c r="I32" s="58">
        <f t="shared" si="12"/>
        <v>1774</v>
      </c>
      <c r="J32" s="58">
        <f t="shared" si="12"/>
        <v>1774</v>
      </c>
      <c r="K32" s="58">
        <f t="shared" si="12"/>
        <v>1774</v>
      </c>
      <c r="L32" s="58">
        <f t="shared" si="12"/>
        <v>1774</v>
      </c>
      <c r="M32" s="58">
        <f t="shared" si="12"/>
        <v>1774</v>
      </c>
      <c r="N32" s="58">
        <f t="shared" si="12"/>
        <v>1774</v>
      </c>
      <c r="O32" s="58">
        <f t="shared" si="12"/>
        <v>1774</v>
      </c>
      <c r="P32" s="58">
        <f t="shared" si="12"/>
        <v>1774</v>
      </c>
      <c r="Q32" s="58">
        <f t="shared" si="12"/>
        <v>1774</v>
      </c>
      <c r="R32" s="58">
        <f t="shared" si="12"/>
        <v>1774</v>
      </c>
      <c r="S32" s="58">
        <f t="shared" si="12"/>
        <v>1774</v>
      </c>
      <c r="T32" s="58">
        <f t="shared" si="12"/>
        <v>1774</v>
      </c>
      <c r="U32" s="58">
        <f t="shared" si="12"/>
        <v>1774</v>
      </c>
      <c r="V32" s="58">
        <f t="shared" si="12"/>
        <v>1774</v>
      </c>
      <c r="W32" s="59">
        <f t="shared" si="12"/>
        <v>1774</v>
      </c>
    </row>
    <row r="33" spans="2:23" ht="18">
      <c r="B33" s="45" t="s">
        <v>91</v>
      </c>
      <c r="C33" s="46">
        <v>4</v>
      </c>
      <c r="D33" s="58">
        <f>+'Key Assumptions'!C48</f>
        <v>1844</v>
      </c>
      <c r="E33" s="58">
        <f t="shared" si="11"/>
        <v>1844</v>
      </c>
      <c r="F33" s="58">
        <f t="shared" si="12"/>
        <v>1844</v>
      </c>
      <c r="G33" s="58">
        <f t="shared" si="12"/>
        <v>1844</v>
      </c>
      <c r="H33" s="58">
        <f t="shared" si="12"/>
        <v>1844</v>
      </c>
      <c r="I33" s="58">
        <f t="shared" si="12"/>
        <v>1844</v>
      </c>
      <c r="J33" s="58">
        <f t="shared" si="12"/>
        <v>1844</v>
      </c>
      <c r="K33" s="58">
        <f t="shared" si="12"/>
        <v>1844</v>
      </c>
      <c r="L33" s="58">
        <f t="shared" si="12"/>
        <v>1844</v>
      </c>
      <c r="M33" s="58">
        <f t="shared" si="12"/>
        <v>1844</v>
      </c>
      <c r="N33" s="58">
        <f t="shared" si="12"/>
        <v>1844</v>
      </c>
      <c r="O33" s="58">
        <f t="shared" si="12"/>
        <v>1844</v>
      </c>
      <c r="P33" s="58">
        <f t="shared" si="12"/>
        <v>1844</v>
      </c>
      <c r="Q33" s="58">
        <f t="shared" si="12"/>
        <v>1844</v>
      </c>
      <c r="R33" s="58">
        <f t="shared" si="12"/>
        <v>1844</v>
      </c>
      <c r="S33" s="58">
        <f t="shared" si="12"/>
        <v>1844</v>
      </c>
      <c r="T33" s="58">
        <f t="shared" si="12"/>
        <v>1844</v>
      </c>
      <c r="U33" s="58">
        <f t="shared" si="12"/>
        <v>1844</v>
      </c>
      <c r="V33" s="58">
        <f t="shared" si="12"/>
        <v>1844</v>
      </c>
      <c r="W33" s="59">
        <f t="shared" si="12"/>
        <v>1844</v>
      </c>
    </row>
    <row r="34" spans="2:23" ht="18">
      <c r="B34" s="45" t="s">
        <v>91</v>
      </c>
      <c r="C34" s="46">
        <v>5</v>
      </c>
      <c r="D34" s="58">
        <f>+'Key Assumptions'!C49</f>
        <v>2524</v>
      </c>
      <c r="E34" s="58">
        <f t="shared" si="11"/>
        <v>2524</v>
      </c>
      <c r="F34" s="58">
        <f t="shared" si="12"/>
        <v>2524</v>
      </c>
      <c r="G34" s="58">
        <f t="shared" si="12"/>
        <v>2524</v>
      </c>
      <c r="H34" s="58">
        <f t="shared" si="12"/>
        <v>2524</v>
      </c>
      <c r="I34" s="58">
        <f t="shared" si="12"/>
        <v>2524</v>
      </c>
      <c r="J34" s="58">
        <f t="shared" si="12"/>
        <v>2524</v>
      </c>
      <c r="K34" s="58">
        <f t="shared" si="12"/>
        <v>2524</v>
      </c>
      <c r="L34" s="58">
        <f t="shared" si="12"/>
        <v>2524</v>
      </c>
      <c r="M34" s="58">
        <f t="shared" si="12"/>
        <v>2524</v>
      </c>
      <c r="N34" s="58">
        <f t="shared" si="12"/>
        <v>2524</v>
      </c>
      <c r="O34" s="58">
        <f t="shared" si="12"/>
        <v>2524</v>
      </c>
      <c r="P34" s="58">
        <f t="shared" si="12"/>
        <v>2524</v>
      </c>
      <c r="Q34" s="58">
        <f t="shared" si="12"/>
        <v>2524</v>
      </c>
      <c r="R34" s="58">
        <f t="shared" si="12"/>
        <v>2524</v>
      </c>
      <c r="S34" s="58">
        <f t="shared" si="12"/>
        <v>2524</v>
      </c>
      <c r="T34" s="58">
        <f t="shared" si="12"/>
        <v>2524</v>
      </c>
      <c r="U34" s="58">
        <f t="shared" si="12"/>
        <v>2524</v>
      </c>
      <c r="V34" s="58">
        <f t="shared" si="12"/>
        <v>2524</v>
      </c>
      <c r="W34" s="59">
        <f t="shared" si="12"/>
        <v>2524</v>
      </c>
    </row>
    <row r="35" spans="2:23" ht="18">
      <c r="B35" s="45" t="s">
        <v>91</v>
      </c>
      <c r="C35" s="46">
        <v>6</v>
      </c>
      <c r="D35" s="58">
        <f>+'Key Assumptions'!C50</f>
        <v>2085</v>
      </c>
      <c r="E35" s="58">
        <f t="shared" si="11"/>
        <v>2085</v>
      </c>
      <c r="F35" s="58">
        <f t="shared" si="12"/>
        <v>2085</v>
      </c>
      <c r="G35" s="58">
        <f t="shared" si="12"/>
        <v>2085</v>
      </c>
      <c r="H35" s="58">
        <f t="shared" si="12"/>
        <v>2085</v>
      </c>
      <c r="I35" s="58">
        <f t="shared" si="12"/>
        <v>2085</v>
      </c>
      <c r="J35" s="58">
        <f t="shared" si="12"/>
        <v>2085</v>
      </c>
      <c r="K35" s="58">
        <f t="shared" si="12"/>
        <v>2085</v>
      </c>
      <c r="L35" s="58">
        <f t="shared" si="12"/>
        <v>2085</v>
      </c>
      <c r="M35" s="58">
        <f t="shared" si="12"/>
        <v>2085</v>
      </c>
      <c r="N35" s="58">
        <f t="shared" si="12"/>
        <v>2085</v>
      </c>
      <c r="O35" s="58">
        <f t="shared" si="12"/>
        <v>2085</v>
      </c>
      <c r="P35" s="58">
        <f t="shared" si="12"/>
        <v>2085</v>
      </c>
      <c r="Q35" s="58">
        <f t="shared" si="12"/>
        <v>2085</v>
      </c>
      <c r="R35" s="58">
        <f t="shared" si="12"/>
        <v>2085</v>
      </c>
      <c r="S35" s="58">
        <f t="shared" si="12"/>
        <v>2085</v>
      </c>
      <c r="T35" s="58">
        <f t="shared" si="12"/>
        <v>2085</v>
      </c>
      <c r="U35" s="58">
        <f t="shared" si="12"/>
        <v>2085</v>
      </c>
      <c r="V35" s="58">
        <f t="shared" si="12"/>
        <v>2085</v>
      </c>
      <c r="W35" s="59">
        <f t="shared" si="12"/>
        <v>2085</v>
      </c>
    </row>
    <row r="36" spans="2:23" ht="18">
      <c r="B36" s="45" t="s">
        <v>91</v>
      </c>
      <c r="C36" s="46">
        <v>7</v>
      </c>
      <c r="D36" s="58">
        <f>+'Key Assumptions'!C51</f>
        <v>2193</v>
      </c>
      <c r="E36" s="58">
        <f t="shared" si="11"/>
        <v>2193</v>
      </c>
      <c r="F36" s="58">
        <f t="shared" si="12"/>
        <v>2193</v>
      </c>
      <c r="G36" s="58">
        <f t="shared" si="12"/>
        <v>2193</v>
      </c>
      <c r="H36" s="58">
        <f t="shared" si="12"/>
        <v>2193</v>
      </c>
      <c r="I36" s="58">
        <f t="shared" si="12"/>
        <v>2193</v>
      </c>
      <c r="J36" s="58">
        <f t="shared" si="12"/>
        <v>2193</v>
      </c>
      <c r="K36" s="58">
        <f t="shared" si="12"/>
        <v>2193</v>
      </c>
      <c r="L36" s="58">
        <f t="shared" si="12"/>
        <v>2193</v>
      </c>
      <c r="M36" s="58">
        <f t="shared" si="12"/>
        <v>2193</v>
      </c>
      <c r="N36" s="58">
        <f t="shared" si="12"/>
        <v>2193</v>
      </c>
      <c r="O36" s="58">
        <f t="shared" si="12"/>
        <v>2193</v>
      </c>
      <c r="P36" s="58">
        <f t="shared" si="12"/>
        <v>2193</v>
      </c>
      <c r="Q36" s="58">
        <f t="shared" si="12"/>
        <v>2193</v>
      </c>
      <c r="R36" s="58">
        <f t="shared" si="12"/>
        <v>2193</v>
      </c>
      <c r="S36" s="58">
        <f t="shared" si="12"/>
        <v>2193</v>
      </c>
      <c r="T36" s="58">
        <f t="shared" si="12"/>
        <v>2193</v>
      </c>
      <c r="U36" s="58">
        <f t="shared" si="12"/>
        <v>2193</v>
      </c>
      <c r="V36" s="58">
        <f t="shared" si="12"/>
        <v>2193</v>
      </c>
      <c r="W36" s="59">
        <f t="shared" si="12"/>
        <v>2193</v>
      </c>
    </row>
    <row r="37" spans="2:23" ht="18">
      <c r="B37" s="45" t="s">
        <v>91</v>
      </c>
      <c r="C37" s="46">
        <v>8</v>
      </c>
      <c r="D37" s="58">
        <f>+'Key Assumptions'!C52</f>
        <v>4540</v>
      </c>
      <c r="E37" s="58">
        <f>+D37*(1+'Key Assumptions'!$C$15)</f>
        <v>4676.2</v>
      </c>
      <c r="F37" s="58">
        <f>+E37*(1+'Key Assumptions'!$C$15)</f>
        <v>4816.486</v>
      </c>
      <c r="G37" s="58">
        <f>+F37*(1+'Key Assumptions'!$C$15)</f>
        <v>4960.98058</v>
      </c>
      <c r="H37" s="58">
        <f>+G37*(1+'Key Assumptions'!$C$15)</f>
        <v>5109.809997400001</v>
      </c>
      <c r="I37" s="58">
        <f>+H37*(1+'Key Assumptions'!$C$15)</f>
        <v>5263.104297322001</v>
      </c>
      <c r="J37" s="58">
        <f>+I37*(1+'Key Assumptions'!$C$15)</f>
        <v>5420.997426241661</v>
      </c>
      <c r="K37" s="58">
        <f>+J37*(1+'Key Assumptions'!$C$15)</f>
        <v>5583.62734902891</v>
      </c>
      <c r="L37" s="58">
        <f>+K37*(1+'Key Assumptions'!$C$15)</f>
        <v>5751.136169499778</v>
      </c>
      <c r="M37" s="58">
        <f>+L37*(1+'Key Assumptions'!$C$15)</f>
        <v>5923.670254584771</v>
      </c>
      <c r="N37" s="58">
        <f>+M37*(1+'Key Assumptions'!$C$15)</f>
        <v>6101.380362222314</v>
      </c>
      <c r="O37" s="58">
        <f>+N37*(1+'Key Assumptions'!$C$15)</f>
        <v>6284.421773088983</v>
      </c>
      <c r="P37" s="58">
        <f>+O37*(1+'Key Assumptions'!$C$15)</f>
        <v>6472.954426281653</v>
      </c>
      <c r="Q37" s="58">
        <f>+P37*(1+'Key Assumptions'!$C$15)</f>
        <v>6667.143059070102</v>
      </c>
      <c r="R37" s="58">
        <f>+Q37*(1+'Key Assumptions'!$C$15)</f>
        <v>6867.157350842205</v>
      </c>
      <c r="S37" s="58">
        <f>+R37*(1+'Key Assumptions'!$C$15)</f>
        <v>7073.172071367471</v>
      </c>
      <c r="T37" s="58">
        <f>+S37*(1+'Key Assumptions'!$C$15)</f>
        <v>7285.367233508496</v>
      </c>
      <c r="U37" s="58">
        <f>+T37*(1+'Key Assumptions'!$C$15)</f>
        <v>7503.928250513751</v>
      </c>
      <c r="V37" s="58">
        <f>+U37*(1+'Key Assumptions'!$C$15)</f>
        <v>7729.046098029164</v>
      </c>
      <c r="W37" s="59">
        <f>+V37*(1+'Key Assumptions'!$C$15)</f>
        <v>7960.917480970039</v>
      </c>
    </row>
    <row r="38" spans="2:23" ht="18">
      <c r="B38" s="45" t="s">
        <v>91</v>
      </c>
      <c r="C38" s="46">
        <v>9</v>
      </c>
      <c r="D38" s="58">
        <f>+'Key Assumptions'!C53</f>
        <v>3513</v>
      </c>
      <c r="E38" s="58">
        <f>+D38*(1+'Key Assumptions'!$C$15)</f>
        <v>3618.39</v>
      </c>
      <c r="F38" s="58">
        <f>+E38*(1+'Key Assumptions'!$C$15)</f>
        <v>3726.9417</v>
      </c>
      <c r="G38" s="58">
        <f>+F38*(1+'Key Assumptions'!$C$15)</f>
        <v>3838.749951</v>
      </c>
      <c r="H38" s="58">
        <f>+G38*(1+'Key Assumptions'!$C$15)</f>
        <v>3953.91244953</v>
      </c>
      <c r="I38" s="58">
        <f>+H38*(1+'Key Assumptions'!$C$15)</f>
        <v>4072.5298230159</v>
      </c>
      <c r="J38" s="58">
        <f>+I38*(1+'Key Assumptions'!$C$15)</f>
        <v>4194.705717706377</v>
      </c>
      <c r="K38" s="58">
        <f>+J38*(1+'Key Assumptions'!$C$15)</f>
        <v>4320.546889237568</v>
      </c>
      <c r="L38" s="58">
        <f>+K38*(1+'Key Assumptions'!$C$15)</f>
        <v>4450.1632959146955</v>
      </c>
      <c r="M38" s="58">
        <f>+L38*(1+'Key Assumptions'!$C$15)</f>
        <v>4583.668194792136</v>
      </c>
      <c r="N38" s="58">
        <f>+M38*(1+'Key Assumptions'!$C$15)</f>
        <v>4721.178240635901</v>
      </c>
      <c r="O38" s="58">
        <f>+N38*(1+'Key Assumptions'!$C$15)</f>
        <v>4862.813587854977</v>
      </c>
      <c r="P38" s="58">
        <f>+O38*(1+'Key Assumptions'!$C$15)</f>
        <v>5008.697995490626</v>
      </c>
      <c r="Q38" s="58">
        <f>+P38*(1+'Key Assumptions'!$C$15)</f>
        <v>5158.958935355346</v>
      </c>
      <c r="R38" s="58">
        <f>+Q38*(1+'Key Assumptions'!$C$15)</f>
        <v>5313.727703416006</v>
      </c>
      <c r="S38" s="58">
        <f>+R38*(1+'Key Assumptions'!$C$15)</f>
        <v>5473.1395345184865</v>
      </c>
      <c r="T38" s="58">
        <f>+S38*(1+'Key Assumptions'!$C$15)</f>
        <v>5637.333720554041</v>
      </c>
      <c r="U38" s="58">
        <f>+T38*(1+'Key Assumptions'!$C$15)</f>
        <v>5806.453732170662</v>
      </c>
      <c r="V38" s="58">
        <f>+U38*(1+'Key Assumptions'!$C$15)</f>
        <v>5980.647344135782</v>
      </c>
      <c r="W38" s="59">
        <f>+V38*(1+'Key Assumptions'!$C$15)</f>
        <v>6160.066764459856</v>
      </c>
    </row>
    <row r="39" spans="2:23" ht="18">
      <c r="B39" s="45" t="s">
        <v>91</v>
      </c>
      <c r="C39" s="46">
        <v>10</v>
      </c>
      <c r="D39" s="58">
        <f>+'Key Assumptions'!C54</f>
        <v>2658</v>
      </c>
      <c r="E39" s="58">
        <f>+D39*(1+'Key Assumptions'!$C$15)</f>
        <v>2737.7400000000002</v>
      </c>
      <c r="F39" s="58">
        <f>+E39*(1+'Key Assumptions'!$C$15)</f>
        <v>2819.8722000000002</v>
      </c>
      <c r="G39" s="58">
        <f>+F39*(1+'Key Assumptions'!$C$15)</f>
        <v>2904.4683660000005</v>
      </c>
      <c r="H39" s="58">
        <f>+G39*(1+'Key Assumptions'!$C$15)</f>
        <v>2991.6024169800007</v>
      </c>
      <c r="I39" s="58">
        <f>+H39*(1+'Key Assumptions'!$C$15)</f>
        <v>3081.350489489401</v>
      </c>
      <c r="J39" s="58">
        <f>+I39*(1+'Key Assumptions'!$C$15)</f>
        <v>3173.791004174083</v>
      </c>
      <c r="K39" s="58">
        <f>+J39*(1+'Key Assumptions'!$C$15)</f>
        <v>3269.0047342993053</v>
      </c>
      <c r="L39" s="58">
        <f>+K39*(1+'Key Assumptions'!$C$15)</f>
        <v>3367.0748763282845</v>
      </c>
      <c r="M39" s="58">
        <f>+L39*(1+'Key Assumptions'!$C$15)</f>
        <v>3468.087122618133</v>
      </c>
      <c r="N39" s="58">
        <f>+M39*(1+'Key Assumptions'!$C$15)</f>
        <v>3572.129736296677</v>
      </c>
      <c r="O39" s="58">
        <f>+N39*(1+'Key Assumptions'!$C$15)</f>
        <v>3679.2936283855774</v>
      </c>
      <c r="P39" s="58">
        <f>+O39*(1+'Key Assumptions'!$C$15)</f>
        <v>3789.672437237145</v>
      </c>
      <c r="Q39" s="58">
        <f>+P39*(1+'Key Assumptions'!$C$15)</f>
        <v>3903.3626103542592</v>
      </c>
      <c r="R39" s="58">
        <f>+Q39*(1+'Key Assumptions'!$C$15)</f>
        <v>4020.4634886648873</v>
      </c>
      <c r="S39" s="58">
        <f>+R39*(1+'Key Assumptions'!$C$15)</f>
        <v>4141.077393324834</v>
      </c>
      <c r="T39" s="58">
        <f>+S39*(1+'Key Assumptions'!$C$15)</f>
        <v>4265.309715124579</v>
      </c>
      <c r="U39" s="58">
        <f>+T39*(1+'Key Assumptions'!$C$15)</f>
        <v>4393.269006578317</v>
      </c>
      <c r="V39" s="58">
        <f>+U39*(1+'Key Assumptions'!$C$15)</f>
        <v>4525.0670767756665</v>
      </c>
      <c r="W39" s="59">
        <f>+V39*(1+'Key Assumptions'!$C$15)</f>
        <v>4660.8190890789365</v>
      </c>
    </row>
    <row r="40" spans="2:23" ht="18">
      <c r="B40" s="45" t="s">
        <v>91</v>
      </c>
      <c r="C40" s="46">
        <v>11</v>
      </c>
      <c r="D40" s="58">
        <f>+'Key Assumptions'!C55</f>
        <v>737</v>
      </c>
      <c r="E40" s="58">
        <f>+D40*(1+'Key Assumptions'!$C$15)</f>
        <v>759.11</v>
      </c>
      <c r="F40" s="58">
        <f>+E40*(1+'Key Assumptions'!$C$15)</f>
        <v>781.8833000000001</v>
      </c>
      <c r="G40" s="58">
        <f>+F40*(1+'Key Assumptions'!$C$15)</f>
        <v>805.3397990000001</v>
      </c>
      <c r="H40" s="58">
        <f>+G40*(1+'Key Assumptions'!$C$15)</f>
        <v>829.4999929700001</v>
      </c>
      <c r="I40" s="58">
        <f>+H40*(1+'Key Assumptions'!$C$15)</f>
        <v>854.3849927591001</v>
      </c>
      <c r="J40" s="58">
        <f>+I40*(1+'Key Assumptions'!$C$15)</f>
        <v>880.0165425418732</v>
      </c>
      <c r="K40" s="58">
        <f>+J40*(1+'Key Assumptions'!$C$15)</f>
        <v>906.4170388181294</v>
      </c>
      <c r="L40" s="58">
        <f>+K40*(1+'Key Assumptions'!$C$15)</f>
        <v>933.6095499826733</v>
      </c>
      <c r="M40" s="58">
        <f>+L40*(1+'Key Assumptions'!$C$15)</f>
        <v>961.6178364821536</v>
      </c>
      <c r="N40" s="58">
        <f>+M40*(1+'Key Assumptions'!$C$15)</f>
        <v>990.4663715766183</v>
      </c>
      <c r="O40" s="58">
        <f>+N40*(1+'Key Assumptions'!$C$15)</f>
        <v>1020.1803627239168</v>
      </c>
      <c r="P40" s="58">
        <f>+O40*(1+'Key Assumptions'!$C$15)</f>
        <v>1050.7857736056344</v>
      </c>
      <c r="Q40" s="58">
        <f>+P40*(1+'Key Assumptions'!$C$15)</f>
        <v>1082.3093468138034</v>
      </c>
      <c r="R40" s="58">
        <f>+Q40*(1+'Key Assumptions'!$C$15)</f>
        <v>1114.7786272182175</v>
      </c>
      <c r="S40" s="58">
        <f>+R40*(1+'Key Assumptions'!$C$15)</f>
        <v>1148.221986034764</v>
      </c>
      <c r="T40" s="58">
        <f>+S40*(1+'Key Assumptions'!$C$15)</f>
        <v>1182.668645615807</v>
      </c>
      <c r="U40" s="58">
        <f>+T40*(1+'Key Assumptions'!$C$15)</f>
        <v>1218.1487049842813</v>
      </c>
      <c r="V40" s="58">
        <f>+U40*(1+'Key Assumptions'!$C$15)</f>
        <v>1254.6931661338097</v>
      </c>
      <c r="W40" s="59">
        <f>+V40*(1+'Key Assumptions'!$C$15)</f>
        <v>1292.333961117824</v>
      </c>
    </row>
    <row r="41" spans="2:23" ht="18">
      <c r="B41" s="45" t="s">
        <v>91</v>
      </c>
      <c r="C41" s="46">
        <v>12</v>
      </c>
      <c r="D41" s="58">
        <f>+'Key Assumptions'!C56</f>
        <v>493</v>
      </c>
      <c r="E41" s="58">
        <f>+D41*(1+'Key Assumptions'!$C$15)</f>
        <v>507.79</v>
      </c>
      <c r="F41" s="58">
        <f>+E41*(1+'Key Assumptions'!$C$15)</f>
        <v>523.0237000000001</v>
      </c>
      <c r="G41" s="58">
        <f>+F41*(1+'Key Assumptions'!$C$15)</f>
        <v>538.714411</v>
      </c>
      <c r="H41" s="58">
        <f>+G41*(1+'Key Assumptions'!$C$15)</f>
        <v>554.8758433300001</v>
      </c>
      <c r="I41" s="58">
        <f>+H41*(1+'Key Assumptions'!$C$15)</f>
        <v>571.5221186299001</v>
      </c>
      <c r="J41" s="58">
        <f>+I41*(1+'Key Assumptions'!$C$15)</f>
        <v>588.6677821887971</v>
      </c>
      <c r="K41" s="58">
        <f>+J41*(1+'Key Assumptions'!$C$15)</f>
        <v>606.327815654461</v>
      </c>
      <c r="L41" s="58">
        <f>+K41*(1+'Key Assumptions'!$C$15)</f>
        <v>624.5176501240949</v>
      </c>
      <c r="M41" s="58">
        <f>+L41*(1+'Key Assumptions'!$C$15)</f>
        <v>643.2531796278178</v>
      </c>
      <c r="N41" s="58">
        <f>+M41*(1+'Key Assumptions'!$C$15)</f>
        <v>662.5507750166523</v>
      </c>
      <c r="O41" s="58">
        <f>+N41*(1+'Key Assumptions'!$C$15)</f>
        <v>682.4272982671519</v>
      </c>
      <c r="P41" s="58">
        <f>+O41*(1+'Key Assumptions'!$C$15)</f>
        <v>702.9001172151665</v>
      </c>
      <c r="Q41" s="58">
        <f>+P41*(1+'Key Assumptions'!$C$15)</f>
        <v>723.9871207316214</v>
      </c>
      <c r="R41" s="58">
        <f>+Q41*(1+'Key Assumptions'!$C$15)</f>
        <v>745.70673435357</v>
      </c>
      <c r="S41" s="58">
        <f>+R41*(1+'Key Assumptions'!$C$15)</f>
        <v>768.0779363841772</v>
      </c>
      <c r="T41" s="58">
        <f>+S41*(1+'Key Assumptions'!$C$15)</f>
        <v>791.1202744757026</v>
      </c>
      <c r="U41" s="58">
        <f>+T41*(1+'Key Assumptions'!$C$15)</f>
        <v>814.8538827099736</v>
      </c>
      <c r="V41" s="58">
        <f>+U41*(1+'Key Assumptions'!$C$15)</f>
        <v>839.2994991912728</v>
      </c>
      <c r="W41" s="59">
        <f>+V41*(1+'Key Assumptions'!$C$15)</f>
        <v>864.4784841670111</v>
      </c>
    </row>
    <row r="42" spans="2:23" ht="18">
      <c r="B42" s="45" t="s">
        <v>9</v>
      </c>
      <c r="C42" s="46"/>
      <c r="D42" s="58">
        <f>SUM(D30:D36)</f>
        <v>14121</v>
      </c>
      <c r="E42" s="58">
        <f aca="true" t="shared" si="14" ref="E42:W42">SUM(E30:E36)</f>
        <v>14121</v>
      </c>
      <c r="F42" s="58">
        <f t="shared" si="14"/>
        <v>14121</v>
      </c>
      <c r="G42" s="58">
        <f t="shared" si="14"/>
        <v>14121</v>
      </c>
      <c r="H42" s="58">
        <f t="shared" si="14"/>
        <v>14121</v>
      </c>
      <c r="I42" s="58">
        <f t="shared" si="14"/>
        <v>14121</v>
      </c>
      <c r="J42" s="58">
        <f t="shared" si="14"/>
        <v>14121</v>
      </c>
      <c r="K42" s="58">
        <f t="shared" si="14"/>
        <v>14121</v>
      </c>
      <c r="L42" s="58">
        <f t="shared" si="14"/>
        <v>14121</v>
      </c>
      <c r="M42" s="58">
        <f t="shared" si="14"/>
        <v>14121</v>
      </c>
      <c r="N42" s="58">
        <f t="shared" si="14"/>
        <v>14121</v>
      </c>
      <c r="O42" s="58">
        <f t="shared" si="14"/>
        <v>14121</v>
      </c>
      <c r="P42" s="58">
        <f t="shared" si="14"/>
        <v>14121</v>
      </c>
      <c r="Q42" s="58">
        <f t="shared" si="14"/>
        <v>14121</v>
      </c>
      <c r="R42" s="58">
        <f t="shared" si="14"/>
        <v>14121</v>
      </c>
      <c r="S42" s="58">
        <f t="shared" si="14"/>
        <v>14121</v>
      </c>
      <c r="T42" s="58">
        <f t="shared" si="14"/>
        <v>14121</v>
      </c>
      <c r="U42" s="58">
        <f t="shared" si="14"/>
        <v>14121</v>
      </c>
      <c r="V42" s="58">
        <f t="shared" si="14"/>
        <v>14121</v>
      </c>
      <c r="W42" s="59">
        <f t="shared" si="14"/>
        <v>14121</v>
      </c>
    </row>
    <row r="43" spans="2:23" ht="18">
      <c r="B43" s="45" t="s">
        <v>118</v>
      </c>
      <c r="C43" s="46"/>
      <c r="D43" s="58">
        <f>SUM(D37:D39)</f>
        <v>10711</v>
      </c>
      <c r="E43" s="58">
        <f aca="true" t="shared" si="15" ref="E43:W43">SUM(E37:E39)</f>
        <v>11032.33</v>
      </c>
      <c r="F43" s="58">
        <f t="shared" si="15"/>
        <v>11363.2999</v>
      </c>
      <c r="G43" s="58">
        <f t="shared" si="15"/>
        <v>11704.198897000002</v>
      </c>
      <c r="H43" s="58">
        <f t="shared" si="15"/>
        <v>12055.32486391</v>
      </c>
      <c r="I43" s="58">
        <f t="shared" si="15"/>
        <v>12416.984609827303</v>
      </c>
      <c r="J43" s="58">
        <f t="shared" si="15"/>
        <v>12789.494148122121</v>
      </c>
      <c r="K43" s="58">
        <f t="shared" si="15"/>
        <v>13173.178972565784</v>
      </c>
      <c r="L43" s="58">
        <f t="shared" si="15"/>
        <v>13568.374341742758</v>
      </c>
      <c r="M43" s="58">
        <f t="shared" si="15"/>
        <v>13975.425571995042</v>
      </c>
      <c r="N43" s="58">
        <f t="shared" si="15"/>
        <v>14394.68833915489</v>
      </c>
      <c r="O43" s="58">
        <f t="shared" si="15"/>
        <v>14826.528989329538</v>
      </c>
      <c r="P43" s="58">
        <f t="shared" si="15"/>
        <v>15271.324859009424</v>
      </c>
      <c r="Q43" s="58">
        <f t="shared" si="15"/>
        <v>15729.464604779707</v>
      </c>
      <c r="R43" s="58">
        <f t="shared" si="15"/>
        <v>16201.348542923099</v>
      </c>
      <c r="S43" s="58">
        <f t="shared" si="15"/>
        <v>16687.38899921079</v>
      </c>
      <c r="T43" s="58">
        <f t="shared" si="15"/>
        <v>17188.010669187115</v>
      </c>
      <c r="U43" s="58">
        <f t="shared" si="15"/>
        <v>17703.65098926273</v>
      </c>
      <c r="V43" s="58">
        <f t="shared" si="15"/>
        <v>18234.760518940613</v>
      </c>
      <c r="W43" s="59">
        <f t="shared" si="15"/>
        <v>18781.803334508833</v>
      </c>
    </row>
    <row r="44" spans="2:23" ht="18">
      <c r="B44" s="45" t="s">
        <v>119</v>
      </c>
      <c r="C44" s="46"/>
      <c r="D44" s="58">
        <f>SUM(D40:D41)</f>
        <v>1230</v>
      </c>
      <c r="E44" s="58">
        <f aca="true" t="shared" si="16" ref="E44:W44">SUM(E40:E41)</f>
        <v>1266.9</v>
      </c>
      <c r="F44" s="58">
        <f t="shared" si="16"/>
        <v>1304.9070000000002</v>
      </c>
      <c r="G44" s="58">
        <f t="shared" si="16"/>
        <v>1344.0542100000002</v>
      </c>
      <c r="H44" s="58">
        <f t="shared" si="16"/>
        <v>1384.3758363000002</v>
      </c>
      <c r="I44" s="58">
        <f t="shared" si="16"/>
        <v>1425.9071113890002</v>
      </c>
      <c r="J44" s="58">
        <f t="shared" si="16"/>
        <v>1468.6843247306701</v>
      </c>
      <c r="K44" s="58">
        <f t="shared" si="16"/>
        <v>1512.7448544725903</v>
      </c>
      <c r="L44" s="58">
        <f t="shared" si="16"/>
        <v>1558.1272001067682</v>
      </c>
      <c r="M44" s="58">
        <f t="shared" si="16"/>
        <v>1604.8710161099714</v>
      </c>
      <c r="N44" s="58">
        <f t="shared" si="16"/>
        <v>1653.0171465932706</v>
      </c>
      <c r="O44" s="58">
        <f t="shared" si="16"/>
        <v>1702.6076609910688</v>
      </c>
      <c r="P44" s="58">
        <f t="shared" si="16"/>
        <v>1753.685890820801</v>
      </c>
      <c r="Q44" s="58">
        <f t="shared" si="16"/>
        <v>1806.2964675454248</v>
      </c>
      <c r="R44" s="58">
        <f t="shared" si="16"/>
        <v>1860.4853615717875</v>
      </c>
      <c r="S44" s="58">
        <f t="shared" si="16"/>
        <v>1916.2999224189412</v>
      </c>
      <c r="T44" s="58">
        <f t="shared" si="16"/>
        <v>1973.7889200915097</v>
      </c>
      <c r="U44" s="58">
        <f t="shared" si="16"/>
        <v>2033.002587694255</v>
      </c>
      <c r="V44" s="58">
        <f t="shared" si="16"/>
        <v>2093.9926653250823</v>
      </c>
      <c r="W44" s="59">
        <f t="shared" si="16"/>
        <v>2156.812445284835</v>
      </c>
    </row>
    <row r="45" spans="2:23" s="64" customFormat="1" ht="18">
      <c r="B45" s="65" t="s">
        <v>26</v>
      </c>
      <c r="C45" s="66"/>
      <c r="D45" s="67">
        <f>+D44+D43</f>
        <v>11941</v>
      </c>
      <c r="E45" s="67">
        <f aca="true" t="shared" si="17" ref="E45:W45">+E44+E43</f>
        <v>12299.23</v>
      </c>
      <c r="F45" s="67">
        <f t="shared" si="17"/>
        <v>12668.206900000001</v>
      </c>
      <c r="G45" s="67">
        <f t="shared" si="17"/>
        <v>13048.253107000002</v>
      </c>
      <c r="H45" s="67">
        <f t="shared" si="17"/>
        <v>13439.70070021</v>
      </c>
      <c r="I45" s="67">
        <f t="shared" si="17"/>
        <v>13842.891721216303</v>
      </c>
      <c r="J45" s="67">
        <f t="shared" si="17"/>
        <v>14258.178472852791</v>
      </c>
      <c r="K45" s="67">
        <f t="shared" si="17"/>
        <v>14685.923827038374</v>
      </c>
      <c r="L45" s="67">
        <f t="shared" si="17"/>
        <v>15126.501541849526</v>
      </c>
      <c r="M45" s="67">
        <f t="shared" si="17"/>
        <v>15580.296588105013</v>
      </c>
      <c r="N45" s="67">
        <f t="shared" si="17"/>
        <v>16047.705485748162</v>
      </c>
      <c r="O45" s="67">
        <f t="shared" si="17"/>
        <v>16529.136650320608</v>
      </c>
      <c r="P45" s="67">
        <f t="shared" si="17"/>
        <v>17025.010749830224</v>
      </c>
      <c r="Q45" s="67">
        <f t="shared" si="17"/>
        <v>17535.76107232513</v>
      </c>
      <c r="R45" s="67">
        <f t="shared" si="17"/>
        <v>18061.833904494888</v>
      </c>
      <c r="S45" s="67">
        <f t="shared" si="17"/>
        <v>18603.68892162973</v>
      </c>
      <c r="T45" s="67">
        <f t="shared" si="17"/>
        <v>19161.799589278624</v>
      </c>
      <c r="U45" s="67">
        <f t="shared" si="17"/>
        <v>19736.653576956985</v>
      </c>
      <c r="V45" s="67">
        <f t="shared" si="17"/>
        <v>20328.753184265697</v>
      </c>
      <c r="W45" s="68">
        <f t="shared" si="17"/>
        <v>20938.61577979367</v>
      </c>
    </row>
    <row r="46" ht="18">
      <c r="D46" s="60"/>
    </row>
  </sheetData>
  <mergeCells count="4">
    <mergeCell ref="B3:W3"/>
    <mergeCell ref="B4:W8"/>
    <mergeCell ref="B9:W9"/>
    <mergeCell ref="B10:W10"/>
  </mergeCells>
  <printOptions horizontalCentered="1"/>
  <pageMargins left="0.25" right="0.25" top="1" bottom="1" header="0.5" footer="0.36"/>
  <pageSetup fitToHeight="1" fitToWidth="1" horizontalDpi="600" verticalDpi="600" orientation="landscape" scale="55" r:id="rId2"/>
  <headerFooter alignWithMargins="0">
    <oddHeader>&amp;L&amp;G&amp;R&amp;27&amp;A</oddHeader>
    <oddFooter>&amp;R&amp;P</oddFooter>
  </headerFooter>
  <legacyDrawingHF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AK72"/>
  <sheetViews>
    <sheetView showGridLines="0" zoomScale="60" zoomScaleNormal="60" workbookViewId="0" topLeftCell="A7">
      <selection activeCell="C16" sqref="C16"/>
    </sheetView>
  </sheetViews>
  <sheetFormatPr defaultColWidth="9.140625" defaultRowHeight="12.75"/>
  <cols>
    <col min="1" max="1" width="5.7109375" style="4" customWidth="1"/>
    <col min="2" max="2" width="49.421875" style="3" customWidth="1"/>
    <col min="3" max="3" width="13.28125" style="4" bestFit="1" customWidth="1"/>
    <col min="4" max="4" width="41.421875" style="4" bestFit="1" customWidth="1"/>
    <col min="5" max="5" width="35.00390625" style="4" bestFit="1" customWidth="1"/>
    <col min="7" max="7" width="5.7109375" style="4" customWidth="1"/>
    <col min="8" max="8" width="45.140625" style="4" bestFit="1" customWidth="1"/>
    <col min="9" max="9" width="9.140625" style="4" customWidth="1"/>
    <col min="10" max="10" width="31.140625" style="4" customWidth="1"/>
    <col min="11" max="11" width="4.8515625" style="4" bestFit="1" customWidth="1"/>
    <col min="12" max="12" width="25.00390625" style="4" bestFit="1" customWidth="1"/>
    <col min="13" max="16384" width="9.140625" style="4" customWidth="1"/>
  </cols>
  <sheetData>
    <row r="1" spans="2:21" s="36" customFormat="1" ht="18">
      <c r="B1" s="37"/>
      <c r="C1" s="37"/>
      <c r="D1" s="37"/>
      <c r="E1" s="37"/>
      <c r="G1" s="37"/>
      <c r="H1" s="37"/>
      <c r="I1" s="37"/>
      <c r="J1" s="37"/>
      <c r="K1" s="37"/>
      <c r="L1" s="37"/>
      <c r="M1" s="37"/>
      <c r="N1" s="37"/>
      <c r="O1" s="37"/>
      <c r="P1" s="37"/>
      <c r="Q1" s="37"/>
      <c r="R1" s="37"/>
      <c r="S1" s="37"/>
      <c r="T1" s="37"/>
      <c r="U1" s="37"/>
    </row>
    <row r="2" spans="2:21" s="36" customFormat="1" ht="18">
      <c r="B2" s="37"/>
      <c r="C2" s="37"/>
      <c r="D2" s="37"/>
      <c r="E2" s="37"/>
      <c r="G2" s="37"/>
      <c r="H2" s="37"/>
      <c r="I2" s="37"/>
      <c r="J2" s="37"/>
      <c r="K2" s="37"/>
      <c r="L2" s="37"/>
      <c r="M2" s="37"/>
      <c r="N2" s="37"/>
      <c r="O2" s="37"/>
      <c r="P2" s="37"/>
      <c r="Q2" s="37"/>
      <c r="R2" s="37"/>
      <c r="S2" s="37"/>
      <c r="T2" s="37"/>
      <c r="U2" s="37"/>
    </row>
    <row r="3" spans="2:21" s="36" customFormat="1" ht="18">
      <c r="B3" s="37"/>
      <c r="C3" s="37"/>
      <c r="D3" s="37"/>
      <c r="E3" s="37"/>
      <c r="G3" s="37"/>
      <c r="H3" s="37"/>
      <c r="I3" s="37"/>
      <c r="J3" s="37"/>
      <c r="K3" s="37"/>
      <c r="L3" s="37"/>
      <c r="M3" s="37"/>
      <c r="N3" s="37"/>
      <c r="O3" s="37"/>
      <c r="P3" s="37"/>
      <c r="Q3" s="37"/>
      <c r="R3" s="37"/>
      <c r="S3" s="37"/>
      <c r="T3" s="37"/>
      <c r="U3" s="37"/>
    </row>
    <row r="4" spans="2:21" s="36" customFormat="1" ht="20.25" customHeight="1">
      <c r="B4" s="215" t="s">
        <v>158</v>
      </c>
      <c r="C4" s="215"/>
      <c r="D4" s="215"/>
      <c r="E4" s="215"/>
      <c r="G4" s="37"/>
      <c r="H4" s="37"/>
      <c r="I4" s="37"/>
      <c r="J4" s="37"/>
      <c r="K4" s="37"/>
      <c r="L4" s="37"/>
      <c r="M4" s="37"/>
      <c r="N4" s="37"/>
      <c r="O4" s="37"/>
      <c r="P4" s="37"/>
      <c r="Q4" s="37"/>
      <c r="R4" s="37"/>
      <c r="S4" s="37"/>
      <c r="T4" s="37"/>
      <c r="U4" s="37"/>
    </row>
    <row r="5" spans="2:21" s="36" customFormat="1" ht="18" customHeight="1">
      <c r="B5" s="222" t="s">
        <v>159</v>
      </c>
      <c r="C5" s="222"/>
      <c r="D5" s="222"/>
      <c r="E5" s="222"/>
      <c r="G5" s="37"/>
      <c r="H5" s="37"/>
      <c r="I5" s="37"/>
      <c r="J5" s="37"/>
      <c r="K5" s="37"/>
      <c r="L5" s="37"/>
      <c r="M5" s="37"/>
      <c r="N5" s="37"/>
      <c r="O5" s="37"/>
      <c r="P5" s="37"/>
      <c r="Q5" s="37"/>
      <c r="R5" s="37"/>
      <c r="S5" s="37"/>
      <c r="T5" s="37"/>
      <c r="U5" s="37"/>
    </row>
    <row r="6" spans="2:21" s="36" customFormat="1" ht="18" customHeight="1">
      <c r="B6" s="222"/>
      <c r="C6" s="222"/>
      <c r="D6" s="222"/>
      <c r="E6" s="222"/>
      <c r="G6" s="37"/>
      <c r="H6" s="37"/>
      <c r="I6" s="37"/>
      <c r="J6" s="37"/>
      <c r="K6" s="37"/>
      <c r="L6" s="37"/>
      <c r="M6" s="37"/>
      <c r="N6" s="37"/>
      <c r="O6" s="37"/>
      <c r="P6" s="37"/>
      <c r="Q6" s="37"/>
      <c r="R6" s="37"/>
      <c r="S6" s="37"/>
      <c r="T6" s="37"/>
      <c r="U6" s="37"/>
    </row>
    <row r="7" spans="2:21" s="36" customFormat="1" ht="18" customHeight="1">
      <c r="B7" s="222"/>
      <c r="C7" s="222"/>
      <c r="D7" s="222"/>
      <c r="E7" s="222"/>
      <c r="G7" s="37"/>
      <c r="H7" s="37"/>
      <c r="I7" s="37"/>
      <c r="J7" s="37"/>
      <c r="K7" s="37"/>
      <c r="L7" s="37"/>
      <c r="M7" s="37"/>
      <c r="N7" s="37"/>
      <c r="O7" s="37"/>
      <c r="P7" s="37"/>
      <c r="Q7" s="37"/>
      <c r="R7" s="37"/>
      <c r="S7" s="37"/>
      <c r="T7" s="37"/>
      <c r="U7" s="37"/>
    </row>
    <row r="8" spans="2:21" s="36" customFormat="1" ht="18" customHeight="1">
      <c r="B8" s="222"/>
      <c r="C8" s="222"/>
      <c r="D8" s="222"/>
      <c r="E8" s="222"/>
      <c r="G8" s="37"/>
      <c r="H8" s="37"/>
      <c r="I8" s="37"/>
      <c r="J8" s="37"/>
      <c r="K8" s="37"/>
      <c r="L8" s="37"/>
      <c r="M8" s="37"/>
      <c r="N8" s="37"/>
      <c r="O8" s="37"/>
      <c r="P8" s="37"/>
      <c r="Q8" s="37"/>
      <c r="R8" s="37"/>
      <c r="S8" s="37"/>
      <c r="T8" s="37"/>
      <c r="U8" s="37"/>
    </row>
    <row r="9" spans="2:21" s="36" customFormat="1" ht="18" customHeight="1">
      <c r="B9" s="222"/>
      <c r="C9" s="222"/>
      <c r="D9" s="222"/>
      <c r="E9" s="222"/>
      <c r="G9" s="37"/>
      <c r="H9" s="37"/>
      <c r="I9" s="37"/>
      <c r="J9" s="37"/>
      <c r="K9" s="37"/>
      <c r="L9" s="37"/>
      <c r="M9" s="37"/>
      <c r="N9" s="37"/>
      <c r="O9" s="37"/>
      <c r="P9" s="37"/>
      <c r="Q9" s="37"/>
      <c r="R9" s="37"/>
      <c r="S9" s="37"/>
      <c r="T9" s="37"/>
      <c r="U9" s="37"/>
    </row>
    <row r="10" spans="2:21" s="36" customFormat="1" ht="18">
      <c r="B10" s="225" t="s">
        <v>221</v>
      </c>
      <c r="C10" s="225"/>
      <c r="D10" s="225"/>
      <c r="E10" s="225"/>
      <c r="G10" s="37"/>
      <c r="H10" s="37"/>
      <c r="I10" s="37"/>
      <c r="J10" s="37"/>
      <c r="K10" s="37"/>
      <c r="L10" s="37"/>
      <c r="M10" s="37"/>
      <c r="N10" s="37"/>
      <c r="O10" s="37"/>
      <c r="P10" s="37"/>
      <c r="Q10" s="37"/>
      <c r="R10" s="37"/>
      <c r="S10" s="37"/>
      <c r="T10" s="37"/>
      <c r="U10" s="37"/>
    </row>
    <row r="11" spans="2:21" ht="18">
      <c r="B11" s="38" t="s">
        <v>160</v>
      </c>
      <c r="H11" s="5"/>
      <c r="I11" s="5"/>
      <c r="J11" s="5"/>
      <c r="K11" s="5"/>
      <c r="L11" s="5"/>
      <c r="M11" s="5"/>
      <c r="N11" s="5"/>
      <c r="O11" s="5"/>
      <c r="P11" s="5"/>
      <c r="Q11" s="5"/>
      <c r="R11" s="5"/>
      <c r="S11" s="5"/>
      <c r="T11" s="5"/>
      <c r="U11" s="5"/>
    </row>
    <row r="12" spans="2:21" ht="18">
      <c r="B12" s="202" t="s">
        <v>140</v>
      </c>
      <c r="C12" s="201">
        <f>'ERR &amp; Sensitivity Analysis'!G29</f>
        <v>7</v>
      </c>
      <c r="D12" s="6"/>
      <c r="E12" s="7"/>
      <c r="G12" s="7"/>
      <c r="H12" s="39"/>
      <c r="I12" s="5"/>
      <c r="J12" s="5"/>
      <c r="K12" s="5"/>
      <c r="L12" s="5"/>
      <c r="M12" s="5"/>
      <c r="N12" s="5"/>
      <c r="O12" s="5"/>
      <c r="P12" s="5"/>
      <c r="Q12" s="5"/>
      <c r="R12" s="5"/>
      <c r="S12" s="5"/>
      <c r="T12" s="5"/>
      <c r="U12" s="5"/>
    </row>
    <row r="13" spans="2:21" ht="54">
      <c r="B13" s="8" t="s">
        <v>3</v>
      </c>
      <c r="C13" s="9"/>
      <c r="D13" s="6"/>
      <c r="E13" s="7"/>
      <c r="G13" s="7"/>
      <c r="H13" s="39"/>
      <c r="I13" s="5"/>
      <c r="J13" s="5"/>
      <c r="K13" s="5"/>
      <c r="L13" s="5"/>
      <c r="M13" s="5"/>
      <c r="N13" s="5"/>
      <c r="O13" s="5"/>
      <c r="P13" s="5"/>
      <c r="Q13" s="5"/>
      <c r="R13" s="5"/>
      <c r="S13" s="5"/>
      <c r="T13" s="5"/>
      <c r="U13" s="5"/>
    </row>
    <row r="14" spans="2:21" ht="21">
      <c r="B14" s="11" t="s">
        <v>150</v>
      </c>
      <c r="C14" s="10">
        <v>0.02</v>
      </c>
      <c r="D14" s="6"/>
      <c r="E14" s="7"/>
      <c r="G14" s="7"/>
      <c r="H14" s="39"/>
      <c r="I14" s="5"/>
      <c r="J14" s="5"/>
      <c r="K14" s="5"/>
      <c r="L14" s="5"/>
      <c r="M14" s="5"/>
      <c r="N14" s="5"/>
      <c r="O14" s="5"/>
      <c r="P14" s="5"/>
      <c r="Q14" s="5"/>
      <c r="R14" s="5"/>
      <c r="S14" s="5"/>
      <c r="T14" s="5"/>
      <c r="U14" s="5"/>
    </row>
    <row r="15" spans="2:21" ht="18">
      <c r="B15" s="11" t="s">
        <v>2</v>
      </c>
      <c r="C15" s="10">
        <v>0.03</v>
      </c>
      <c r="D15" s="6"/>
      <c r="E15" s="7"/>
      <c r="G15" s="7"/>
      <c r="H15" s="39"/>
      <c r="I15" s="5"/>
      <c r="J15" s="5"/>
      <c r="K15" s="5"/>
      <c r="L15" s="5"/>
      <c r="M15" s="5"/>
      <c r="N15" s="5"/>
      <c r="O15" s="5"/>
      <c r="P15" s="5"/>
      <c r="Q15" s="5"/>
      <c r="R15" s="5"/>
      <c r="S15" s="5"/>
      <c r="T15" s="5"/>
      <c r="U15" s="5"/>
    </row>
    <row r="16" spans="2:21" ht="54">
      <c r="B16" s="199" t="s">
        <v>116</v>
      </c>
      <c r="C16" s="200">
        <f>'ERR &amp; Sensitivity Analysis'!G30</f>
        <v>0.2</v>
      </c>
      <c r="D16" s="6"/>
      <c r="E16" s="7"/>
      <c r="G16" s="7"/>
      <c r="H16" s="39"/>
      <c r="I16" s="5"/>
      <c r="J16" s="5"/>
      <c r="K16" s="5"/>
      <c r="L16" s="5"/>
      <c r="M16" s="5"/>
      <c r="N16" s="5"/>
      <c r="O16" s="5"/>
      <c r="P16" s="5"/>
      <c r="Q16" s="5"/>
      <c r="R16" s="5"/>
      <c r="S16" s="5"/>
      <c r="T16" s="5"/>
      <c r="U16" s="5"/>
    </row>
    <row r="17" spans="2:21" ht="39">
      <c r="B17" s="11" t="s">
        <v>151</v>
      </c>
      <c r="C17" s="1">
        <f>+C16*6%</f>
        <v>0.012</v>
      </c>
      <c r="D17" s="6"/>
      <c r="E17" s="7"/>
      <c r="G17" s="7"/>
      <c r="H17" s="39"/>
      <c r="I17" s="5"/>
      <c r="J17" s="5"/>
      <c r="K17" s="5"/>
      <c r="L17" s="5"/>
      <c r="M17" s="5"/>
      <c r="N17" s="5"/>
      <c r="O17" s="5"/>
      <c r="P17" s="5"/>
      <c r="Q17" s="5"/>
      <c r="R17" s="5"/>
      <c r="S17" s="5"/>
      <c r="T17" s="5"/>
      <c r="U17" s="5"/>
    </row>
    <row r="18" spans="2:21" ht="54">
      <c r="B18" s="199" t="s">
        <v>117</v>
      </c>
      <c r="C18" s="203">
        <f>'ERR &amp; Sensitivity Analysis'!G31</f>
        <v>0.1</v>
      </c>
      <c r="D18" s="6"/>
      <c r="E18" s="7"/>
      <c r="G18" s="7"/>
      <c r="H18" s="39"/>
      <c r="I18" s="5"/>
      <c r="J18" s="5"/>
      <c r="K18" s="5"/>
      <c r="L18" s="5"/>
      <c r="M18" s="5"/>
      <c r="N18" s="5"/>
      <c r="O18" s="5"/>
      <c r="P18" s="5"/>
      <c r="Q18" s="5"/>
      <c r="R18" s="5"/>
      <c r="S18" s="5"/>
      <c r="T18" s="5"/>
      <c r="U18" s="5"/>
    </row>
    <row r="19" spans="2:21" ht="39">
      <c r="B19" s="11" t="s">
        <v>152</v>
      </c>
      <c r="C19" s="12">
        <f>+C18*52%</f>
        <v>0.052000000000000005</v>
      </c>
      <c r="D19" s="6"/>
      <c r="E19" s="7"/>
      <c r="G19" s="7"/>
      <c r="H19" s="39"/>
      <c r="I19" s="5"/>
      <c r="J19" s="5"/>
      <c r="K19" s="5"/>
      <c r="L19" s="5"/>
      <c r="M19" s="5"/>
      <c r="N19" s="5"/>
      <c r="O19" s="5"/>
      <c r="P19" s="5"/>
      <c r="Q19" s="5"/>
      <c r="R19" s="5"/>
      <c r="S19" s="5"/>
      <c r="T19" s="5"/>
      <c r="U19" s="5"/>
    </row>
    <row r="20" spans="2:21" ht="21">
      <c r="B20" s="11" t="s">
        <v>153</v>
      </c>
      <c r="C20" s="10">
        <v>52</v>
      </c>
      <c r="D20" s="6"/>
      <c r="E20" s="7"/>
      <c r="G20" s="7"/>
      <c r="H20" s="39"/>
      <c r="I20" s="5"/>
      <c r="J20" s="5"/>
      <c r="K20" s="5"/>
      <c r="L20" s="5"/>
      <c r="M20" s="5"/>
      <c r="N20" s="5"/>
      <c r="O20" s="5"/>
      <c r="P20" s="5"/>
      <c r="Q20" s="5"/>
      <c r="R20" s="5"/>
      <c r="S20" s="5"/>
      <c r="T20" s="5"/>
      <c r="U20" s="5"/>
    </row>
    <row r="21" spans="2:21" ht="18">
      <c r="B21" s="11" t="s">
        <v>95</v>
      </c>
      <c r="C21" s="10">
        <f>1-0.062</f>
        <v>0.938</v>
      </c>
      <c r="D21" s="6"/>
      <c r="E21" s="7"/>
      <c r="G21" s="7"/>
      <c r="H21" s="39"/>
      <c r="I21" s="5"/>
      <c r="J21" s="5"/>
      <c r="K21" s="5"/>
      <c r="L21" s="5"/>
      <c r="M21" s="5"/>
      <c r="N21" s="5"/>
      <c r="O21" s="5"/>
      <c r="P21" s="5"/>
      <c r="Q21" s="5"/>
      <c r="R21" s="5"/>
      <c r="S21" s="5"/>
      <c r="T21" s="5"/>
      <c r="U21" s="5"/>
    </row>
    <row r="22" spans="2:21" ht="18">
      <c r="B22" s="11" t="s">
        <v>96</v>
      </c>
      <c r="C22" s="13">
        <f>+C20/C21</f>
        <v>55.43710021321962</v>
      </c>
      <c r="D22" s="14"/>
      <c r="E22" s="7"/>
      <c r="G22" s="7"/>
      <c r="H22" s="39"/>
      <c r="I22" s="5"/>
      <c r="J22" s="5"/>
      <c r="K22" s="5"/>
      <c r="L22" s="5"/>
      <c r="M22" s="5"/>
      <c r="N22" s="5"/>
      <c r="O22" s="5"/>
      <c r="P22" s="5"/>
      <c r="Q22" s="5"/>
      <c r="R22" s="5"/>
      <c r="S22" s="5"/>
      <c r="T22" s="5"/>
      <c r="U22" s="5"/>
    </row>
    <row r="23" spans="2:21" ht="39">
      <c r="B23" s="32" t="s">
        <v>90</v>
      </c>
      <c r="C23" s="33" t="s">
        <v>141</v>
      </c>
      <c r="D23" s="34" t="s">
        <v>157</v>
      </c>
      <c r="E23" s="35" t="s">
        <v>142</v>
      </c>
      <c r="H23" s="5"/>
      <c r="I23" s="5"/>
      <c r="J23" s="5"/>
      <c r="K23" s="5"/>
      <c r="L23" s="5"/>
      <c r="M23" s="5"/>
      <c r="N23" s="5"/>
      <c r="O23" s="5"/>
      <c r="P23" s="5"/>
      <c r="Q23" s="5"/>
      <c r="R23" s="5"/>
      <c r="S23" s="5"/>
      <c r="T23" s="5"/>
      <c r="U23" s="5"/>
    </row>
    <row r="24" spans="2:21" ht="18.75">
      <c r="B24" s="8" t="s">
        <v>10</v>
      </c>
      <c r="C24" s="15">
        <f>C22-18-1.5</f>
        <v>35.93710021321962</v>
      </c>
      <c r="D24" s="16">
        <f>+PV(0.1,C24,-39839)</f>
        <v>385424.915428573</v>
      </c>
      <c r="E24" s="17">
        <v>0.2</v>
      </c>
      <c r="G24" s="5"/>
      <c r="H24" s="5"/>
      <c r="I24" s="5"/>
      <c r="J24" s="5"/>
      <c r="K24" s="5"/>
      <c r="L24" s="5"/>
      <c r="M24" s="5"/>
      <c r="N24" s="5"/>
      <c r="O24" s="5"/>
      <c r="P24" s="5"/>
      <c r="Q24" s="5"/>
      <c r="R24" s="5"/>
      <c r="S24" s="5"/>
      <c r="T24" s="5"/>
      <c r="U24" s="5"/>
    </row>
    <row r="25" spans="2:21" ht="18.75">
      <c r="B25" s="11" t="s">
        <v>88</v>
      </c>
      <c r="C25" s="18">
        <f>+C22-16-1.5</f>
        <v>37.93710021321962</v>
      </c>
      <c r="D25" s="19">
        <f>+PV(0.1,C25,-6056)</f>
        <v>58931.20127180161</v>
      </c>
      <c r="E25" s="20">
        <v>0.5</v>
      </c>
      <c r="G25" s="5"/>
      <c r="H25" s="5"/>
      <c r="I25" s="5"/>
      <c r="J25" s="5"/>
      <c r="K25" s="5"/>
      <c r="L25" s="5"/>
      <c r="M25" s="5"/>
      <c r="N25" s="5"/>
      <c r="O25" s="5"/>
      <c r="P25" s="5"/>
      <c r="Q25" s="5"/>
      <c r="R25" s="5"/>
      <c r="S25" s="5"/>
      <c r="T25" s="5"/>
      <c r="U25" s="5"/>
    </row>
    <row r="26" spans="2:21" ht="18.75">
      <c r="B26" s="21" t="s">
        <v>89</v>
      </c>
      <c r="C26" s="22">
        <f>+C25-1.5</f>
        <v>36.43710021321962</v>
      </c>
      <c r="D26" s="23">
        <f>+PV(0.1,C26,-1476)/(1.1)^3</f>
        <v>10745.311047074067</v>
      </c>
      <c r="E26" s="24">
        <v>0.6</v>
      </c>
      <c r="G26" s="5"/>
      <c r="H26" s="5"/>
      <c r="I26" s="5"/>
      <c r="J26" s="5"/>
      <c r="K26" s="5"/>
      <c r="L26" s="5"/>
      <c r="M26" s="5"/>
      <c r="N26" s="5"/>
      <c r="O26" s="5"/>
      <c r="P26" s="5"/>
      <c r="Q26" s="5"/>
      <c r="R26" s="5"/>
      <c r="S26" s="5"/>
      <c r="T26" s="5"/>
      <c r="U26" s="5"/>
    </row>
    <row r="27" spans="2:37" ht="39">
      <c r="B27" s="11" t="s">
        <v>154</v>
      </c>
      <c r="C27" s="1">
        <f>0.85/3.46</f>
        <v>0.24566473988439305</v>
      </c>
      <c r="D27" s="6"/>
      <c r="E27" s="7"/>
      <c r="G27" s="7"/>
      <c r="H27" s="5"/>
      <c r="I27" s="5"/>
      <c r="J27" s="5"/>
      <c r="K27" s="5"/>
      <c r="L27" s="5"/>
      <c r="M27" s="5"/>
      <c r="N27" s="5"/>
      <c r="O27" s="5"/>
      <c r="P27" s="5"/>
      <c r="Q27" s="5"/>
      <c r="R27" s="5"/>
      <c r="S27" s="5"/>
      <c r="T27" s="5"/>
      <c r="U27" s="5"/>
      <c r="V27" s="7"/>
      <c r="W27" s="7"/>
      <c r="X27" s="7"/>
      <c r="Y27" s="7"/>
      <c r="Z27" s="7"/>
      <c r="AA27" s="7"/>
      <c r="AB27" s="7"/>
      <c r="AC27" s="7"/>
      <c r="AD27" s="7"/>
      <c r="AE27" s="7"/>
      <c r="AF27" s="7"/>
      <c r="AG27" s="7"/>
      <c r="AH27" s="7"/>
      <c r="AI27" s="7"/>
      <c r="AJ27" s="7"/>
      <c r="AK27" s="7"/>
    </row>
    <row r="28" spans="2:37" ht="57">
      <c r="B28" s="11" t="s">
        <v>155</v>
      </c>
      <c r="C28" s="10">
        <v>2.25</v>
      </c>
      <c r="D28" s="25"/>
      <c r="E28" s="7"/>
      <c r="G28" s="7"/>
      <c r="H28" s="5"/>
      <c r="I28" s="5"/>
      <c r="J28" s="5"/>
      <c r="K28" s="5"/>
      <c r="L28" s="5"/>
      <c r="M28" s="5"/>
      <c r="N28" s="5"/>
      <c r="O28" s="5"/>
      <c r="P28" s="5"/>
      <c r="Q28" s="5"/>
      <c r="R28" s="5"/>
      <c r="S28" s="5"/>
      <c r="T28" s="5"/>
      <c r="U28" s="5"/>
      <c r="V28" s="7"/>
      <c r="W28" s="7"/>
      <c r="X28" s="7"/>
      <c r="Y28" s="7"/>
      <c r="Z28" s="7"/>
      <c r="AA28" s="7"/>
      <c r="AB28" s="7"/>
      <c r="AC28" s="7"/>
      <c r="AD28" s="7"/>
      <c r="AE28" s="7"/>
      <c r="AF28" s="7"/>
      <c r="AG28" s="7"/>
      <c r="AH28" s="7"/>
      <c r="AI28" s="7"/>
      <c r="AJ28" s="7"/>
      <c r="AK28" s="7"/>
    </row>
    <row r="29" spans="2:37" ht="18">
      <c r="B29" s="11" t="s">
        <v>108</v>
      </c>
      <c r="C29" s="10">
        <v>50</v>
      </c>
      <c r="D29" s="6"/>
      <c r="E29" s="7"/>
      <c r="G29" s="7"/>
      <c r="H29" s="5"/>
      <c r="I29" s="5"/>
      <c r="J29" s="5"/>
      <c r="K29" s="5"/>
      <c r="L29" s="5"/>
      <c r="M29" s="5"/>
      <c r="N29" s="5"/>
      <c r="O29" s="5"/>
      <c r="P29" s="5"/>
      <c r="Q29" s="5"/>
      <c r="R29" s="5"/>
      <c r="S29" s="5"/>
      <c r="T29" s="5"/>
      <c r="U29" s="5"/>
      <c r="V29" s="7"/>
      <c r="W29" s="7"/>
      <c r="X29" s="7"/>
      <c r="Y29" s="7"/>
      <c r="Z29" s="7"/>
      <c r="AA29" s="7"/>
      <c r="AB29" s="7"/>
      <c r="AC29" s="7"/>
      <c r="AD29" s="7"/>
      <c r="AE29" s="7"/>
      <c r="AF29" s="7"/>
      <c r="AG29" s="7"/>
      <c r="AH29" s="7"/>
      <c r="AI29" s="7"/>
      <c r="AJ29" s="7"/>
      <c r="AK29" s="7"/>
    </row>
    <row r="30" spans="2:37" ht="36">
      <c r="B30" s="11" t="s">
        <v>109</v>
      </c>
      <c r="C30" s="1">
        <f>C28/C29</f>
        <v>0.045</v>
      </c>
      <c r="D30" s="6"/>
      <c r="E30" s="7"/>
      <c r="G30" s="7"/>
      <c r="H30" s="5"/>
      <c r="I30" s="5"/>
      <c r="J30" s="5"/>
      <c r="K30" s="5"/>
      <c r="L30" s="5"/>
      <c r="M30" s="5"/>
      <c r="N30" s="5"/>
      <c r="O30" s="5"/>
      <c r="P30" s="5"/>
      <c r="Q30" s="5"/>
      <c r="R30" s="5"/>
      <c r="S30" s="5"/>
      <c r="T30" s="5"/>
      <c r="U30" s="5"/>
      <c r="V30" s="7"/>
      <c r="W30" s="7"/>
      <c r="X30" s="7"/>
      <c r="Y30" s="7"/>
      <c r="Z30" s="7"/>
      <c r="AA30" s="7"/>
      <c r="AB30" s="7"/>
      <c r="AC30" s="7"/>
      <c r="AD30" s="7"/>
      <c r="AE30" s="7"/>
      <c r="AF30" s="7"/>
      <c r="AG30" s="7"/>
      <c r="AH30" s="7"/>
      <c r="AI30" s="7"/>
      <c r="AJ30" s="7"/>
      <c r="AK30" s="7"/>
    </row>
    <row r="31" spans="2:37" ht="36">
      <c r="B31" s="11" t="s">
        <v>110</v>
      </c>
      <c r="C31" s="1">
        <v>0.02</v>
      </c>
      <c r="D31" s="6"/>
      <c r="E31" s="7"/>
      <c r="G31" s="7"/>
      <c r="H31" s="5"/>
      <c r="I31" s="5"/>
      <c r="J31" s="5"/>
      <c r="K31" s="5"/>
      <c r="L31" s="5"/>
      <c r="M31" s="5"/>
      <c r="N31" s="5"/>
      <c r="O31" s="5"/>
      <c r="P31" s="5"/>
      <c r="Q31" s="5"/>
      <c r="R31" s="5"/>
      <c r="S31" s="5"/>
      <c r="T31" s="5"/>
      <c r="U31" s="5"/>
      <c r="V31" s="7"/>
      <c r="W31" s="7"/>
      <c r="X31" s="7"/>
      <c r="Y31" s="7"/>
      <c r="Z31" s="7"/>
      <c r="AA31" s="7"/>
      <c r="AB31" s="7"/>
      <c r="AC31" s="7"/>
      <c r="AD31" s="7"/>
      <c r="AE31" s="7"/>
      <c r="AF31" s="7"/>
      <c r="AG31" s="7"/>
      <c r="AH31" s="7"/>
      <c r="AI31" s="7"/>
      <c r="AJ31" s="7"/>
      <c r="AK31" s="7"/>
    </row>
    <row r="32" spans="2:37" ht="18">
      <c r="B32" s="11" t="s">
        <v>111</v>
      </c>
      <c r="C32" s="1">
        <f>+C31*C30*100</f>
        <v>0.09</v>
      </c>
      <c r="D32" s="6"/>
      <c r="E32" s="7"/>
      <c r="G32" s="7"/>
      <c r="H32" s="5"/>
      <c r="I32" s="5"/>
      <c r="J32" s="5"/>
      <c r="K32" s="5"/>
      <c r="L32" s="5"/>
      <c r="M32" s="5"/>
      <c r="N32" s="5"/>
      <c r="O32" s="5"/>
      <c r="P32" s="5"/>
      <c r="Q32" s="5"/>
      <c r="R32" s="5"/>
      <c r="S32" s="5"/>
      <c r="T32" s="5"/>
      <c r="U32" s="5"/>
      <c r="V32" s="7"/>
      <c r="W32" s="7"/>
      <c r="X32" s="7"/>
      <c r="Y32" s="7"/>
      <c r="Z32" s="7"/>
      <c r="AA32" s="7"/>
      <c r="AB32" s="7"/>
      <c r="AC32" s="7"/>
      <c r="AD32" s="7"/>
      <c r="AE32" s="7"/>
      <c r="AF32" s="7"/>
      <c r="AG32" s="7"/>
      <c r="AH32" s="7"/>
      <c r="AI32" s="7"/>
      <c r="AJ32" s="7"/>
      <c r="AK32" s="7"/>
    </row>
    <row r="33" spans="2:37" ht="39">
      <c r="B33" s="11" t="s">
        <v>156</v>
      </c>
      <c r="C33" s="10"/>
      <c r="D33" s="6"/>
      <c r="E33" s="7"/>
      <c r="G33" s="2"/>
      <c r="H33" s="5"/>
      <c r="I33" s="5"/>
      <c r="J33" s="5"/>
      <c r="K33" s="5"/>
      <c r="L33" s="5"/>
      <c r="M33" s="5"/>
      <c r="N33" s="5"/>
      <c r="O33" s="5"/>
      <c r="P33" s="5"/>
      <c r="Q33" s="5"/>
      <c r="R33" s="5"/>
      <c r="S33" s="5"/>
      <c r="T33" s="5"/>
      <c r="U33" s="5"/>
      <c r="V33" s="7"/>
      <c r="W33" s="7"/>
      <c r="X33" s="7"/>
      <c r="Y33" s="7"/>
      <c r="Z33" s="7"/>
      <c r="AA33" s="7"/>
      <c r="AB33" s="7"/>
      <c r="AC33" s="7"/>
      <c r="AD33" s="7"/>
      <c r="AE33" s="7"/>
      <c r="AF33" s="7"/>
      <c r="AG33" s="7"/>
      <c r="AH33" s="7"/>
      <c r="AI33" s="7"/>
      <c r="AJ33" s="7"/>
      <c r="AK33" s="7"/>
    </row>
    <row r="34" spans="2:37" ht="18">
      <c r="B34" s="11" t="s">
        <v>104</v>
      </c>
      <c r="C34" s="10">
        <f>+LOG(15.55)</f>
        <v>1.1917303933628562</v>
      </c>
      <c r="D34" s="6"/>
      <c r="E34" s="7"/>
      <c r="G34" s="7"/>
      <c r="H34" s="5"/>
      <c r="I34" s="5"/>
      <c r="J34" s="5"/>
      <c r="K34" s="5"/>
      <c r="L34" s="5"/>
      <c r="M34" s="5"/>
      <c r="N34" s="5"/>
      <c r="O34" s="5"/>
      <c r="P34" s="5"/>
      <c r="Q34" s="5"/>
      <c r="R34" s="5"/>
      <c r="S34" s="5"/>
      <c r="T34" s="5"/>
      <c r="U34" s="5"/>
      <c r="V34" s="7"/>
      <c r="W34" s="7"/>
      <c r="X34" s="7"/>
      <c r="Y34" s="7"/>
      <c r="Z34" s="7"/>
      <c r="AA34" s="7"/>
      <c r="AB34" s="7"/>
      <c r="AC34" s="7"/>
      <c r="AD34" s="7"/>
      <c r="AE34" s="7"/>
      <c r="AF34" s="7"/>
      <c r="AG34" s="7"/>
      <c r="AH34" s="7"/>
      <c r="AI34" s="7"/>
      <c r="AJ34" s="7"/>
      <c r="AK34" s="7"/>
    </row>
    <row r="35" spans="2:37" ht="18">
      <c r="B35" s="11" t="s">
        <v>105</v>
      </c>
      <c r="C35" s="10">
        <v>4.73</v>
      </c>
      <c r="D35" s="6"/>
      <c r="E35" s="7"/>
      <c r="G35" s="7"/>
      <c r="H35" s="5"/>
      <c r="I35" s="5"/>
      <c r="J35" s="5"/>
      <c r="K35" s="5"/>
      <c r="L35" s="5"/>
      <c r="M35" s="5"/>
      <c r="N35" s="5"/>
      <c r="O35" s="5"/>
      <c r="P35" s="5"/>
      <c r="Q35" s="5"/>
      <c r="R35" s="5"/>
      <c r="S35" s="5"/>
      <c r="T35" s="5"/>
      <c r="U35" s="5"/>
      <c r="V35" s="7"/>
      <c r="W35" s="7"/>
      <c r="X35" s="7"/>
      <c r="Y35" s="7"/>
      <c r="Z35" s="7"/>
      <c r="AA35" s="7"/>
      <c r="AB35" s="7"/>
      <c r="AC35" s="7"/>
      <c r="AD35" s="7"/>
      <c r="AE35" s="7"/>
      <c r="AF35" s="7"/>
      <c r="AG35" s="7"/>
      <c r="AH35" s="7"/>
      <c r="AI35" s="7"/>
      <c r="AJ35" s="7"/>
      <c r="AK35" s="7"/>
    </row>
    <row r="36" spans="2:37" ht="18">
      <c r="B36" s="11" t="s">
        <v>106</v>
      </c>
      <c r="C36" s="10">
        <f>+C34*G33</f>
        <v>0</v>
      </c>
      <c r="D36" s="6"/>
      <c r="E36" s="7"/>
      <c r="G36" s="7"/>
      <c r="H36" s="5"/>
      <c r="I36" s="5"/>
      <c r="J36" s="5"/>
      <c r="K36" s="5"/>
      <c r="L36" s="5"/>
      <c r="M36" s="5"/>
      <c r="N36" s="5"/>
      <c r="O36" s="5"/>
      <c r="P36" s="5"/>
      <c r="Q36" s="5"/>
      <c r="R36" s="5"/>
      <c r="S36" s="5"/>
      <c r="T36" s="5"/>
      <c r="U36" s="5"/>
      <c r="V36" s="7"/>
      <c r="W36" s="7"/>
      <c r="X36" s="7"/>
      <c r="Y36" s="7"/>
      <c r="Z36" s="7"/>
      <c r="AA36" s="7"/>
      <c r="AB36" s="7"/>
      <c r="AC36" s="7"/>
      <c r="AD36" s="7"/>
      <c r="AE36" s="7"/>
      <c r="AF36" s="7"/>
      <c r="AG36" s="7"/>
      <c r="AH36" s="7"/>
      <c r="AI36" s="7"/>
      <c r="AJ36" s="7"/>
      <c r="AK36" s="7"/>
    </row>
    <row r="37" spans="2:37" ht="18">
      <c r="B37" s="11"/>
      <c r="C37" s="10">
        <f>+C36+C34</f>
        <v>1.1917303933628562</v>
      </c>
      <c r="D37" s="6"/>
      <c r="E37" s="7"/>
      <c r="G37" s="7"/>
      <c r="H37" s="5"/>
      <c r="I37" s="5"/>
      <c r="J37" s="5"/>
      <c r="K37" s="5"/>
      <c r="L37" s="5"/>
      <c r="M37" s="5"/>
      <c r="N37" s="5"/>
      <c r="O37" s="5"/>
      <c r="P37" s="5"/>
      <c r="Q37" s="5"/>
      <c r="R37" s="5"/>
      <c r="S37" s="5"/>
      <c r="T37" s="5"/>
      <c r="U37" s="5"/>
      <c r="V37" s="7"/>
      <c r="W37" s="7"/>
      <c r="X37" s="7"/>
      <c r="Y37" s="7"/>
      <c r="Z37" s="7"/>
      <c r="AA37" s="7"/>
      <c r="AB37" s="7"/>
      <c r="AC37" s="7"/>
      <c r="AD37" s="7"/>
      <c r="AE37" s="7"/>
      <c r="AF37" s="7"/>
      <c r="AG37" s="7"/>
      <c r="AH37" s="7"/>
      <c r="AI37" s="7"/>
      <c r="AJ37" s="7"/>
      <c r="AK37" s="7"/>
    </row>
    <row r="38" spans="2:37" ht="36">
      <c r="B38" s="11" t="s">
        <v>107</v>
      </c>
      <c r="C38" s="10"/>
      <c r="D38" s="6"/>
      <c r="E38" s="7"/>
      <c r="G38" s="7"/>
      <c r="H38" s="5"/>
      <c r="I38" s="5"/>
      <c r="J38" s="5"/>
      <c r="K38" s="5"/>
      <c r="L38" s="5"/>
      <c r="M38" s="5"/>
      <c r="N38" s="5"/>
      <c r="O38" s="5"/>
      <c r="P38" s="5"/>
      <c r="Q38" s="5"/>
      <c r="R38" s="5"/>
      <c r="S38" s="5"/>
      <c r="T38" s="5"/>
      <c r="U38" s="5"/>
      <c r="V38" s="7"/>
      <c r="W38" s="7"/>
      <c r="X38" s="7"/>
      <c r="Y38" s="7"/>
      <c r="Z38" s="7"/>
      <c r="AA38" s="7"/>
      <c r="AB38" s="7"/>
      <c r="AC38" s="7"/>
      <c r="AD38" s="7"/>
      <c r="AE38" s="7"/>
      <c r="AF38" s="7"/>
      <c r="AG38" s="7"/>
      <c r="AH38" s="7"/>
      <c r="AI38" s="7"/>
      <c r="AJ38" s="7"/>
      <c r="AK38" s="7"/>
    </row>
    <row r="39" spans="2:37" ht="18">
      <c r="B39" s="11" t="s">
        <v>125</v>
      </c>
      <c r="C39" s="10">
        <f>1-0.557</f>
        <v>0.44299999999999995</v>
      </c>
      <c r="D39" s="6"/>
      <c r="E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ht="36">
      <c r="B40" s="11" t="s">
        <v>123</v>
      </c>
      <c r="C40" s="10">
        <f>84816/554434</f>
        <v>0.15297763124195124</v>
      </c>
      <c r="D40" s="6"/>
      <c r="E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ht="18">
      <c r="B41" s="11" t="s">
        <v>124</v>
      </c>
      <c r="C41" s="10">
        <f>2016/31260</f>
        <v>0.06449136276391555</v>
      </c>
      <c r="D41" s="6"/>
      <c r="E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2:37" ht="18">
      <c r="B42" s="11" t="s">
        <v>112</v>
      </c>
      <c r="C42" s="10">
        <v>0.015</v>
      </c>
      <c r="D42" s="6"/>
      <c r="E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2:37" ht="18">
      <c r="B43" s="11" t="s">
        <v>126</v>
      </c>
      <c r="C43" s="10">
        <v>0.044</v>
      </c>
      <c r="D43" s="6"/>
      <c r="E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2:37" ht="18">
      <c r="B44" s="255" t="s">
        <v>93</v>
      </c>
      <c r="C44" s="256"/>
      <c r="D44" s="6"/>
      <c r="E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2:37" ht="18">
      <c r="B45" s="11" t="s">
        <v>13</v>
      </c>
      <c r="C45" s="10">
        <f>+'Detailed enrollment'!E82+'Detailed enrollment'!F82</f>
        <v>1910</v>
      </c>
      <c r="D45" s="6"/>
      <c r="E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ht="18">
      <c r="B46" s="11" t="s">
        <v>14</v>
      </c>
      <c r="C46" s="10">
        <f>+'Detailed enrollment'!G82+'Detailed enrollment'!H82</f>
        <v>1791</v>
      </c>
      <c r="D46" s="6"/>
      <c r="E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2:37" ht="18">
      <c r="B47" s="11" t="s">
        <v>15</v>
      </c>
      <c r="C47" s="10">
        <f>+'Detailed enrollment'!I82+'Detailed enrollment'!J82</f>
        <v>1774</v>
      </c>
      <c r="D47" s="6"/>
      <c r="E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2:37" ht="18">
      <c r="B48" s="11" t="s">
        <v>16</v>
      </c>
      <c r="C48" s="10">
        <f>+'Detailed enrollment'!K82+'Detailed enrollment'!L82</f>
        <v>1844</v>
      </c>
      <c r="D48" s="6"/>
      <c r="E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2:37" ht="18">
      <c r="B49" s="11" t="s">
        <v>17</v>
      </c>
      <c r="C49" s="10">
        <f>+'Detailed enrollment'!M82+'Detailed enrollment'!N82</f>
        <v>2524</v>
      </c>
      <c r="D49" s="6"/>
      <c r="E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2:37" ht="18">
      <c r="B50" s="11" t="s">
        <v>18</v>
      </c>
      <c r="C50" s="10">
        <f>+'Detailed enrollment'!O82+'Detailed enrollment'!P82</f>
        <v>2085</v>
      </c>
      <c r="D50" s="6"/>
      <c r="E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2:37" ht="18">
      <c r="B51" s="11" t="s">
        <v>19</v>
      </c>
      <c r="C51" s="10">
        <f>+'Detailed enrollment'!Q82+'Detailed enrollment'!R82</f>
        <v>2193</v>
      </c>
      <c r="D51" s="6"/>
      <c r="E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2:37" ht="18">
      <c r="B52" s="11" t="s">
        <v>20</v>
      </c>
      <c r="C52" s="10">
        <f>+'Detailed enrollment'!S82+'Detailed enrollment'!T82</f>
        <v>4540</v>
      </c>
      <c r="D52" s="6"/>
      <c r="E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2:37" ht="18">
      <c r="B53" s="11" t="s">
        <v>21</v>
      </c>
      <c r="C53" s="10">
        <f>+'Detailed enrollment'!U82+'Detailed enrollment'!V82</f>
        <v>3513</v>
      </c>
      <c r="D53" s="6"/>
      <c r="E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2:37" ht="18">
      <c r="B54" s="11" t="s">
        <v>22</v>
      </c>
      <c r="C54" s="10">
        <f>+'Detailed enrollment'!W82+'Detailed enrollment'!X82</f>
        <v>2658</v>
      </c>
      <c r="D54" s="6"/>
      <c r="E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2:37" ht="18">
      <c r="B55" s="11" t="s">
        <v>23</v>
      </c>
      <c r="C55" s="10">
        <f>+'Detailed enrollment'!Y82+'Detailed enrollment'!Z82</f>
        <v>737</v>
      </c>
      <c r="D55" s="6"/>
      <c r="E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2:37" ht="18">
      <c r="B56" s="11" t="s">
        <v>24</v>
      </c>
      <c r="C56" s="10">
        <f>+'Detailed enrollment'!AA82+'Detailed enrollment'!AB82</f>
        <v>493</v>
      </c>
      <c r="D56" s="6"/>
      <c r="E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2:37" ht="18">
      <c r="B57" s="255" t="s">
        <v>94</v>
      </c>
      <c r="C57" s="256"/>
      <c r="D57" s="6"/>
      <c r="E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row r="58" spans="2:37" ht="18">
      <c r="B58" s="26">
        <v>2006</v>
      </c>
      <c r="C58" s="10">
        <v>3210</v>
      </c>
      <c r="D58" s="6"/>
      <c r="E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row>
    <row r="59" spans="2:37" ht="18">
      <c r="B59" s="26">
        <v>2007</v>
      </c>
      <c r="C59" s="10">
        <v>3370.5</v>
      </c>
      <c r="D59" s="6"/>
      <c r="E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row>
    <row r="60" spans="2:37" ht="18">
      <c r="B60" s="255" t="s">
        <v>113</v>
      </c>
      <c r="C60" s="256"/>
      <c r="D60" s="6"/>
      <c r="E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row>
    <row r="61" spans="2:37" ht="18">
      <c r="B61" s="27" t="s">
        <v>4</v>
      </c>
      <c r="C61" s="28">
        <v>15917.013000000003</v>
      </c>
      <c r="D61" s="6"/>
      <c r="E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row>
    <row r="62" spans="2:37" ht="18">
      <c r="B62" s="27" t="s">
        <v>5</v>
      </c>
      <c r="C62" s="28">
        <v>36479.68800000001</v>
      </c>
      <c r="D62" s="6"/>
      <c r="E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row>
    <row r="63" spans="2:37" ht="18">
      <c r="B63" s="27" t="s">
        <v>6</v>
      </c>
      <c r="C63" s="28">
        <v>56505.89700000001</v>
      </c>
      <c r="D63" s="6"/>
      <c r="E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row>
    <row r="64" spans="2:37" ht="18">
      <c r="B64" s="29" t="s">
        <v>7</v>
      </c>
      <c r="C64" s="30">
        <v>102606.35700000002</v>
      </c>
      <c r="D64" s="6"/>
      <c r="E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row>
    <row r="65" spans="3:37" ht="18">
      <c r="C65" s="31"/>
      <c r="D65" s="7"/>
      <c r="E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row>
    <row r="66" spans="2:5" ht="53.25" customHeight="1">
      <c r="B66" s="254" t="s">
        <v>143</v>
      </c>
      <c r="C66" s="254"/>
      <c r="D66" s="254"/>
      <c r="E66" s="254"/>
    </row>
    <row r="67" spans="2:5" ht="42" customHeight="1">
      <c r="B67" s="254" t="s">
        <v>144</v>
      </c>
      <c r="C67" s="254"/>
      <c r="D67" s="254"/>
      <c r="E67" s="254"/>
    </row>
    <row r="68" spans="2:5" ht="18" customHeight="1">
      <c r="B68" s="254" t="s">
        <v>145</v>
      </c>
      <c r="C68" s="254"/>
      <c r="D68" s="254"/>
      <c r="E68" s="254"/>
    </row>
    <row r="69" spans="2:5" ht="18" customHeight="1">
      <c r="B69" s="254" t="s">
        <v>146</v>
      </c>
      <c r="C69" s="254"/>
      <c r="D69" s="254"/>
      <c r="E69" s="254"/>
    </row>
    <row r="70" spans="2:5" ht="18" customHeight="1">
      <c r="B70" s="254" t="s">
        <v>147</v>
      </c>
      <c r="C70" s="254"/>
      <c r="D70" s="254"/>
      <c r="E70" s="254"/>
    </row>
    <row r="71" spans="2:5" ht="18" customHeight="1">
      <c r="B71" s="254" t="s">
        <v>148</v>
      </c>
      <c r="C71" s="254"/>
      <c r="D71" s="254"/>
      <c r="E71" s="254"/>
    </row>
    <row r="72" spans="2:5" ht="18" customHeight="1">
      <c r="B72" s="254" t="s">
        <v>149</v>
      </c>
      <c r="C72" s="254"/>
      <c r="D72" s="254"/>
      <c r="E72" s="254"/>
    </row>
  </sheetData>
  <mergeCells count="13">
    <mergeCell ref="B68:E68"/>
    <mergeCell ref="B57:C57"/>
    <mergeCell ref="B60:C60"/>
    <mergeCell ref="B66:E66"/>
    <mergeCell ref="B67:E67"/>
    <mergeCell ref="B4:E4"/>
    <mergeCell ref="B5:E9"/>
    <mergeCell ref="B10:E10"/>
    <mergeCell ref="B44:C44"/>
    <mergeCell ref="B69:E69"/>
    <mergeCell ref="B70:E70"/>
    <mergeCell ref="B71:E71"/>
    <mergeCell ref="B72:E72"/>
  </mergeCells>
  <printOptions horizontalCentered="1"/>
  <pageMargins left="0.25" right="0.25" top="1" bottom="1" header="0.5" footer="0.36"/>
  <pageSetup fitToHeight="1" fitToWidth="1" horizontalDpi="600" verticalDpi="600" orientation="portrait" scale="38" r:id="rId3"/>
  <headerFooter alignWithMargins="0">
    <oddHeader>&amp;L&amp;G&amp;R&amp;27&amp;A</oddHeader>
    <oddFooter>&amp;R&amp;P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0:AM82"/>
  <sheetViews>
    <sheetView showGridLines="0" zoomScale="60" zoomScaleNormal="60" workbookViewId="0" topLeftCell="A1">
      <selection activeCell="B21" sqref="B21:X21"/>
    </sheetView>
  </sheetViews>
  <sheetFormatPr defaultColWidth="9.140625" defaultRowHeight="12.75"/>
  <cols>
    <col min="1" max="1" width="5.7109375" style="40" customWidth="1"/>
    <col min="2" max="2" width="36.8515625" style="40" bestFit="1" customWidth="1"/>
    <col min="3" max="3" width="37.28125" style="40" bestFit="1" customWidth="1"/>
    <col min="4" max="4" width="18.140625" style="40" bestFit="1" customWidth="1"/>
    <col min="5" max="5" width="11.7109375" style="40" bestFit="1" customWidth="1"/>
    <col min="6" max="6" width="6.00390625" style="40" bestFit="1" customWidth="1"/>
    <col min="7" max="7" width="11.7109375" style="40" bestFit="1" customWidth="1"/>
    <col min="8" max="8" width="6.00390625" style="40" bestFit="1" customWidth="1"/>
    <col min="9" max="9" width="11.7109375" style="40" bestFit="1" customWidth="1"/>
    <col min="10" max="10" width="6.00390625" style="40" bestFit="1" customWidth="1"/>
    <col min="11" max="11" width="11.7109375" style="40" bestFit="1" customWidth="1"/>
    <col min="12" max="12" width="6.00390625" style="40" bestFit="1" customWidth="1"/>
    <col min="13" max="13" width="11.7109375" style="40" bestFit="1" customWidth="1"/>
    <col min="14" max="14" width="7.57421875" style="40" bestFit="1" customWidth="1"/>
    <col min="15" max="15" width="11.7109375" style="40" bestFit="1" customWidth="1"/>
    <col min="16" max="16" width="7.57421875" style="40" bestFit="1" customWidth="1"/>
    <col min="17" max="17" width="11.7109375" style="40" bestFit="1" customWidth="1"/>
    <col min="18" max="18" width="7.57421875" style="40" bestFit="1" customWidth="1"/>
    <col min="19" max="19" width="11.7109375" style="40" bestFit="1" customWidth="1"/>
    <col min="20" max="20" width="7.57421875" style="40" bestFit="1" customWidth="1"/>
    <col min="21" max="21" width="11.7109375" style="40" bestFit="1" customWidth="1"/>
    <col min="22" max="22" width="7.57421875" style="40" bestFit="1" customWidth="1"/>
    <col min="23" max="23" width="13.421875" style="40" bestFit="1" customWidth="1"/>
    <col min="24" max="24" width="7.57421875" style="40" bestFit="1" customWidth="1"/>
    <col min="25" max="25" width="13.421875" style="40" bestFit="1" customWidth="1"/>
    <col min="26" max="26" width="6.00390625" style="40" bestFit="1" customWidth="1"/>
    <col min="27" max="27" width="13.421875" style="40" bestFit="1" customWidth="1"/>
    <col min="28" max="28" width="6.00390625" style="40" bestFit="1" customWidth="1"/>
    <col min="29" max="29" width="19.421875" style="40" bestFit="1" customWidth="1"/>
    <col min="30" max="30" width="7.57421875" style="40" bestFit="1" customWidth="1"/>
    <col min="31" max="31" width="9.140625" style="40" bestFit="1" customWidth="1"/>
    <col min="32" max="32" width="23.57421875" style="40" bestFit="1" customWidth="1"/>
    <col min="33" max="33" width="7.57421875" style="40" bestFit="1" customWidth="1"/>
    <col min="34" max="34" width="9.140625" style="40" bestFit="1" customWidth="1"/>
    <col min="35" max="35" width="17.140625" style="40" bestFit="1" customWidth="1"/>
    <col min="36" max="37" width="9.140625" style="40" bestFit="1" customWidth="1"/>
    <col min="38" max="38" width="37.28125" style="40" bestFit="1" customWidth="1"/>
    <col min="39" max="39" width="18.140625" style="40" bestFit="1" customWidth="1"/>
    <col min="40" max="16384" width="9.140625" style="40" customWidth="1"/>
  </cols>
  <sheetData>
    <row r="10" spans="2:5" ht="18">
      <c r="B10" s="37"/>
      <c r="C10" s="37"/>
      <c r="D10" s="37"/>
      <c r="E10" s="37"/>
    </row>
    <row r="11" spans="2:24" ht="20.25" customHeight="1">
      <c r="B11" s="215" t="s">
        <v>158</v>
      </c>
      <c r="C11" s="215"/>
      <c r="D11" s="215"/>
      <c r="E11" s="215"/>
      <c r="F11" s="215"/>
      <c r="G11" s="215"/>
      <c r="H11" s="215"/>
      <c r="I11" s="215"/>
      <c r="J11" s="215"/>
      <c r="K11" s="215"/>
      <c r="L11" s="215"/>
      <c r="M11" s="215"/>
      <c r="N11" s="215"/>
      <c r="O11" s="215"/>
      <c r="P11" s="215"/>
      <c r="Q11" s="215"/>
      <c r="R11" s="215"/>
      <c r="S11" s="215"/>
      <c r="T11" s="215"/>
      <c r="U11" s="215"/>
      <c r="V11" s="215"/>
      <c r="W11" s="215"/>
      <c r="X11" s="215"/>
    </row>
    <row r="12" spans="2:24" ht="18" customHeight="1">
      <c r="B12" s="222" t="s">
        <v>159</v>
      </c>
      <c r="C12" s="222"/>
      <c r="D12" s="222"/>
      <c r="E12" s="222"/>
      <c r="F12" s="222"/>
      <c r="G12" s="222"/>
      <c r="H12" s="222"/>
      <c r="I12" s="222"/>
      <c r="J12" s="222"/>
      <c r="K12" s="222"/>
      <c r="L12" s="222"/>
      <c r="M12" s="222"/>
      <c r="N12" s="222"/>
      <c r="O12" s="222"/>
      <c r="P12" s="222"/>
      <c r="Q12" s="222"/>
      <c r="R12" s="222"/>
      <c r="S12" s="222"/>
      <c r="T12" s="222"/>
      <c r="U12" s="222"/>
      <c r="V12" s="222"/>
      <c r="W12" s="222"/>
      <c r="X12" s="222"/>
    </row>
    <row r="13" spans="2:24" ht="18" customHeight="1">
      <c r="B13" s="222"/>
      <c r="C13" s="222"/>
      <c r="D13" s="222"/>
      <c r="E13" s="222"/>
      <c r="F13" s="222"/>
      <c r="G13" s="222"/>
      <c r="H13" s="222"/>
      <c r="I13" s="222"/>
      <c r="J13" s="222"/>
      <c r="K13" s="222"/>
      <c r="L13" s="222"/>
      <c r="M13" s="222"/>
      <c r="N13" s="222"/>
      <c r="O13" s="222"/>
      <c r="P13" s="222"/>
      <c r="Q13" s="222"/>
      <c r="R13" s="222"/>
      <c r="S13" s="222"/>
      <c r="T13" s="222"/>
      <c r="U13" s="222"/>
      <c r="V13" s="222"/>
      <c r="W13" s="222"/>
      <c r="X13" s="222"/>
    </row>
    <row r="14" spans="2:24" ht="18" customHeight="1">
      <c r="B14" s="222"/>
      <c r="C14" s="222"/>
      <c r="D14" s="222"/>
      <c r="E14" s="222"/>
      <c r="F14" s="222"/>
      <c r="G14" s="222"/>
      <c r="H14" s="222"/>
      <c r="I14" s="222"/>
      <c r="J14" s="222"/>
      <c r="K14" s="222"/>
      <c r="L14" s="222"/>
      <c r="M14" s="222"/>
      <c r="N14" s="222"/>
      <c r="O14" s="222"/>
      <c r="P14" s="222"/>
      <c r="Q14" s="222"/>
      <c r="R14" s="222"/>
      <c r="S14" s="222"/>
      <c r="T14" s="222"/>
      <c r="U14" s="222"/>
      <c r="V14" s="222"/>
      <c r="W14" s="222"/>
      <c r="X14" s="222"/>
    </row>
    <row r="15" spans="2:24" ht="18" customHeight="1">
      <c r="B15" s="222"/>
      <c r="C15" s="222"/>
      <c r="D15" s="222"/>
      <c r="E15" s="222"/>
      <c r="F15" s="222"/>
      <c r="G15" s="222"/>
      <c r="H15" s="222"/>
      <c r="I15" s="222"/>
      <c r="J15" s="222"/>
      <c r="K15" s="222"/>
      <c r="L15" s="222"/>
      <c r="M15" s="222"/>
      <c r="N15" s="222"/>
      <c r="O15" s="222"/>
      <c r="P15" s="222"/>
      <c r="Q15" s="222"/>
      <c r="R15" s="222"/>
      <c r="S15" s="222"/>
      <c r="T15" s="222"/>
      <c r="U15" s="222"/>
      <c r="V15" s="222"/>
      <c r="W15" s="222"/>
      <c r="X15" s="222"/>
    </row>
    <row r="16" spans="2:24" ht="18" customHeight="1">
      <c r="B16" s="222"/>
      <c r="C16" s="222"/>
      <c r="D16" s="222"/>
      <c r="E16" s="222"/>
      <c r="F16" s="222"/>
      <c r="G16" s="222"/>
      <c r="H16" s="222"/>
      <c r="I16" s="222"/>
      <c r="J16" s="222"/>
      <c r="K16" s="222"/>
      <c r="L16" s="222"/>
      <c r="M16" s="222"/>
      <c r="N16" s="222"/>
      <c r="O16" s="222"/>
      <c r="P16" s="222"/>
      <c r="Q16" s="222"/>
      <c r="R16" s="222"/>
      <c r="S16" s="222"/>
      <c r="T16" s="222"/>
      <c r="U16" s="222"/>
      <c r="V16" s="222"/>
      <c r="W16" s="222"/>
      <c r="X16" s="222"/>
    </row>
    <row r="17" spans="2:24" ht="18" customHeight="1">
      <c r="B17" s="222"/>
      <c r="C17" s="222"/>
      <c r="D17" s="222"/>
      <c r="E17" s="222"/>
      <c r="F17" s="222"/>
      <c r="G17" s="222"/>
      <c r="H17" s="222"/>
      <c r="I17" s="222"/>
      <c r="J17" s="222"/>
      <c r="K17" s="222"/>
      <c r="L17" s="222"/>
      <c r="M17" s="222"/>
      <c r="N17" s="222"/>
      <c r="O17" s="222"/>
      <c r="P17" s="222"/>
      <c r="Q17" s="222"/>
      <c r="R17" s="222"/>
      <c r="S17" s="222"/>
      <c r="T17" s="222"/>
      <c r="U17" s="222"/>
      <c r="V17" s="222"/>
      <c r="W17" s="222"/>
      <c r="X17" s="222"/>
    </row>
    <row r="18" spans="2:24" ht="18" customHeight="1">
      <c r="B18" s="222"/>
      <c r="C18" s="222"/>
      <c r="D18" s="222"/>
      <c r="E18" s="222"/>
      <c r="F18" s="222"/>
      <c r="G18" s="222"/>
      <c r="H18" s="222"/>
      <c r="I18" s="222"/>
      <c r="J18" s="222"/>
      <c r="K18" s="222"/>
      <c r="L18" s="222"/>
      <c r="M18" s="222"/>
      <c r="N18" s="222"/>
      <c r="O18" s="222"/>
      <c r="P18" s="222"/>
      <c r="Q18" s="222"/>
      <c r="R18" s="222"/>
      <c r="S18" s="222"/>
      <c r="T18" s="222"/>
      <c r="U18" s="222"/>
      <c r="V18" s="222"/>
      <c r="W18" s="222"/>
      <c r="X18" s="222"/>
    </row>
    <row r="19" spans="2:24" ht="18" customHeight="1">
      <c r="B19" s="222"/>
      <c r="C19" s="222"/>
      <c r="D19" s="222"/>
      <c r="E19" s="222"/>
      <c r="F19" s="222"/>
      <c r="G19" s="222"/>
      <c r="H19" s="222"/>
      <c r="I19" s="222"/>
      <c r="J19" s="222"/>
      <c r="K19" s="222"/>
      <c r="L19" s="222"/>
      <c r="M19" s="222"/>
      <c r="N19" s="222"/>
      <c r="O19" s="222"/>
      <c r="P19" s="222"/>
      <c r="Q19" s="222"/>
      <c r="R19" s="222"/>
      <c r="S19" s="222"/>
      <c r="T19" s="222"/>
      <c r="U19" s="222"/>
      <c r="V19" s="222"/>
      <c r="W19" s="222"/>
      <c r="X19" s="222"/>
    </row>
    <row r="20" spans="2:24" ht="18" customHeight="1">
      <c r="B20" s="222"/>
      <c r="C20" s="222"/>
      <c r="D20" s="222"/>
      <c r="E20" s="222"/>
      <c r="F20" s="222"/>
      <c r="G20" s="222"/>
      <c r="H20" s="222"/>
      <c r="I20" s="222"/>
      <c r="J20" s="222"/>
      <c r="K20" s="222"/>
      <c r="L20" s="222"/>
      <c r="M20" s="222"/>
      <c r="N20" s="222"/>
      <c r="O20" s="222"/>
      <c r="P20" s="222"/>
      <c r="Q20" s="222"/>
      <c r="R20" s="222"/>
      <c r="S20" s="222"/>
      <c r="T20" s="222"/>
      <c r="U20" s="222"/>
      <c r="V20" s="222"/>
      <c r="W20" s="222"/>
      <c r="X20" s="222"/>
    </row>
    <row r="21" spans="2:24" ht="18">
      <c r="B21" s="225" t="s">
        <v>221</v>
      </c>
      <c r="C21" s="225"/>
      <c r="D21" s="225"/>
      <c r="E21" s="225"/>
      <c r="F21" s="225"/>
      <c r="G21" s="225"/>
      <c r="H21" s="225"/>
      <c r="I21" s="225"/>
      <c r="J21" s="225"/>
      <c r="K21" s="225"/>
      <c r="L21" s="225"/>
      <c r="M21" s="225"/>
      <c r="N21" s="225"/>
      <c r="O21" s="225"/>
      <c r="P21" s="225"/>
      <c r="Q21" s="225"/>
      <c r="R21" s="225"/>
      <c r="S21" s="225"/>
      <c r="T21" s="225"/>
      <c r="U21" s="225"/>
      <c r="V21" s="225"/>
      <c r="W21" s="225"/>
      <c r="X21" s="225"/>
    </row>
    <row r="23" spans="2:39" s="44" customFormat="1" ht="18">
      <c r="B23" s="41" t="s">
        <v>8</v>
      </c>
      <c r="C23" s="42" t="s">
        <v>11</v>
      </c>
      <c r="D23" s="42" t="s">
        <v>12</v>
      </c>
      <c r="E23" s="42" t="s">
        <v>13</v>
      </c>
      <c r="F23" s="42"/>
      <c r="G23" s="42" t="s">
        <v>14</v>
      </c>
      <c r="H23" s="42"/>
      <c r="I23" s="42" t="s">
        <v>15</v>
      </c>
      <c r="J23" s="42"/>
      <c r="K23" s="42" t="s">
        <v>16</v>
      </c>
      <c r="L23" s="42"/>
      <c r="M23" s="42" t="s">
        <v>17</v>
      </c>
      <c r="N23" s="42"/>
      <c r="O23" s="42" t="s">
        <v>18</v>
      </c>
      <c r="P23" s="42"/>
      <c r="Q23" s="42" t="s">
        <v>19</v>
      </c>
      <c r="R23" s="42"/>
      <c r="S23" s="42" t="s">
        <v>20</v>
      </c>
      <c r="T23" s="42"/>
      <c r="U23" s="42" t="s">
        <v>21</v>
      </c>
      <c r="V23" s="42"/>
      <c r="W23" s="42" t="s">
        <v>22</v>
      </c>
      <c r="X23" s="42"/>
      <c r="Y23" s="42" t="s">
        <v>23</v>
      </c>
      <c r="Z23" s="42"/>
      <c r="AA23" s="42" t="s">
        <v>24</v>
      </c>
      <c r="AB23" s="42"/>
      <c r="AC23" s="42" t="s">
        <v>25</v>
      </c>
      <c r="AD23" s="42"/>
      <c r="AE23" s="42"/>
      <c r="AF23" s="42" t="s">
        <v>26</v>
      </c>
      <c r="AG23" s="42"/>
      <c r="AH23" s="42"/>
      <c r="AI23" s="42" t="s">
        <v>27</v>
      </c>
      <c r="AJ23" s="42"/>
      <c r="AK23" s="42"/>
      <c r="AL23" s="42" t="s">
        <v>11</v>
      </c>
      <c r="AM23" s="43" t="s">
        <v>12</v>
      </c>
    </row>
    <row r="24" spans="2:39" ht="18">
      <c r="B24" s="41"/>
      <c r="C24" s="42"/>
      <c r="D24" s="42"/>
      <c r="E24" s="42" t="s">
        <v>28</v>
      </c>
      <c r="F24" s="42" t="s">
        <v>29</v>
      </c>
      <c r="G24" s="42" t="s">
        <v>28</v>
      </c>
      <c r="H24" s="42" t="s">
        <v>29</v>
      </c>
      <c r="I24" s="42" t="s">
        <v>28</v>
      </c>
      <c r="J24" s="42" t="s">
        <v>29</v>
      </c>
      <c r="K24" s="42" t="s">
        <v>28</v>
      </c>
      <c r="L24" s="42" t="s">
        <v>29</v>
      </c>
      <c r="M24" s="42" t="s">
        <v>28</v>
      </c>
      <c r="N24" s="42" t="s">
        <v>29</v>
      </c>
      <c r="O24" s="42" t="s">
        <v>28</v>
      </c>
      <c r="P24" s="42" t="s">
        <v>29</v>
      </c>
      <c r="Q24" s="42" t="s">
        <v>28</v>
      </c>
      <c r="R24" s="42" t="s">
        <v>29</v>
      </c>
      <c r="S24" s="42" t="s">
        <v>28</v>
      </c>
      <c r="T24" s="42" t="s">
        <v>29</v>
      </c>
      <c r="U24" s="42" t="s">
        <v>28</v>
      </c>
      <c r="V24" s="42" t="s">
        <v>29</v>
      </c>
      <c r="W24" s="42" t="s">
        <v>28</v>
      </c>
      <c r="X24" s="42" t="s">
        <v>29</v>
      </c>
      <c r="Y24" s="42" t="s">
        <v>28</v>
      </c>
      <c r="Z24" s="42" t="s">
        <v>29</v>
      </c>
      <c r="AA24" s="42" t="s">
        <v>28</v>
      </c>
      <c r="AB24" s="42" t="s">
        <v>29</v>
      </c>
      <c r="AC24" s="42" t="s">
        <v>28</v>
      </c>
      <c r="AD24" s="42" t="s">
        <v>29</v>
      </c>
      <c r="AE24" s="42" t="s">
        <v>30</v>
      </c>
      <c r="AF24" s="42" t="s">
        <v>28</v>
      </c>
      <c r="AG24" s="42" t="s">
        <v>29</v>
      </c>
      <c r="AH24" s="42" t="s">
        <v>30</v>
      </c>
      <c r="AI24" s="42" t="s">
        <v>28</v>
      </c>
      <c r="AJ24" s="42" t="s">
        <v>29</v>
      </c>
      <c r="AK24" s="42" t="s">
        <v>30</v>
      </c>
      <c r="AL24" s="42"/>
      <c r="AM24" s="43"/>
    </row>
    <row r="25" spans="2:39" ht="18">
      <c r="B25" s="45" t="s">
        <v>31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v>0</v>
      </c>
      <c r="AD25" s="46">
        <v>0</v>
      </c>
      <c r="AE25" s="46">
        <v>0</v>
      </c>
      <c r="AF25" s="46">
        <v>0</v>
      </c>
      <c r="AG25" s="46">
        <v>0</v>
      </c>
      <c r="AH25" s="46">
        <v>0</v>
      </c>
      <c r="AI25" s="46">
        <v>0</v>
      </c>
      <c r="AJ25" s="46">
        <v>0</v>
      </c>
      <c r="AK25" s="46">
        <v>0</v>
      </c>
      <c r="AL25" s="46"/>
      <c r="AM25" s="47"/>
    </row>
    <row r="26" spans="2:39" ht="18">
      <c r="B26" s="45"/>
      <c r="C26" s="46" t="s">
        <v>32</v>
      </c>
      <c r="D26" s="46">
        <v>7711</v>
      </c>
      <c r="E26" s="46">
        <v>19</v>
      </c>
      <c r="F26" s="46">
        <v>16</v>
      </c>
      <c r="G26" s="46">
        <v>19</v>
      </c>
      <c r="H26" s="46">
        <v>11</v>
      </c>
      <c r="I26" s="46">
        <v>19</v>
      </c>
      <c r="J26" s="46">
        <v>12</v>
      </c>
      <c r="K26" s="46">
        <v>18</v>
      </c>
      <c r="L26" s="46">
        <v>10</v>
      </c>
      <c r="M26" s="46">
        <v>10</v>
      </c>
      <c r="N26" s="46">
        <v>20</v>
      </c>
      <c r="O26" s="46">
        <v>19</v>
      </c>
      <c r="P26" s="46">
        <v>17</v>
      </c>
      <c r="Q26" s="46">
        <v>18</v>
      </c>
      <c r="R26" s="46">
        <v>20</v>
      </c>
      <c r="S26" s="46">
        <v>28</v>
      </c>
      <c r="T26" s="46">
        <v>29</v>
      </c>
      <c r="U26" s="46">
        <v>27</v>
      </c>
      <c r="V26" s="46">
        <v>15</v>
      </c>
      <c r="W26" s="46">
        <v>0</v>
      </c>
      <c r="X26" s="46">
        <v>0</v>
      </c>
      <c r="Y26" s="46">
        <v>0</v>
      </c>
      <c r="Z26" s="46">
        <v>0</v>
      </c>
      <c r="AA26" s="46">
        <v>0</v>
      </c>
      <c r="AB26" s="46">
        <v>0</v>
      </c>
      <c r="AC26" s="46">
        <v>122</v>
      </c>
      <c r="AD26" s="46">
        <v>106</v>
      </c>
      <c r="AE26" s="46">
        <v>228</v>
      </c>
      <c r="AF26" s="46">
        <v>55</v>
      </c>
      <c r="AG26" s="46">
        <v>44</v>
      </c>
      <c r="AH26" s="46">
        <v>99</v>
      </c>
      <c r="AI26" s="46">
        <v>177</v>
      </c>
      <c r="AJ26" s="46">
        <v>150</v>
      </c>
      <c r="AK26" s="46">
        <v>327</v>
      </c>
      <c r="AL26" s="46" t="s">
        <v>32</v>
      </c>
      <c r="AM26" s="47">
        <v>7711</v>
      </c>
    </row>
    <row r="27" spans="2:39" ht="18">
      <c r="B27" s="45"/>
      <c r="C27" s="46" t="s">
        <v>33</v>
      </c>
      <c r="D27" s="46">
        <v>7454</v>
      </c>
      <c r="E27" s="46">
        <v>0</v>
      </c>
      <c r="F27" s="46">
        <v>0</v>
      </c>
      <c r="G27" s="46">
        <v>0</v>
      </c>
      <c r="H27" s="46">
        <v>0</v>
      </c>
      <c r="I27" s="46">
        <v>0</v>
      </c>
      <c r="J27" s="46">
        <v>0</v>
      </c>
      <c r="K27" s="46">
        <v>0</v>
      </c>
      <c r="L27" s="46">
        <v>0</v>
      </c>
      <c r="M27" s="46">
        <v>0</v>
      </c>
      <c r="N27" s="46">
        <v>0</v>
      </c>
      <c r="O27" s="46">
        <v>0</v>
      </c>
      <c r="P27" s="46">
        <v>0</v>
      </c>
      <c r="Q27" s="46">
        <v>0</v>
      </c>
      <c r="R27" s="46">
        <v>0</v>
      </c>
      <c r="S27" s="46">
        <v>122</v>
      </c>
      <c r="T27" s="46">
        <v>121</v>
      </c>
      <c r="U27" s="46">
        <v>98</v>
      </c>
      <c r="V27" s="46">
        <v>79</v>
      </c>
      <c r="W27" s="46">
        <v>111</v>
      </c>
      <c r="X27" s="46">
        <v>67</v>
      </c>
      <c r="Y27" s="46">
        <v>42</v>
      </c>
      <c r="Z27" s="46">
        <v>24</v>
      </c>
      <c r="AA27" s="46">
        <v>35</v>
      </c>
      <c r="AB27" s="46">
        <v>20</v>
      </c>
      <c r="AC27" s="46">
        <v>0</v>
      </c>
      <c r="AD27" s="46">
        <v>0</v>
      </c>
      <c r="AE27" s="46">
        <v>0</v>
      </c>
      <c r="AF27" s="46">
        <v>408</v>
      </c>
      <c r="AG27" s="46">
        <v>311</v>
      </c>
      <c r="AH27" s="46">
        <v>719</v>
      </c>
      <c r="AI27" s="46">
        <v>408</v>
      </c>
      <c r="AJ27" s="46">
        <v>311</v>
      </c>
      <c r="AK27" s="46">
        <v>719</v>
      </c>
      <c r="AL27" s="46" t="s">
        <v>33</v>
      </c>
      <c r="AM27" s="47">
        <v>7454</v>
      </c>
    </row>
    <row r="28" spans="2:39" ht="18">
      <c r="B28" s="45"/>
      <c r="C28" s="46" t="s">
        <v>34</v>
      </c>
      <c r="D28" s="46">
        <v>7523</v>
      </c>
      <c r="E28" s="46">
        <v>0</v>
      </c>
      <c r="F28" s="46">
        <v>0</v>
      </c>
      <c r="G28" s="46">
        <v>0</v>
      </c>
      <c r="H28" s="46">
        <v>0</v>
      </c>
      <c r="I28" s="46">
        <v>0</v>
      </c>
      <c r="J28" s="46">
        <v>0</v>
      </c>
      <c r="K28" s="46">
        <v>0</v>
      </c>
      <c r="L28" s="46">
        <v>0</v>
      </c>
      <c r="M28" s="46">
        <v>0</v>
      </c>
      <c r="N28" s="46">
        <v>0</v>
      </c>
      <c r="O28" s="46">
        <v>0</v>
      </c>
      <c r="P28" s="46">
        <v>0</v>
      </c>
      <c r="Q28" s="46">
        <v>0</v>
      </c>
      <c r="R28" s="46">
        <v>0</v>
      </c>
      <c r="S28" s="46">
        <v>46</v>
      </c>
      <c r="T28" s="46">
        <v>40</v>
      </c>
      <c r="U28" s="46">
        <v>37</v>
      </c>
      <c r="V28" s="46">
        <v>34</v>
      </c>
      <c r="W28" s="46">
        <v>27</v>
      </c>
      <c r="X28" s="46">
        <v>20</v>
      </c>
      <c r="Y28" s="46">
        <v>20</v>
      </c>
      <c r="Z28" s="46">
        <v>15</v>
      </c>
      <c r="AA28" s="46">
        <v>17</v>
      </c>
      <c r="AB28" s="46">
        <v>21</v>
      </c>
      <c r="AC28" s="46">
        <v>0</v>
      </c>
      <c r="AD28" s="46">
        <v>0</v>
      </c>
      <c r="AE28" s="46">
        <v>0</v>
      </c>
      <c r="AF28" s="46">
        <v>147</v>
      </c>
      <c r="AG28" s="46">
        <v>130</v>
      </c>
      <c r="AH28" s="46">
        <v>277</v>
      </c>
      <c r="AI28" s="46">
        <v>147</v>
      </c>
      <c r="AJ28" s="46">
        <v>130</v>
      </c>
      <c r="AK28" s="46">
        <v>277</v>
      </c>
      <c r="AL28" s="46" t="s">
        <v>34</v>
      </c>
      <c r="AM28" s="47">
        <v>7523</v>
      </c>
    </row>
    <row r="29" spans="2:39" ht="18">
      <c r="B29" s="45"/>
      <c r="C29" s="46" t="s">
        <v>35</v>
      </c>
      <c r="D29" s="46">
        <v>7635</v>
      </c>
      <c r="E29" s="46">
        <v>16</v>
      </c>
      <c r="F29" s="46">
        <v>20</v>
      </c>
      <c r="G29" s="46">
        <v>22</v>
      </c>
      <c r="H29" s="46">
        <v>14</v>
      </c>
      <c r="I29" s="46">
        <v>14</v>
      </c>
      <c r="J29" s="46">
        <v>21</v>
      </c>
      <c r="K29" s="46">
        <v>12</v>
      </c>
      <c r="L29" s="46">
        <v>13</v>
      </c>
      <c r="M29" s="46">
        <v>13</v>
      </c>
      <c r="N29" s="46">
        <v>18</v>
      </c>
      <c r="O29" s="46">
        <v>23</v>
      </c>
      <c r="P29" s="46">
        <v>11</v>
      </c>
      <c r="Q29" s="46">
        <v>15</v>
      </c>
      <c r="R29" s="46">
        <v>9</v>
      </c>
      <c r="S29" s="46">
        <v>16</v>
      </c>
      <c r="T29" s="46">
        <v>17</v>
      </c>
      <c r="U29" s="46">
        <v>15</v>
      </c>
      <c r="V29" s="46">
        <v>13</v>
      </c>
      <c r="W29" s="46">
        <v>16</v>
      </c>
      <c r="X29" s="46">
        <v>5</v>
      </c>
      <c r="Y29" s="46">
        <v>0</v>
      </c>
      <c r="Z29" s="46">
        <v>0</v>
      </c>
      <c r="AA29" s="46">
        <v>0</v>
      </c>
      <c r="AB29" s="46">
        <v>0</v>
      </c>
      <c r="AC29" s="46">
        <v>115</v>
      </c>
      <c r="AD29" s="46">
        <v>106</v>
      </c>
      <c r="AE29" s="46">
        <v>221</v>
      </c>
      <c r="AF29" s="46">
        <v>47</v>
      </c>
      <c r="AG29" s="46">
        <v>35</v>
      </c>
      <c r="AH29" s="46">
        <v>82</v>
      </c>
      <c r="AI29" s="46">
        <v>162</v>
      </c>
      <c r="AJ29" s="46">
        <v>141</v>
      </c>
      <c r="AK29" s="46">
        <v>303</v>
      </c>
      <c r="AL29" s="46" t="s">
        <v>35</v>
      </c>
      <c r="AM29" s="47">
        <v>7635</v>
      </c>
    </row>
    <row r="30" spans="2:39" ht="18">
      <c r="B30" s="45"/>
      <c r="C30" s="46" t="s">
        <v>36</v>
      </c>
      <c r="D30" s="46">
        <v>7760</v>
      </c>
      <c r="E30" s="46">
        <v>0</v>
      </c>
      <c r="F30" s="46">
        <v>0</v>
      </c>
      <c r="G30" s="46">
        <v>0</v>
      </c>
      <c r="H30" s="46">
        <v>0</v>
      </c>
      <c r="I30" s="46">
        <v>0</v>
      </c>
      <c r="J30" s="46">
        <v>0</v>
      </c>
      <c r="K30" s="46">
        <v>0</v>
      </c>
      <c r="L30" s="46">
        <v>0</v>
      </c>
      <c r="M30" s="46">
        <v>0</v>
      </c>
      <c r="N30" s="46">
        <v>0</v>
      </c>
      <c r="O30" s="46">
        <v>0</v>
      </c>
      <c r="P30" s="46">
        <v>0</v>
      </c>
      <c r="Q30" s="46">
        <v>0</v>
      </c>
      <c r="R30" s="46">
        <v>0</v>
      </c>
      <c r="S30" s="46">
        <v>96</v>
      </c>
      <c r="T30" s="46">
        <v>71</v>
      </c>
      <c r="U30" s="46">
        <v>57</v>
      </c>
      <c r="V30" s="46">
        <v>51</v>
      </c>
      <c r="W30" s="46">
        <v>29</v>
      </c>
      <c r="X30" s="46">
        <v>20</v>
      </c>
      <c r="Y30" s="46">
        <v>131</v>
      </c>
      <c r="Z30" s="46">
        <v>49</v>
      </c>
      <c r="AA30" s="46">
        <v>95</v>
      </c>
      <c r="AB30" s="46">
        <v>35</v>
      </c>
      <c r="AC30" s="46">
        <v>0</v>
      </c>
      <c r="AD30" s="46">
        <v>0</v>
      </c>
      <c r="AE30" s="46">
        <v>0</v>
      </c>
      <c r="AF30" s="46">
        <v>408</v>
      </c>
      <c r="AG30" s="46">
        <v>226</v>
      </c>
      <c r="AH30" s="46">
        <v>634</v>
      </c>
      <c r="AI30" s="46">
        <v>408</v>
      </c>
      <c r="AJ30" s="46">
        <v>226</v>
      </c>
      <c r="AK30" s="46">
        <v>634</v>
      </c>
      <c r="AL30" s="46" t="s">
        <v>36</v>
      </c>
      <c r="AM30" s="47">
        <v>7760</v>
      </c>
    </row>
    <row r="31" spans="2:39" ht="18">
      <c r="B31" s="51" t="s">
        <v>37</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v>0</v>
      </c>
      <c r="AD31" s="52">
        <v>0</v>
      </c>
      <c r="AE31" s="52">
        <v>0</v>
      </c>
      <c r="AF31" s="52">
        <v>0</v>
      </c>
      <c r="AG31" s="52">
        <v>0</v>
      </c>
      <c r="AH31" s="52">
        <v>0</v>
      </c>
      <c r="AI31" s="52">
        <v>0</v>
      </c>
      <c r="AJ31" s="52">
        <v>0</v>
      </c>
      <c r="AK31" s="52">
        <v>0</v>
      </c>
      <c r="AL31" s="52"/>
      <c r="AM31" s="53"/>
    </row>
    <row r="32" spans="2:39" ht="18">
      <c r="B32" s="45"/>
      <c r="C32" s="46" t="s">
        <v>38</v>
      </c>
      <c r="D32" s="46">
        <v>7316</v>
      </c>
      <c r="E32" s="46">
        <v>0</v>
      </c>
      <c r="F32" s="46">
        <v>0</v>
      </c>
      <c r="G32" s="46">
        <v>0</v>
      </c>
      <c r="H32" s="46">
        <v>0</v>
      </c>
      <c r="I32" s="46">
        <v>0</v>
      </c>
      <c r="J32" s="46">
        <v>0</v>
      </c>
      <c r="K32" s="46">
        <v>0</v>
      </c>
      <c r="L32" s="46">
        <v>0</v>
      </c>
      <c r="M32" s="46">
        <v>0</v>
      </c>
      <c r="N32" s="46">
        <v>0</v>
      </c>
      <c r="O32" s="46">
        <v>0</v>
      </c>
      <c r="P32" s="46">
        <v>0</v>
      </c>
      <c r="Q32" s="46">
        <v>0</v>
      </c>
      <c r="R32" s="46">
        <v>0</v>
      </c>
      <c r="S32" s="46">
        <v>159</v>
      </c>
      <c r="T32" s="46">
        <v>153</v>
      </c>
      <c r="U32" s="46">
        <v>86</v>
      </c>
      <c r="V32" s="46">
        <v>121</v>
      </c>
      <c r="W32" s="46">
        <v>100</v>
      </c>
      <c r="X32" s="46">
        <v>63</v>
      </c>
      <c r="Y32" s="46">
        <v>0</v>
      </c>
      <c r="Z32" s="46">
        <v>0</v>
      </c>
      <c r="AA32" s="46">
        <v>0</v>
      </c>
      <c r="AB32" s="46">
        <v>0</v>
      </c>
      <c r="AC32" s="46">
        <v>0</v>
      </c>
      <c r="AD32" s="46">
        <v>0</v>
      </c>
      <c r="AE32" s="46">
        <v>0</v>
      </c>
      <c r="AF32" s="46">
        <v>345</v>
      </c>
      <c r="AG32" s="46">
        <v>337</v>
      </c>
      <c r="AH32" s="46">
        <v>682</v>
      </c>
      <c r="AI32" s="46">
        <v>345</v>
      </c>
      <c r="AJ32" s="46">
        <v>337</v>
      </c>
      <c r="AK32" s="46">
        <v>682</v>
      </c>
      <c r="AL32" s="46" t="s">
        <v>38</v>
      </c>
      <c r="AM32" s="47">
        <v>7316</v>
      </c>
    </row>
    <row r="33" spans="2:39" ht="18">
      <c r="B33" s="45"/>
      <c r="C33" s="46" t="s">
        <v>39</v>
      </c>
      <c r="D33" s="46">
        <v>7263</v>
      </c>
      <c r="E33" s="46">
        <v>0</v>
      </c>
      <c r="F33" s="46">
        <v>0</v>
      </c>
      <c r="G33" s="46">
        <v>0</v>
      </c>
      <c r="H33" s="46">
        <v>0</v>
      </c>
      <c r="I33" s="46">
        <v>0</v>
      </c>
      <c r="J33" s="46">
        <v>0</v>
      </c>
      <c r="K33" s="46">
        <v>0</v>
      </c>
      <c r="L33" s="46">
        <v>0</v>
      </c>
      <c r="M33" s="46">
        <v>0</v>
      </c>
      <c r="N33" s="46">
        <v>0</v>
      </c>
      <c r="O33" s="46">
        <v>0</v>
      </c>
      <c r="P33" s="46">
        <v>0</v>
      </c>
      <c r="Q33" s="46">
        <v>0</v>
      </c>
      <c r="R33" s="46">
        <v>0</v>
      </c>
      <c r="S33" s="46">
        <v>92</v>
      </c>
      <c r="T33" s="46">
        <v>95</v>
      </c>
      <c r="U33" s="46">
        <v>86</v>
      </c>
      <c r="V33" s="46">
        <v>116</v>
      </c>
      <c r="W33" s="46">
        <v>76</v>
      </c>
      <c r="X33" s="46">
        <v>109</v>
      </c>
      <c r="Y33" s="46">
        <v>61</v>
      </c>
      <c r="Z33" s="46">
        <v>100</v>
      </c>
      <c r="AA33" s="46">
        <v>41</v>
      </c>
      <c r="AB33" s="46">
        <v>50</v>
      </c>
      <c r="AC33" s="46">
        <v>0</v>
      </c>
      <c r="AD33" s="46">
        <v>0</v>
      </c>
      <c r="AE33" s="46">
        <v>0</v>
      </c>
      <c r="AF33" s="46">
        <v>356</v>
      </c>
      <c r="AG33" s="46">
        <v>470</v>
      </c>
      <c r="AH33" s="46">
        <v>826</v>
      </c>
      <c r="AI33" s="46">
        <v>356</v>
      </c>
      <c r="AJ33" s="46">
        <v>470</v>
      </c>
      <c r="AK33" s="46">
        <v>826</v>
      </c>
      <c r="AL33" s="46" t="s">
        <v>39</v>
      </c>
      <c r="AM33" s="47">
        <v>7263</v>
      </c>
    </row>
    <row r="34" spans="2:39" ht="18">
      <c r="B34" s="45"/>
      <c r="C34" s="46" t="s">
        <v>40</v>
      </c>
      <c r="D34" s="46">
        <v>7940</v>
      </c>
      <c r="E34" s="46">
        <v>0</v>
      </c>
      <c r="F34" s="46">
        <v>0</v>
      </c>
      <c r="G34" s="46">
        <v>0</v>
      </c>
      <c r="H34" s="46">
        <v>0</v>
      </c>
      <c r="I34" s="46">
        <v>0</v>
      </c>
      <c r="J34" s="46">
        <v>0</v>
      </c>
      <c r="K34" s="46">
        <v>0</v>
      </c>
      <c r="L34" s="46">
        <v>0</v>
      </c>
      <c r="M34" s="46">
        <v>0</v>
      </c>
      <c r="N34" s="46">
        <v>0</v>
      </c>
      <c r="O34" s="46">
        <v>0</v>
      </c>
      <c r="P34" s="46">
        <v>0</v>
      </c>
      <c r="Q34" s="46">
        <v>0</v>
      </c>
      <c r="R34" s="46">
        <v>0</v>
      </c>
      <c r="S34" s="46">
        <v>98</v>
      </c>
      <c r="T34" s="46">
        <v>120</v>
      </c>
      <c r="U34" s="46">
        <v>93</v>
      </c>
      <c r="V34" s="46">
        <v>129</v>
      </c>
      <c r="W34" s="46">
        <v>55</v>
      </c>
      <c r="X34" s="46">
        <v>49</v>
      </c>
      <c r="Y34" s="46">
        <v>0</v>
      </c>
      <c r="Z34" s="46">
        <v>0</v>
      </c>
      <c r="AA34" s="46">
        <v>0</v>
      </c>
      <c r="AB34" s="46">
        <v>0</v>
      </c>
      <c r="AC34" s="46">
        <v>0</v>
      </c>
      <c r="AD34" s="46">
        <v>0</v>
      </c>
      <c r="AE34" s="46">
        <v>0</v>
      </c>
      <c r="AF34" s="46">
        <v>246</v>
      </c>
      <c r="AG34" s="46">
        <v>298</v>
      </c>
      <c r="AH34" s="46">
        <v>544</v>
      </c>
      <c r="AI34" s="46">
        <v>246</v>
      </c>
      <c r="AJ34" s="46">
        <v>298</v>
      </c>
      <c r="AK34" s="46">
        <v>544</v>
      </c>
      <c r="AL34" s="46" t="s">
        <v>40</v>
      </c>
      <c r="AM34" s="47">
        <v>7940</v>
      </c>
    </row>
    <row r="35" spans="2:39" ht="18">
      <c r="B35" s="45"/>
      <c r="C35" s="46" t="s">
        <v>41</v>
      </c>
      <c r="D35" s="46">
        <v>8501</v>
      </c>
      <c r="E35" s="46">
        <v>44</v>
      </c>
      <c r="F35" s="46">
        <v>36</v>
      </c>
      <c r="G35" s="46">
        <v>39</v>
      </c>
      <c r="H35" s="46">
        <v>45</v>
      </c>
      <c r="I35" s="46">
        <v>32</v>
      </c>
      <c r="J35" s="46">
        <v>28</v>
      </c>
      <c r="K35" s="46">
        <v>31</v>
      </c>
      <c r="L35" s="46">
        <v>32</v>
      </c>
      <c r="M35" s="46">
        <v>46</v>
      </c>
      <c r="N35" s="46">
        <v>28</v>
      </c>
      <c r="O35" s="46">
        <v>32</v>
      </c>
      <c r="P35" s="46">
        <v>35</v>
      </c>
      <c r="Q35" s="46">
        <v>41</v>
      </c>
      <c r="R35" s="46">
        <v>30</v>
      </c>
      <c r="S35" s="46">
        <v>35</v>
      </c>
      <c r="T35" s="46">
        <v>25</v>
      </c>
      <c r="U35" s="46">
        <v>20</v>
      </c>
      <c r="V35" s="46">
        <v>32</v>
      </c>
      <c r="W35" s="46">
        <v>12</v>
      </c>
      <c r="X35" s="46">
        <v>18</v>
      </c>
      <c r="Y35" s="46">
        <v>0</v>
      </c>
      <c r="Z35" s="46">
        <v>0</v>
      </c>
      <c r="AA35" s="46">
        <v>0</v>
      </c>
      <c r="AB35" s="46">
        <v>0</v>
      </c>
      <c r="AC35" s="46">
        <v>265</v>
      </c>
      <c r="AD35" s="46">
        <v>234</v>
      </c>
      <c r="AE35" s="46">
        <v>499</v>
      </c>
      <c r="AF35" s="46">
        <v>67</v>
      </c>
      <c r="AG35" s="46">
        <v>75</v>
      </c>
      <c r="AH35" s="46">
        <v>142</v>
      </c>
      <c r="AI35" s="46">
        <v>332</v>
      </c>
      <c r="AJ35" s="46">
        <v>309</v>
      </c>
      <c r="AK35" s="46">
        <v>641</v>
      </c>
      <c r="AL35" s="46" t="s">
        <v>41</v>
      </c>
      <c r="AM35" s="47">
        <v>8501</v>
      </c>
    </row>
    <row r="36" spans="2:39" ht="18">
      <c r="B36" s="45"/>
      <c r="C36" s="46" t="s">
        <v>42</v>
      </c>
      <c r="D36" s="46">
        <v>7261</v>
      </c>
      <c r="E36" s="46">
        <v>0</v>
      </c>
      <c r="F36" s="46">
        <v>0</v>
      </c>
      <c r="G36" s="46">
        <v>0</v>
      </c>
      <c r="H36" s="46">
        <v>0</v>
      </c>
      <c r="I36" s="46">
        <v>0</v>
      </c>
      <c r="J36" s="46">
        <v>0</v>
      </c>
      <c r="K36" s="46">
        <v>0</v>
      </c>
      <c r="L36" s="46">
        <v>0</v>
      </c>
      <c r="M36" s="46">
        <v>0</v>
      </c>
      <c r="N36" s="46">
        <v>0</v>
      </c>
      <c r="O36" s="46">
        <v>0</v>
      </c>
      <c r="P36" s="46">
        <v>0</v>
      </c>
      <c r="Q36" s="46">
        <v>0</v>
      </c>
      <c r="R36" s="46">
        <v>0</v>
      </c>
      <c r="S36" s="46">
        <v>83</v>
      </c>
      <c r="T36" s="46">
        <v>113</v>
      </c>
      <c r="U36" s="46">
        <v>54</v>
      </c>
      <c r="V36" s="46">
        <v>93</v>
      </c>
      <c r="W36" s="46">
        <v>50</v>
      </c>
      <c r="X36" s="46">
        <v>89</v>
      </c>
      <c r="Y36" s="46">
        <v>24</v>
      </c>
      <c r="Z36" s="46">
        <v>46</v>
      </c>
      <c r="AA36" s="46">
        <v>28</v>
      </c>
      <c r="AB36" s="46">
        <v>40</v>
      </c>
      <c r="AC36" s="46">
        <v>0</v>
      </c>
      <c r="AD36" s="46">
        <v>0</v>
      </c>
      <c r="AE36" s="46">
        <v>0</v>
      </c>
      <c r="AF36" s="46">
        <v>239</v>
      </c>
      <c r="AG36" s="46">
        <v>381</v>
      </c>
      <c r="AH36" s="46">
        <v>620</v>
      </c>
      <c r="AI36" s="46">
        <v>239</v>
      </c>
      <c r="AJ36" s="46">
        <v>381</v>
      </c>
      <c r="AK36" s="46">
        <v>620</v>
      </c>
      <c r="AL36" s="46" t="s">
        <v>42</v>
      </c>
      <c r="AM36" s="47">
        <v>7261</v>
      </c>
    </row>
    <row r="37" spans="2:39" ht="18">
      <c r="B37" s="51" t="s">
        <v>43</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v>0</v>
      </c>
      <c r="AD37" s="52">
        <v>0</v>
      </c>
      <c r="AE37" s="52">
        <v>0</v>
      </c>
      <c r="AF37" s="52">
        <v>0</v>
      </c>
      <c r="AG37" s="52">
        <v>0</v>
      </c>
      <c r="AH37" s="52">
        <v>0</v>
      </c>
      <c r="AI37" s="52">
        <v>0</v>
      </c>
      <c r="AJ37" s="52">
        <v>0</v>
      </c>
      <c r="AK37" s="52">
        <v>0</v>
      </c>
      <c r="AL37" s="52"/>
      <c r="AM37" s="53"/>
    </row>
    <row r="38" spans="2:39" ht="18">
      <c r="B38" s="45"/>
      <c r="C38" s="46" t="s">
        <v>44</v>
      </c>
      <c r="D38" s="46">
        <v>7366</v>
      </c>
      <c r="E38" s="46">
        <v>86</v>
      </c>
      <c r="F38" s="46">
        <v>75</v>
      </c>
      <c r="G38" s="46">
        <v>70</v>
      </c>
      <c r="H38" s="46">
        <v>85</v>
      </c>
      <c r="I38" s="46">
        <v>90</v>
      </c>
      <c r="J38" s="46">
        <v>71</v>
      </c>
      <c r="K38" s="46">
        <v>51</v>
      </c>
      <c r="L38" s="46">
        <v>68</v>
      </c>
      <c r="M38" s="46">
        <v>72</v>
      </c>
      <c r="N38" s="46">
        <v>63</v>
      </c>
      <c r="O38" s="46">
        <v>52</v>
      </c>
      <c r="P38" s="46">
        <v>63</v>
      </c>
      <c r="Q38" s="46">
        <v>39</v>
      </c>
      <c r="R38" s="46">
        <v>46</v>
      </c>
      <c r="S38" s="46">
        <v>0</v>
      </c>
      <c r="T38" s="46">
        <v>0</v>
      </c>
      <c r="U38" s="46">
        <v>0</v>
      </c>
      <c r="V38" s="46">
        <v>0</v>
      </c>
      <c r="W38" s="46">
        <v>0</v>
      </c>
      <c r="X38" s="46">
        <v>0</v>
      </c>
      <c r="Y38" s="46">
        <v>0</v>
      </c>
      <c r="Z38" s="46">
        <v>0</v>
      </c>
      <c r="AA38" s="46">
        <v>0</v>
      </c>
      <c r="AB38" s="46">
        <v>0</v>
      </c>
      <c r="AC38" s="46">
        <v>460</v>
      </c>
      <c r="AD38" s="46">
        <v>471</v>
      </c>
      <c r="AE38" s="46">
        <v>931</v>
      </c>
      <c r="AF38" s="46">
        <v>0</v>
      </c>
      <c r="AG38" s="46">
        <v>0</v>
      </c>
      <c r="AH38" s="46">
        <v>0</v>
      </c>
      <c r="AI38" s="46">
        <v>460</v>
      </c>
      <c r="AJ38" s="46">
        <v>471</v>
      </c>
      <c r="AK38" s="46">
        <v>931</v>
      </c>
      <c r="AL38" s="46" t="s">
        <v>44</v>
      </c>
      <c r="AM38" s="47">
        <v>7366</v>
      </c>
    </row>
    <row r="39" spans="2:39" ht="18">
      <c r="B39" s="51" t="s">
        <v>45</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v>0</v>
      </c>
      <c r="AD39" s="52">
        <v>0</v>
      </c>
      <c r="AE39" s="52">
        <v>0</v>
      </c>
      <c r="AF39" s="52">
        <v>0</v>
      </c>
      <c r="AG39" s="52">
        <v>0</v>
      </c>
      <c r="AH39" s="52">
        <v>0</v>
      </c>
      <c r="AI39" s="52">
        <v>0</v>
      </c>
      <c r="AJ39" s="52">
        <v>0</v>
      </c>
      <c r="AK39" s="52">
        <v>0</v>
      </c>
      <c r="AL39" s="52"/>
      <c r="AM39" s="53"/>
    </row>
    <row r="40" spans="2:39" ht="18">
      <c r="B40" s="45"/>
      <c r="C40" s="46" t="s">
        <v>46</v>
      </c>
      <c r="D40" s="46">
        <v>8171</v>
      </c>
      <c r="E40" s="46">
        <v>29</v>
      </c>
      <c r="F40" s="46">
        <v>25</v>
      </c>
      <c r="G40" s="46">
        <v>30</v>
      </c>
      <c r="H40" s="46">
        <v>22</v>
      </c>
      <c r="I40" s="46">
        <v>32</v>
      </c>
      <c r="J40" s="46">
        <v>28</v>
      </c>
      <c r="K40" s="46">
        <v>39</v>
      </c>
      <c r="L40" s="46">
        <v>18</v>
      </c>
      <c r="M40" s="46">
        <v>42</v>
      </c>
      <c r="N40" s="46">
        <v>21</v>
      </c>
      <c r="O40" s="46">
        <v>38</v>
      </c>
      <c r="P40" s="46">
        <v>35</v>
      </c>
      <c r="Q40" s="46">
        <v>20</v>
      </c>
      <c r="R40" s="46">
        <v>39</v>
      </c>
      <c r="S40" s="46">
        <v>41</v>
      </c>
      <c r="T40" s="46">
        <v>66</v>
      </c>
      <c r="U40" s="46">
        <v>39</v>
      </c>
      <c r="V40" s="46">
        <v>48</v>
      </c>
      <c r="W40" s="46">
        <v>34</v>
      </c>
      <c r="X40" s="46">
        <v>46</v>
      </c>
      <c r="Y40" s="46">
        <v>0</v>
      </c>
      <c r="Z40" s="46">
        <v>0</v>
      </c>
      <c r="AA40" s="46">
        <v>0</v>
      </c>
      <c r="AB40" s="46">
        <v>0</v>
      </c>
      <c r="AC40" s="46">
        <v>230</v>
      </c>
      <c r="AD40" s="46">
        <v>188</v>
      </c>
      <c r="AE40" s="46">
        <v>418</v>
      </c>
      <c r="AF40" s="46">
        <v>114</v>
      </c>
      <c r="AG40" s="46">
        <v>160</v>
      </c>
      <c r="AH40" s="46">
        <v>274</v>
      </c>
      <c r="AI40" s="46">
        <v>344</v>
      </c>
      <c r="AJ40" s="46">
        <v>348</v>
      </c>
      <c r="AK40" s="46">
        <v>692</v>
      </c>
      <c r="AL40" s="46" t="s">
        <v>46</v>
      </c>
      <c r="AM40" s="47">
        <v>8171</v>
      </c>
    </row>
    <row r="41" spans="2:39" ht="18">
      <c r="B41" s="45"/>
      <c r="C41" s="46" t="s">
        <v>47</v>
      </c>
      <c r="D41" s="46">
        <v>8155</v>
      </c>
      <c r="E41" s="46">
        <v>16</v>
      </c>
      <c r="F41" s="46">
        <v>19</v>
      </c>
      <c r="G41" s="46">
        <v>21</v>
      </c>
      <c r="H41" s="46">
        <v>19</v>
      </c>
      <c r="I41" s="46">
        <v>16</v>
      </c>
      <c r="J41" s="46">
        <v>10</v>
      </c>
      <c r="K41" s="46">
        <v>19</v>
      </c>
      <c r="L41" s="46">
        <v>11</v>
      </c>
      <c r="M41" s="46">
        <v>22</v>
      </c>
      <c r="N41" s="46">
        <v>17</v>
      </c>
      <c r="O41" s="46">
        <v>15</v>
      </c>
      <c r="P41" s="46">
        <v>18</v>
      </c>
      <c r="Q41" s="46">
        <v>10</v>
      </c>
      <c r="R41" s="46">
        <v>16</v>
      </c>
      <c r="S41" s="46">
        <v>9</v>
      </c>
      <c r="T41" s="46">
        <v>18</v>
      </c>
      <c r="U41" s="46">
        <v>7</v>
      </c>
      <c r="V41" s="46">
        <v>5</v>
      </c>
      <c r="W41" s="46">
        <v>0</v>
      </c>
      <c r="X41" s="46">
        <v>0</v>
      </c>
      <c r="Y41" s="46">
        <v>0</v>
      </c>
      <c r="Z41" s="46">
        <v>0</v>
      </c>
      <c r="AA41" s="46">
        <v>0</v>
      </c>
      <c r="AB41" s="46">
        <v>0</v>
      </c>
      <c r="AC41" s="46">
        <v>119</v>
      </c>
      <c r="AD41" s="46">
        <v>110</v>
      </c>
      <c r="AE41" s="46">
        <v>229</v>
      </c>
      <c r="AF41" s="46">
        <v>16</v>
      </c>
      <c r="AG41" s="46">
        <v>23</v>
      </c>
      <c r="AH41" s="46">
        <v>39</v>
      </c>
      <c r="AI41" s="46">
        <v>135</v>
      </c>
      <c r="AJ41" s="46">
        <v>133</v>
      </c>
      <c r="AK41" s="46">
        <v>268</v>
      </c>
      <c r="AL41" s="46" t="s">
        <v>47</v>
      </c>
      <c r="AM41" s="47">
        <v>8155</v>
      </c>
    </row>
    <row r="42" spans="2:39" ht="18">
      <c r="B42" s="45"/>
      <c r="C42" s="46" t="s">
        <v>48</v>
      </c>
      <c r="D42" s="46">
        <v>8263</v>
      </c>
      <c r="E42" s="46">
        <v>42</v>
      </c>
      <c r="F42" s="46">
        <v>36</v>
      </c>
      <c r="G42" s="46">
        <v>44</v>
      </c>
      <c r="H42" s="46">
        <v>28</v>
      </c>
      <c r="I42" s="46">
        <v>53</v>
      </c>
      <c r="J42" s="46">
        <v>37</v>
      </c>
      <c r="K42" s="46">
        <v>44</v>
      </c>
      <c r="L42" s="46">
        <v>52</v>
      </c>
      <c r="M42" s="46">
        <v>45</v>
      </c>
      <c r="N42" s="46">
        <v>53</v>
      </c>
      <c r="O42" s="46">
        <v>39</v>
      </c>
      <c r="P42" s="46">
        <v>49</v>
      </c>
      <c r="Q42" s="46">
        <v>36</v>
      </c>
      <c r="R42" s="46">
        <v>48</v>
      </c>
      <c r="S42" s="46">
        <v>39</v>
      </c>
      <c r="T42" s="46">
        <v>52</v>
      </c>
      <c r="U42" s="46">
        <v>35</v>
      </c>
      <c r="V42" s="46">
        <v>40</v>
      </c>
      <c r="W42" s="46">
        <v>8</v>
      </c>
      <c r="X42" s="46">
        <v>20</v>
      </c>
      <c r="Y42" s="46">
        <v>0</v>
      </c>
      <c r="Z42" s="46">
        <v>0</v>
      </c>
      <c r="AA42" s="46">
        <v>0</v>
      </c>
      <c r="AB42" s="46">
        <v>0</v>
      </c>
      <c r="AC42" s="46">
        <v>303</v>
      </c>
      <c r="AD42" s="46">
        <v>303</v>
      </c>
      <c r="AE42" s="46">
        <v>606</v>
      </c>
      <c r="AF42" s="46">
        <v>82</v>
      </c>
      <c r="AG42" s="46">
        <v>112</v>
      </c>
      <c r="AH42" s="46">
        <v>194</v>
      </c>
      <c r="AI42" s="46">
        <v>385</v>
      </c>
      <c r="AJ42" s="46">
        <v>415</v>
      </c>
      <c r="AK42" s="46">
        <v>800</v>
      </c>
      <c r="AL42" s="46" t="s">
        <v>48</v>
      </c>
      <c r="AM42" s="47">
        <v>8263</v>
      </c>
    </row>
    <row r="43" spans="2:39" ht="18">
      <c r="B43" s="45"/>
      <c r="C43" s="46" t="s">
        <v>49</v>
      </c>
      <c r="D43" s="46">
        <v>8201</v>
      </c>
      <c r="E43" s="46">
        <v>40</v>
      </c>
      <c r="F43" s="46">
        <v>35</v>
      </c>
      <c r="G43" s="46">
        <v>29</v>
      </c>
      <c r="H43" s="46">
        <v>44</v>
      </c>
      <c r="I43" s="46">
        <v>34</v>
      </c>
      <c r="J43" s="46">
        <v>31</v>
      </c>
      <c r="K43" s="46">
        <v>31</v>
      </c>
      <c r="L43" s="46">
        <v>33</v>
      </c>
      <c r="M43" s="46">
        <v>49</v>
      </c>
      <c r="N43" s="46">
        <v>32</v>
      </c>
      <c r="O43" s="46">
        <v>42</v>
      </c>
      <c r="P43" s="46">
        <v>81</v>
      </c>
      <c r="Q43" s="46">
        <v>45</v>
      </c>
      <c r="R43" s="46">
        <v>44</v>
      </c>
      <c r="S43" s="46">
        <v>43</v>
      </c>
      <c r="T43" s="46">
        <v>72</v>
      </c>
      <c r="U43" s="46">
        <v>32</v>
      </c>
      <c r="V43" s="46">
        <v>40</v>
      </c>
      <c r="W43" s="46">
        <v>33</v>
      </c>
      <c r="X43" s="46">
        <v>46</v>
      </c>
      <c r="Y43" s="46">
        <v>0</v>
      </c>
      <c r="Z43" s="46">
        <v>0</v>
      </c>
      <c r="AA43" s="46">
        <v>0</v>
      </c>
      <c r="AB43" s="46">
        <v>0</v>
      </c>
      <c r="AC43" s="46">
        <v>270</v>
      </c>
      <c r="AD43" s="46">
        <v>300</v>
      </c>
      <c r="AE43" s="46">
        <v>570</v>
      </c>
      <c r="AF43" s="46">
        <v>108</v>
      </c>
      <c r="AG43" s="46">
        <v>158</v>
      </c>
      <c r="AH43" s="46">
        <v>266</v>
      </c>
      <c r="AI43" s="46">
        <v>378</v>
      </c>
      <c r="AJ43" s="46">
        <v>458</v>
      </c>
      <c r="AK43" s="46">
        <v>836</v>
      </c>
      <c r="AL43" s="46" t="s">
        <v>49</v>
      </c>
      <c r="AM43" s="47">
        <v>8201</v>
      </c>
    </row>
    <row r="44" spans="2:39" ht="18">
      <c r="B44" s="45"/>
      <c r="C44" s="46" t="s">
        <v>50</v>
      </c>
      <c r="D44" s="46">
        <v>8355</v>
      </c>
      <c r="E44" s="46">
        <v>28</v>
      </c>
      <c r="F44" s="46">
        <v>26</v>
      </c>
      <c r="G44" s="46">
        <v>36</v>
      </c>
      <c r="H44" s="46">
        <v>16</v>
      </c>
      <c r="I44" s="46">
        <v>32</v>
      </c>
      <c r="J44" s="46">
        <v>25</v>
      </c>
      <c r="K44" s="46">
        <v>31</v>
      </c>
      <c r="L44" s="46">
        <v>16</v>
      </c>
      <c r="M44" s="46">
        <v>45</v>
      </c>
      <c r="N44" s="46">
        <v>38</v>
      </c>
      <c r="O44" s="46">
        <v>39</v>
      </c>
      <c r="P44" s="46">
        <v>37</v>
      </c>
      <c r="Q44" s="46">
        <v>26</v>
      </c>
      <c r="R44" s="46">
        <v>35</v>
      </c>
      <c r="S44" s="46">
        <v>47</v>
      </c>
      <c r="T44" s="46">
        <v>43</v>
      </c>
      <c r="U44" s="46">
        <v>20</v>
      </c>
      <c r="V44" s="46">
        <v>23</v>
      </c>
      <c r="W44" s="46">
        <v>22</v>
      </c>
      <c r="X44" s="46">
        <v>20</v>
      </c>
      <c r="Y44" s="46">
        <v>0</v>
      </c>
      <c r="Z44" s="46">
        <v>0</v>
      </c>
      <c r="AA44" s="46">
        <v>0</v>
      </c>
      <c r="AB44" s="46">
        <v>0</v>
      </c>
      <c r="AC44" s="46">
        <v>237</v>
      </c>
      <c r="AD44" s="46">
        <v>193</v>
      </c>
      <c r="AE44" s="46">
        <v>430</v>
      </c>
      <c r="AF44" s="46">
        <v>89</v>
      </c>
      <c r="AG44" s="46">
        <v>86</v>
      </c>
      <c r="AH44" s="46">
        <v>175</v>
      </c>
      <c r="AI44" s="46">
        <v>326</v>
      </c>
      <c r="AJ44" s="46">
        <v>279</v>
      </c>
      <c r="AK44" s="46">
        <v>605</v>
      </c>
      <c r="AL44" s="46" t="s">
        <v>50</v>
      </c>
      <c r="AM44" s="47">
        <v>8355</v>
      </c>
    </row>
    <row r="45" spans="2:39" ht="18">
      <c r="B45" s="45"/>
      <c r="C45" s="46" t="s">
        <v>51</v>
      </c>
      <c r="D45" s="46">
        <v>8347</v>
      </c>
      <c r="E45" s="46">
        <v>12</v>
      </c>
      <c r="F45" s="46">
        <v>5</v>
      </c>
      <c r="G45" s="46">
        <v>12</v>
      </c>
      <c r="H45" s="46">
        <v>4</v>
      </c>
      <c r="I45" s="46">
        <v>21</v>
      </c>
      <c r="J45" s="46">
        <v>8</v>
      </c>
      <c r="K45" s="46">
        <v>13</v>
      </c>
      <c r="L45" s="46">
        <v>14</v>
      </c>
      <c r="M45" s="46">
        <v>19</v>
      </c>
      <c r="N45" s="46">
        <v>29</v>
      </c>
      <c r="O45" s="46">
        <v>9</v>
      </c>
      <c r="P45" s="46">
        <v>16</v>
      </c>
      <c r="Q45" s="46">
        <v>27</v>
      </c>
      <c r="R45" s="46">
        <v>22</v>
      </c>
      <c r="S45" s="46">
        <v>12</v>
      </c>
      <c r="T45" s="46">
        <v>26</v>
      </c>
      <c r="U45" s="46">
        <v>16</v>
      </c>
      <c r="V45" s="46">
        <v>17</v>
      </c>
      <c r="W45" s="46">
        <v>9</v>
      </c>
      <c r="X45" s="46">
        <v>12</v>
      </c>
      <c r="Y45" s="46">
        <v>0</v>
      </c>
      <c r="Z45" s="46">
        <v>0</v>
      </c>
      <c r="AA45" s="46">
        <v>0</v>
      </c>
      <c r="AB45" s="46">
        <v>0</v>
      </c>
      <c r="AC45" s="46">
        <v>113</v>
      </c>
      <c r="AD45" s="46">
        <v>98</v>
      </c>
      <c r="AE45" s="46">
        <v>211</v>
      </c>
      <c r="AF45" s="46">
        <v>37</v>
      </c>
      <c r="AG45" s="46">
        <v>55</v>
      </c>
      <c r="AH45" s="46">
        <v>92</v>
      </c>
      <c r="AI45" s="46">
        <v>150</v>
      </c>
      <c r="AJ45" s="46">
        <v>153</v>
      </c>
      <c r="AK45" s="46">
        <v>303</v>
      </c>
      <c r="AL45" s="46" t="s">
        <v>51</v>
      </c>
      <c r="AM45" s="47">
        <v>8347</v>
      </c>
    </row>
    <row r="46" spans="2:39" ht="18">
      <c r="B46" s="45"/>
      <c r="C46" s="46" t="s">
        <v>52</v>
      </c>
      <c r="D46" s="46">
        <v>8298</v>
      </c>
      <c r="E46" s="46">
        <v>35</v>
      </c>
      <c r="F46" s="46">
        <v>37</v>
      </c>
      <c r="G46" s="46">
        <v>20</v>
      </c>
      <c r="H46" s="46">
        <v>34</v>
      </c>
      <c r="I46" s="46">
        <v>34</v>
      </c>
      <c r="J46" s="46">
        <v>19</v>
      </c>
      <c r="K46" s="46">
        <v>34</v>
      </c>
      <c r="L46" s="46">
        <v>43</v>
      </c>
      <c r="M46" s="46">
        <v>44</v>
      </c>
      <c r="N46" s="46">
        <v>49</v>
      </c>
      <c r="O46" s="46">
        <v>29</v>
      </c>
      <c r="P46" s="46">
        <v>25</v>
      </c>
      <c r="Q46" s="46">
        <v>38</v>
      </c>
      <c r="R46" s="46">
        <v>42</v>
      </c>
      <c r="S46" s="46">
        <v>49</v>
      </c>
      <c r="T46" s="46">
        <v>68</v>
      </c>
      <c r="U46" s="46">
        <v>40</v>
      </c>
      <c r="V46" s="46">
        <v>56</v>
      </c>
      <c r="W46" s="46">
        <v>24</v>
      </c>
      <c r="X46" s="46">
        <v>27</v>
      </c>
      <c r="Y46" s="46">
        <v>0</v>
      </c>
      <c r="Z46" s="46">
        <v>0</v>
      </c>
      <c r="AA46" s="46">
        <v>0</v>
      </c>
      <c r="AB46" s="46">
        <v>0</v>
      </c>
      <c r="AC46" s="46">
        <v>234</v>
      </c>
      <c r="AD46" s="46">
        <v>249</v>
      </c>
      <c r="AE46" s="46">
        <v>483</v>
      </c>
      <c r="AF46" s="46">
        <v>113</v>
      </c>
      <c r="AG46" s="46">
        <v>151</v>
      </c>
      <c r="AH46" s="46">
        <v>264</v>
      </c>
      <c r="AI46" s="46">
        <v>347</v>
      </c>
      <c r="AJ46" s="46">
        <v>400</v>
      </c>
      <c r="AK46" s="46">
        <v>747</v>
      </c>
      <c r="AL46" s="46" t="s">
        <v>52</v>
      </c>
      <c r="AM46" s="47">
        <v>8298</v>
      </c>
    </row>
    <row r="47" spans="2:39" ht="18">
      <c r="B47" s="45"/>
      <c r="C47" s="46" t="s">
        <v>53</v>
      </c>
      <c r="D47" s="46">
        <v>8335</v>
      </c>
      <c r="E47" s="46">
        <v>25</v>
      </c>
      <c r="F47" s="46">
        <v>15</v>
      </c>
      <c r="G47" s="46">
        <v>19</v>
      </c>
      <c r="H47" s="46">
        <v>26</v>
      </c>
      <c r="I47" s="46">
        <v>23</v>
      </c>
      <c r="J47" s="46">
        <v>18</v>
      </c>
      <c r="K47" s="46">
        <v>26</v>
      </c>
      <c r="L47" s="46">
        <v>16</v>
      </c>
      <c r="M47" s="46">
        <v>39</v>
      </c>
      <c r="N47" s="46">
        <v>46</v>
      </c>
      <c r="O47" s="46">
        <v>14</v>
      </c>
      <c r="P47" s="46">
        <v>22</v>
      </c>
      <c r="Q47" s="46">
        <v>18</v>
      </c>
      <c r="R47" s="46">
        <v>29</v>
      </c>
      <c r="S47" s="46">
        <v>19</v>
      </c>
      <c r="T47" s="46">
        <v>16</v>
      </c>
      <c r="U47" s="46">
        <v>16</v>
      </c>
      <c r="V47" s="46">
        <v>20</v>
      </c>
      <c r="W47" s="46">
        <v>12</v>
      </c>
      <c r="X47" s="46">
        <v>15</v>
      </c>
      <c r="Y47" s="46">
        <v>0</v>
      </c>
      <c r="Z47" s="46">
        <v>0</v>
      </c>
      <c r="AA47" s="46">
        <v>0</v>
      </c>
      <c r="AB47" s="46">
        <v>0</v>
      </c>
      <c r="AC47" s="46">
        <v>164</v>
      </c>
      <c r="AD47" s="46">
        <v>172</v>
      </c>
      <c r="AE47" s="46">
        <v>336</v>
      </c>
      <c r="AF47" s="46">
        <v>47</v>
      </c>
      <c r="AG47" s="46">
        <v>51</v>
      </c>
      <c r="AH47" s="46">
        <v>98</v>
      </c>
      <c r="AI47" s="46">
        <v>211</v>
      </c>
      <c r="AJ47" s="46">
        <v>223</v>
      </c>
      <c r="AK47" s="46">
        <v>434</v>
      </c>
      <c r="AL47" s="46" t="s">
        <v>53</v>
      </c>
      <c r="AM47" s="47">
        <v>8335</v>
      </c>
    </row>
    <row r="48" spans="2:39" ht="18">
      <c r="B48" s="45"/>
      <c r="C48" s="46" t="s">
        <v>54</v>
      </c>
      <c r="D48" s="46">
        <v>8337</v>
      </c>
      <c r="E48" s="46">
        <v>22</v>
      </c>
      <c r="F48" s="46">
        <v>16</v>
      </c>
      <c r="G48" s="46">
        <v>18</v>
      </c>
      <c r="H48" s="46">
        <v>19</v>
      </c>
      <c r="I48" s="46">
        <v>20</v>
      </c>
      <c r="J48" s="46">
        <v>18</v>
      </c>
      <c r="K48" s="46">
        <v>13</v>
      </c>
      <c r="L48" s="46">
        <v>14</v>
      </c>
      <c r="M48" s="46">
        <v>22</v>
      </c>
      <c r="N48" s="46">
        <v>24</v>
      </c>
      <c r="O48" s="46">
        <v>10</v>
      </c>
      <c r="P48" s="46">
        <v>10</v>
      </c>
      <c r="Q48" s="46">
        <v>5</v>
      </c>
      <c r="R48" s="46">
        <v>27</v>
      </c>
      <c r="S48" s="46">
        <v>22</v>
      </c>
      <c r="T48" s="46">
        <v>21</v>
      </c>
      <c r="U48" s="46">
        <v>13</v>
      </c>
      <c r="V48" s="46">
        <v>21</v>
      </c>
      <c r="W48" s="46">
        <v>12</v>
      </c>
      <c r="X48" s="46">
        <v>13</v>
      </c>
      <c r="Y48" s="46">
        <v>0</v>
      </c>
      <c r="Z48" s="46">
        <v>0</v>
      </c>
      <c r="AA48" s="46">
        <v>0</v>
      </c>
      <c r="AB48" s="46">
        <v>0</v>
      </c>
      <c r="AC48" s="46">
        <v>110</v>
      </c>
      <c r="AD48" s="46">
        <v>128</v>
      </c>
      <c r="AE48" s="46">
        <v>238</v>
      </c>
      <c r="AF48" s="46">
        <v>47</v>
      </c>
      <c r="AG48" s="46">
        <v>55</v>
      </c>
      <c r="AH48" s="46">
        <v>102</v>
      </c>
      <c r="AI48" s="46">
        <v>157</v>
      </c>
      <c r="AJ48" s="46">
        <v>183</v>
      </c>
      <c r="AK48" s="46">
        <v>340</v>
      </c>
      <c r="AL48" s="46" t="s">
        <v>54</v>
      </c>
      <c r="AM48" s="47">
        <v>8337</v>
      </c>
    </row>
    <row r="49" spans="2:39" ht="18">
      <c r="B49" s="45"/>
      <c r="C49" s="46" t="s">
        <v>55</v>
      </c>
      <c r="D49" s="46">
        <v>8022</v>
      </c>
      <c r="E49" s="46">
        <v>28</v>
      </c>
      <c r="F49" s="46">
        <v>16</v>
      </c>
      <c r="G49" s="46">
        <v>16</v>
      </c>
      <c r="H49" s="46">
        <v>22</v>
      </c>
      <c r="I49" s="46">
        <v>14</v>
      </c>
      <c r="J49" s="46">
        <v>13</v>
      </c>
      <c r="K49" s="46">
        <v>22</v>
      </c>
      <c r="L49" s="46">
        <v>11</v>
      </c>
      <c r="M49" s="46">
        <v>17</v>
      </c>
      <c r="N49" s="46">
        <v>21</v>
      </c>
      <c r="O49" s="46">
        <v>11</v>
      </c>
      <c r="P49" s="46">
        <v>12</v>
      </c>
      <c r="Q49" s="46">
        <v>14</v>
      </c>
      <c r="R49" s="46">
        <v>20</v>
      </c>
      <c r="S49" s="46">
        <v>18</v>
      </c>
      <c r="T49" s="46">
        <v>22</v>
      </c>
      <c r="U49" s="46">
        <v>5</v>
      </c>
      <c r="V49" s="46">
        <v>8</v>
      </c>
      <c r="W49" s="46">
        <v>5</v>
      </c>
      <c r="X49" s="46">
        <v>8</v>
      </c>
      <c r="Y49" s="46">
        <v>0</v>
      </c>
      <c r="Z49" s="46">
        <v>0</v>
      </c>
      <c r="AA49" s="46">
        <v>0</v>
      </c>
      <c r="AB49" s="46">
        <v>0</v>
      </c>
      <c r="AC49" s="46">
        <v>122</v>
      </c>
      <c r="AD49" s="46">
        <v>115</v>
      </c>
      <c r="AE49" s="46">
        <v>237</v>
      </c>
      <c r="AF49" s="46">
        <v>28</v>
      </c>
      <c r="AG49" s="46">
        <v>38</v>
      </c>
      <c r="AH49" s="46">
        <v>66</v>
      </c>
      <c r="AI49" s="46">
        <v>150</v>
      </c>
      <c r="AJ49" s="46">
        <v>153</v>
      </c>
      <c r="AK49" s="46">
        <v>303</v>
      </c>
      <c r="AL49" s="46" t="s">
        <v>55</v>
      </c>
      <c r="AM49" s="47">
        <v>8022</v>
      </c>
    </row>
    <row r="50" spans="2:39" ht="18">
      <c r="B50" s="51" t="s">
        <v>56</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v>0</v>
      </c>
      <c r="AD50" s="52">
        <v>0</v>
      </c>
      <c r="AE50" s="52">
        <v>0</v>
      </c>
      <c r="AF50" s="52">
        <v>0</v>
      </c>
      <c r="AG50" s="52">
        <v>0</v>
      </c>
      <c r="AH50" s="52">
        <v>0</v>
      </c>
      <c r="AI50" s="52">
        <v>0</v>
      </c>
      <c r="AJ50" s="52">
        <v>0</v>
      </c>
      <c r="AK50" s="52">
        <v>0</v>
      </c>
      <c r="AL50" s="52"/>
      <c r="AM50" s="53"/>
    </row>
    <row r="51" spans="2:39" ht="18">
      <c r="B51" s="45"/>
      <c r="C51" s="46" t="s">
        <v>57</v>
      </c>
      <c r="D51" s="46">
        <v>7323</v>
      </c>
      <c r="E51" s="46">
        <v>0</v>
      </c>
      <c r="F51" s="46">
        <v>0</v>
      </c>
      <c r="G51" s="46">
        <v>0</v>
      </c>
      <c r="H51" s="46">
        <v>0</v>
      </c>
      <c r="I51" s="46">
        <v>0</v>
      </c>
      <c r="J51" s="46">
        <v>0</v>
      </c>
      <c r="K51" s="46">
        <v>0</v>
      </c>
      <c r="L51" s="46">
        <v>0</v>
      </c>
      <c r="M51" s="46">
        <v>0</v>
      </c>
      <c r="N51" s="46">
        <v>0</v>
      </c>
      <c r="O51" s="46">
        <v>0</v>
      </c>
      <c r="P51" s="46">
        <v>0</v>
      </c>
      <c r="Q51" s="46">
        <v>0</v>
      </c>
      <c r="R51" s="46">
        <v>0</v>
      </c>
      <c r="S51" s="46">
        <v>97</v>
      </c>
      <c r="T51" s="46">
        <v>124</v>
      </c>
      <c r="U51" s="46">
        <v>85</v>
      </c>
      <c r="V51" s="46">
        <v>79</v>
      </c>
      <c r="W51" s="46">
        <v>65</v>
      </c>
      <c r="X51" s="46">
        <v>69</v>
      </c>
      <c r="Y51" s="46">
        <v>0</v>
      </c>
      <c r="Z51" s="46">
        <v>0</v>
      </c>
      <c r="AA51" s="46">
        <v>0</v>
      </c>
      <c r="AB51" s="46">
        <v>0</v>
      </c>
      <c r="AC51" s="46">
        <v>0</v>
      </c>
      <c r="AD51" s="46">
        <v>0</v>
      </c>
      <c r="AE51" s="46">
        <v>0</v>
      </c>
      <c r="AF51" s="46">
        <v>247</v>
      </c>
      <c r="AG51" s="46">
        <v>272</v>
      </c>
      <c r="AH51" s="46">
        <v>519</v>
      </c>
      <c r="AI51" s="46">
        <v>247</v>
      </c>
      <c r="AJ51" s="46">
        <v>272</v>
      </c>
      <c r="AK51" s="46">
        <v>519</v>
      </c>
      <c r="AL51" s="46" t="s">
        <v>57</v>
      </c>
      <c r="AM51" s="47">
        <v>7323</v>
      </c>
    </row>
    <row r="52" spans="2:39" ht="18">
      <c r="B52" s="45"/>
      <c r="C52" s="46" t="s">
        <v>58</v>
      </c>
      <c r="D52" s="46">
        <v>7422</v>
      </c>
      <c r="E52" s="46">
        <v>0</v>
      </c>
      <c r="F52" s="46">
        <v>0</v>
      </c>
      <c r="G52" s="46">
        <v>0</v>
      </c>
      <c r="H52" s="46">
        <v>0</v>
      </c>
      <c r="I52" s="46">
        <v>0</v>
      </c>
      <c r="J52" s="46">
        <v>0</v>
      </c>
      <c r="K52" s="46">
        <v>0</v>
      </c>
      <c r="L52" s="46">
        <v>0</v>
      </c>
      <c r="M52" s="46">
        <v>0</v>
      </c>
      <c r="N52" s="46">
        <v>0</v>
      </c>
      <c r="O52" s="46">
        <v>0</v>
      </c>
      <c r="P52" s="46">
        <v>0</v>
      </c>
      <c r="Q52" s="46">
        <v>0</v>
      </c>
      <c r="R52" s="46">
        <v>0</v>
      </c>
      <c r="S52" s="46">
        <v>69</v>
      </c>
      <c r="T52" s="46">
        <v>72</v>
      </c>
      <c r="U52" s="46">
        <v>31</v>
      </c>
      <c r="V52" s="46">
        <v>31</v>
      </c>
      <c r="W52" s="46">
        <v>61</v>
      </c>
      <c r="X52" s="46">
        <v>52</v>
      </c>
      <c r="Y52" s="46">
        <v>0</v>
      </c>
      <c r="Z52" s="46">
        <v>0</v>
      </c>
      <c r="AA52" s="46">
        <v>0</v>
      </c>
      <c r="AB52" s="46">
        <v>0</v>
      </c>
      <c r="AC52" s="46">
        <v>0</v>
      </c>
      <c r="AD52" s="46">
        <v>0</v>
      </c>
      <c r="AE52" s="46">
        <v>0</v>
      </c>
      <c r="AF52" s="46">
        <v>161</v>
      </c>
      <c r="AG52" s="46">
        <v>155</v>
      </c>
      <c r="AH52" s="46">
        <v>316</v>
      </c>
      <c r="AI52" s="46">
        <v>161</v>
      </c>
      <c r="AJ52" s="46">
        <v>155</v>
      </c>
      <c r="AK52" s="46">
        <v>316</v>
      </c>
      <c r="AL52" s="46" t="s">
        <v>58</v>
      </c>
      <c r="AM52" s="47">
        <v>7422</v>
      </c>
    </row>
    <row r="53" spans="2:39" ht="18">
      <c r="B53" s="45"/>
      <c r="C53" s="46" t="s">
        <v>59</v>
      </c>
      <c r="D53" s="46">
        <v>7428</v>
      </c>
      <c r="E53" s="46">
        <v>0</v>
      </c>
      <c r="F53" s="46">
        <v>0</v>
      </c>
      <c r="G53" s="46">
        <v>0</v>
      </c>
      <c r="H53" s="46">
        <v>0</v>
      </c>
      <c r="I53" s="46">
        <v>0</v>
      </c>
      <c r="J53" s="46">
        <v>0</v>
      </c>
      <c r="K53" s="46">
        <v>0</v>
      </c>
      <c r="L53" s="46">
        <v>0</v>
      </c>
      <c r="M53" s="46">
        <v>0</v>
      </c>
      <c r="N53" s="46">
        <v>0</v>
      </c>
      <c r="O53" s="46">
        <v>0</v>
      </c>
      <c r="P53" s="46">
        <v>0</v>
      </c>
      <c r="Q53" s="46">
        <v>0</v>
      </c>
      <c r="R53" s="46">
        <v>0</v>
      </c>
      <c r="S53" s="46">
        <v>53</v>
      </c>
      <c r="T53" s="46">
        <v>47</v>
      </c>
      <c r="U53" s="46">
        <v>48</v>
      </c>
      <c r="V53" s="46">
        <v>37</v>
      </c>
      <c r="W53" s="46">
        <v>29</v>
      </c>
      <c r="X53" s="46">
        <v>25</v>
      </c>
      <c r="Y53" s="46">
        <v>0</v>
      </c>
      <c r="Z53" s="46">
        <v>0</v>
      </c>
      <c r="AA53" s="46">
        <v>0</v>
      </c>
      <c r="AB53" s="46">
        <v>0</v>
      </c>
      <c r="AC53" s="46">
        <v>0</v>
      </c>
      <c r="AD53" s="46">
        <v>0</v>
      </c>
      <c r="AE53" s="46">
        <v>0</v>
      </c>
      <c r="AF53" s="46">
        <v>130</v>
      </c>
      <c r="AG53" s="46">
        <v>109</v>
      </c>
      <c r="AH53" s="46">
        <v>239</v>
      </c>
      <c r="AI53" s="46">
        <v>130</v>
      </c>
      <c r="AJ53" s="46">
        <v>109</v>
      </c>
      <c r="AK53" s="46">
        <v>239</v>
      </c>
      <c r="AL53" s="46" t="s">
        <v>59</v>
      </c>
      <c r="AM53" s="47">
        <v>7428</v>
      </c>
    </row>
    <row r="54" spans="2:39" ht="18">
      <c r="B54" s="51" t="s">
        <v>60</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v>0</v>
      </c>
      <c r="AD54" s="52">
        <v>0</v>
      </c>
      <c r="AE54" s="52">
        <v>0</v>
      </c>
      <c r="AF54" s="52">
        <v>0</v>
      </c>
      <c r="AG54" s="52">
        <v>0</v>
      </c>
      <c r="AH54" s="52">
        <v>0</v>
      </c>
      <c r="AI54" s="52">
        <v>0</v>
      </c>
      <c r="AJ54" s="52">
        <v>0</v>
      </c>
      <c r="AK54" s="52">
        <v>0</v>
      </c>
      <c r="AL54" s="52"/>
      <c r="AM54" s="53"/>
    </row>
    <row r="55" spans="2:39" ht="18">
      <c r="B55" s="45"/>
      <c r="C55" s="46" t="s">
        <v>61</v>
      </c>
      <c r="D55" s="46">
        <v>8120</v>
      </c>
      <c r="E55" s="46">
        <v>29</v>
      </c>
      <c r="F55" s="46">
        <v>41</v>
      </c>
      <c r="G55" s="46">
        <v>21</v>
      </c>
      <c r="H55" s="46">
        <v>34</v>
      </c>
      <c r="I55" s="46">
        <v>32</v>
      </c>
      <c r="J55" s="46">
        <v>32</v>
      </c>
      <c r="K55" s="46">
        <v>38</v>
      </c>
      <c r="L55" s="46">
        <v>31</v>
      </c>
      <c r="M55" s="46">
        <v>69</v>
      </c>
      <c r="N55" s="46">
        <v>41</v>
      </c>
      <c r="O55" s="46">
        <v>35</v>
      </c>
      <c r="P55" s="46">
        <v>46</v>
      </c>
      <c r="Q55" s="46">
        <v>32</v>
      </c>
      <c r="R55" s="46">
        <v>59</v>
      </c>
      <c r="S55" s="46">
        <v>43</v>
      </c>
      <c r="T55" s="46">
        <v>56</v>
      </c>
      <c r="U55" s="46">
        <v>31</v>
      </c>
      <c r="V55" s="46">
        <v>41</v>
      </c>
      <c r="W55" s="46">
        <v>31</v>
      </c>
      <c r="X55" s="46">
        <v>62</v>
      </c>
      <c r="Y55" s="46">
        <v>0</v>
      </c>
      <c r="Z55" s="46">
        <v>0</v>
      </c>
      <c r="AA55" s="46">
        <v>0</v>
      </c>
      <c r="AB55" s="46">
        <v>0</v>
      </c>
      <c r="AC55" s="46">
        <v>256</v>
      </c>
      <c r="AD55" s="46">
        <v>284</v>
      </c>
      <c r="AE55" s="46">
        <v>540</v>
      </c>
      <c r="AF55" s="46">
        <v>105</v>
      </c>
      <c r="AG55" s="46">
        <v>159</v>
      </c>
      <c r="AH55" s="46">
        <v>264</v>
      </c>
      <c r="AI55" s="46">
        <v>361</v>
      </c>
      <c r="AJ55" s="46">
        <v>443</v>
      </c>
      <c r="AK55" s="46">
        <v>804</v>
      </c>
      <c r="AL55" s="46" t="s">
        <v>61</v>
      </c>
      <c r="AM55" s="47">
        <v>8120</v>
      </c>
    </row>
    <row r="56" spans="2:39" ht="18">
      <c r="B56" s="45"/>
      <c r="C56" s="46" t="s">
        <v>62</v>
      </c>
      <c r="D56" s="46">
        <v>8069</v>
      </c>
      <c r="E56" s="46">
        <v>30</v>
      </c>
      <c r="F56" s="46">
        <v>25</v>
      </c>
      <c r="G56" s="46">
        <v>22</v>
      </c>
      <c r="H56" s="46">
        <v>30</v>
      </c>
      <c r="I56" s="46">
        <v>28</v>
      </c>
      <c r="J56" s="46">
        <v>30</v>
      </c>
      <c r="K56" s="46">
        <v>36</v>
      </c>
      <c r="L56" s="46">
        <v>26</v>
      </c>
      <c r="M56" s="46">
        <v>47</v>
      </c>
      <c r="N56" s="46">
        <v>38</v>
      </c>
      <c r="O56" s="46">
        <v>37</v>
      </c>
      <c r="P56" s="46">
        <v>31</v>
      </c>
      <c r="Q56" s="46">
        <v>30</v>
      </c>
      <c r="R56" s="46">
        <v>42</v>
      </c>
      <c r="S56" s="46">
        <v>28</v>
      </c>
      <c r="T56" s="46">
        <v>42</v>
      </c>
      <c r="U56" s="46">
        <v>42</v>
      </c>
      <c r="V56" s="46">
        <v>43</v>
      </c>
      <c r="W56" s="46">
        <v>32</v>
      </c>
      <c r="X56" s="46">
        <v>40</v>
      </c>
      <c r="Y56" s="46">
        <v>0</v>
      </c>
      <c r="Z56" s="46">
        <v>0</v>
      </c>
      <c r="AA56" s="46">
        <v>0</v>
      </c>
      <c r="AB56" s="46">
        <v>0</v>
      </c>
      <c r="AC56" s="46">
        <v>230</v>
      </c>
      <c r="AD56" s="46">
        <v>222</v>
      </c>
      <c r="AE56" s="46">
        <v>452</v>
      </c>
      <c r="AF56" s="46">
        <v>102</v>
      </c>
      <c r="AG56" s="46">
        <v>125</v>
      </c>
      <c r="AH56" s="46">
        <v>227</v>
      </c>
      <c r="AI56" s="46">
        <v>332</v>
      </c>
      <c r="AJ56" s="46">
        <v>347</v>
      </c>
      <c r="AK56" s="46">
        <v>679</v>
      </c>
      <c r="AL56" s="46" t="s">
        <v>62</v>
      </c>
      <c r="AM56" s="47">
        <v>8069</v>
      </c>
    </row>
    <row r="57" spans="2:39" ht="18">
      <c r="B57" s="45"/>
      <c r="C57" s="46" t="s">
        <v>63</v>
      </c>
      <c r="D57" s="46">
        <v>8128</v>
      </c>
      <c r="E57" s="46">
        <v>38</v>
      </c>
      <c r="F57" s="46">
        <v>33</v>
      </c>
      <c r="G57" s="46">
        <v>27</v>
      </c>
      <c r="H57" s="46">
        <v>29</v>
      </c>
      <c r="I57" s="46">
        <v>34</v>
      </c>
      <c r="J57" s="46">
        <v>33</v>
      </c>
      <c r="K57" s="46">
        <v>30</v>
      </c>
      <c r="L57" s="46">
        <v>37</v>
      </c>
      <c r="M57" s="46">
        <v>50</v>
      </c>
      <c r="N57" s="46">
        <v>35</v>
      </c>
      <c r="O57" s="46">
        <v>34</v>
      </c>
      <c r="P57" s="46">
        <v>30</v>
      </c>
      <c r="Q57" s="46">
        <v>34</v>
      </c>
      <c r="R57" s="46">
        <v>34</v>
      </c>
      <c r="S57" s="46">
        <v>39</v>
      </c>
      <c r="T57" s="46">
        <v>57</v>
      </c>
      <c r="U57" s="46">
        <v>20</v>
      </c>
      <c r="V57" s="46">
        <v>28</v>
      </c>
      <c r="W57" s="46">
        <v>28</v>
      </c>
      <c r="X57" s="46">
        <v>18</v>
      </c>
      <c r="Y57" s="46">
        <v>0</v>
      </c>
      <c r="Z57" s="46">
        <v>0</v>
      </c>
      <c r="AA57" s="46">
        <v>0</v>
      </c>
      <c r="AB57" s="46">
        <v>0</v>
      </c>
      <c r="AC57" s="46">
        <v>247</v>
      </c>
      <c r="AD57" s="46">
        <v>231</v>
      </c>
      <c r="AE57" s="46">
        <v>478</v>
      </c>
      <c r="AF57" s="46">
        <v>87</v>
      </c>
      <c r="AG57" s="46">
        <v>103</v>
      </c>
      <c r="AH57" s="46">
        <v>190</v>
      </c>
      <c r="AI57" s="46">
        <v>334</v>
      </c>
      <c r="AJ57" s="46">
        <v>334</v>
      </c>
      <c r="AK57" s="46">
        <v>668</v>
      </c>
      <c r="AL57" s="46" t="s">
        <v>63</v>
      </c>
      <c r="AM57" s="47">
        <v>8128</v>
      </c>
    </row>
    <row r="58" spans="2:39" ht="18">
      <c r="B58" s="45"/>
      <c r="C58" s="46" t="s">
        <v>64</v>
      </c>
      <c r="D58" s="46">
        <v>8051</v>
      </c>
      <c r="E58" s="46">
        <v>25</v>
      </c>
      <c r="F58" s="46">
        <v>22</v>
      </c>
      <c r="G58" s="46">
        <v>31</v>
      </c>
      <c r="H58" s="46">
        <v>29</v>
      </c>
      <c r="I58" s="46">
        <v>36</v>
      </c>
      <c r="J58" s="46">
        <v>38</v>
      </c>
      <c r="K58" s="46">
        <v>35</v>
      </c>
      <c r="L58" s="46">
        <v>27</v>
      </c>
      <c r="M58" s="46">
        <v>36</v>
      </c>
      <c r="N58" s="46">
        <v>32</v>
      </c>
      <c r="O58" s="46">
        <v>33</v>
      </c>
      <c r="P58" s="46">
        <v>36</v>
      </c>
      <c r="Q58" s="46">
        <v>35</v>
      </c>
      <c r="R58" s="46">
        <v>36</v>
      </c>
      <c r="S58" s="46">
        <v>28</v>
      </c>
      <c r="T58" s="46">
        <v>39</v>
      </c>
      <c r="U58" s="46">
        <v>35</v>
      </c>
      <c r="V58" s="46">
        <v>47</v>
      </c>
      <c r="W58" s="46">
        <v>21</v>
      </c>
      <c r="X58" s="46">
        <v>22</v>
      </c>
      <c r="Y58" s="46">
        <v>0</v>
      </c>
      <c r="Z58" s="46">
        <v>0</v>
      </c>
      <c r="AA58" s="46">
        <v>0</v>
      </c>
      <c r="AB58" s="46">
        <v>0</v>
      </c>
      <c r="AC58" s="46">
        <v>231</v>
      </c>
      <c r="AD58" s="46">
        <v>220</v>
      </c>
      <c r="AE58" s="46">
        <v>451</v>
      </c>
      <c r="AF58" s="46">
        <v>84</v>
      </c>
      <c r="AG58" s="46">
        <v>108</v>
      </c>
      <c r="AH58" s="46">
        <v>192</v>
      </c>
      <c r="AI58" s="46">
        <v>315</v>
      </c>
      <c r="AJ58" s="46">
        <v>328</v>
      </c>
      <c r="AK58" s="46">
        <v>643</v>
      </c>
      <c r="AL58" s="46" t="s">
        <v>64</v>
      </c>
      <c r="AM58" s="47">
        <v>8051</v>
      </c>
    </row>
    <row r="59" spans="2:39" ht="18">
      <c r="B59" s="45"/>
      <c r="C59" s="46" t="s">
        <v>65</v>
      </c>
      <c r="D59" s="46">
        <v>8123</v>
      </c>
      <c r="E59" s="46">
        <v>47</v>
      </c>
      <c r="F59" s="46">
        <v>57</v>
      </c>
      <c r="G59" s="46">
        <v>46</v>
      </c>
      <c r="H59" s="46">
        <v>46</v>
      </c>
      <c r="I59" s="46">
        <v>44</v>
      </c>
      <c r="J59" s="46">
        <v>45</v>
      </c>
      <c r="K59" s="46">
        <v>52</v>
      </c>
      <c r="L59" s="46">
        <v>51</v>
      </c>
      <c r="M59" s="46">
        <v>50</v>
      </c>
      <c r="N59" s="46">
        <v>51</v>
      </c>
      <c r="O59" s="46">
        <v>50</v>
      </c>
      <c r="P59" s="46">
        <v>39</v>
      </c>
      <c r="Q59" s="46">
        <v>44</v>
      </c>
      <c r="R59" s="46">
        <v>38</v>
      </c>
      <c r="S59" s="46">
        <v>47</v>
      </c>
      <c r="T59" s="46">
        <v>61</v>
      </c>
      <c r="U59" s="46">
        <v>21</v>
      </c>
      <c r="V59" s="46">
        <v>43</v>
      </c>
      <c r="W59" s="46">
        <v>13</v>
      </c>
      <c r="X59" s="46">
        <v>21</v>
      </c>
      <c r="Y59" s="46">
        <v>0</v>
      </c>
      <c r="Z59" s="46">
        <v>0</v>
      </c>
      <c r="AA59" s="46">
        <v>0</v>
      </c>
      <c r="AB59" s="46">
        <v>0</v>
      </c>
      <c r="AC59" s="46">
        <v>333</v>
      </c>
      <c r="AD59" s="46">
        <v>327</v>
      </c>
      <c r="AE59" s="46">
        <v>660</v>
      </c>
      <c r="AF59" s="46">
        <v>81</v>
      </c>
      <c r="AG59" s="46">
        <v>125</v>
      </c>
      <c r="AH59" s="46">
        <v>206</v>
      </c>
      <c r="AI59" s="46">
        <v>414</v>
      </c>
      <c r="AJ59" s="46">
        <v>452</v>
      </c>
      <c r="AK59" s="46">
        <v>866</v>
      </c>
      <c r="AL59" s="46" t="s">
        <v>65</v>
      </c>
      <c r="AM59" s="47">
        <v>8123</v>
      </c>
    </row>
    <row r="60" spans="2:39" ht="18">
      <c r="B60" s="45"/>
      <c r="C60" s="46" t="s">
        <v>66</v>
      </c>
      <c r="D60" s="46">
        <v>8455</v>
      </c>
      <c r="E60" s="46">
        <v>27</v>
      </c>
      <c r="F60" s="46">
        <v>19</v>
      </c>
      <c r="G60" s="46">
        <v>19</v>
      </c>
      <c r="H60" s="46">
        <v>19</v>
      </c>
      <c r="I60" s="46">
        <v>12</v>
      </c>
      <c r="J60" s="46">
        <v>34</v>
      </c>
      <c r="K60" s="46">
        <v>30</v>
      </c>
      <c r="L60" s="46">
        <v>22</v>
      </c>
      <c r="M60" s="46">
        <v>45</v>
      </c>
      <c r="N60" s="46">
        <v>40</v>
      </c>
      <c r="O60" s="46">
        <v>36</v>
      </c>
      <c r="P60" s="46">
        <v>27</v>
      </c>
      <c r="Q60" s="46">
        <v>24</v>
      </c>
      <c r="R60" s="46">
        <v>52</v>
      </c>
      <c r="S60" s="46">
        <v>19</v>
      </c>
      <c r="T60" s="46">
        <v>28</v>
      </c>
      <c r="U60" s="46">
        <v>11</v>
      </c>
      <c r="V60" s="46">
        <v>21</v>
      </c>
      <c r="W60" s="46">
        <v>4</v>
      </c>
      <c r="X60" s="46">
        <v>16</v>
      </c>
      <c r="Y60" s="46">
        <v>0</v>
      </c>
      <c r="Z60" s="46">
        <v>0</v>
      </c>
      <c r="AA60" s="46">
        <v>0</v>
      </c>
      <c r="AB60" s="46">
        <v>0</v>
      </c>
      <c r="AC60" s="46">
        <v>193</v>
      </c>
      <c r="AD60" s="46">
        <v>213</v>
      </c>
      <c r="AE60" s="46">
        <v>406</v>
      </c>
      <c r="AF60" s="46">
        <v>34</v>
      </c>
      <c r="AG60" s="46">
        <v>65</v>
      </c>
      <c r="AH60" s="46">
        <v>99</v>
      </c>
      <c r="AI60" s="46">
        <v>227</v>
      </c>
      <c r="AJ60" s="46">
        <v>278</v>
      </c>
      <c r="AK60" s="46">
        <v>505</v>
      </c>
      <c r="AL60" s="46" t="s">
        <v>66</v>
      </c>
      <c r="AM60" s="47">
        <v>8455</v>
      </c>
    </row>
    <row r="61" spans="2:39" ht="18">
      <c r="B61" s="45"/>
      <c r="C61" s="46" t="s">
        <v>67</v>
      </c>
      <c r="D61" s="46">
        <v>8092</v>
      </c>
      <c r="E61" s="46">
        <v>35</v>
      </c>
      <c r="F61" s="46">
        <v>21</v>
      </c>
      <c r="G61" s="46">
        <v>30</v>
      </c>
      <c r="H61" s="46">
        <v>19</v>
      </c>
      <c r="I61" s="46">
        <v>22</v>
      </c>
      <c r="J61" s="46">
        <v>14</v>
      </c>
      <c r="K61" s="46">
        <v>34</v>
      </c>
      <c r="L61" s="46">
        <v>30</v>
      </c>
      <c r="M61" s="46">
        <v>34</v>
      </c>
      <c r="N61" s="46">
        <v>28</v>
      </c>
      <c r="O61" s="46">
        <v>26</v>
      </c>
      <c r="P61" s="46">
        <v>30</v>
      </c>
      <c r="Q61" s="46">
        <v>25</v>
      </c>
      <c r="R61" s="46">
        <v>20</v>
      </c>
      <c r="S61" s="46">
        <v>50</v>
      </c>
      <c r="T61" s="46">
        <v>49</v>
      </c>
      <c r="U61" s="46">
        <v>20</v>
      </c>
      <c r="V61" s="46">
        <v>34</v>
      </c>
      <c r="W61" s="46">
        <v>32</v>
      </c>
      <c r="X61" s="46">
        <v>36</v>
      </c>
      <c r="Y61" s="46">
        <v>0</v>
      </c>
      <c r="Z61" s="46">
        <v>0</v>
      </c>
      <c r="AA61" s="46">
        <v>0</v>
      </c>
      <c r="AB61" s="46">
        <v>0</v>
      </c>
      <c r="AC61" s="46">
        <v>206</v>
      </c>
      <c r="AD61" s="46">
        <v>162</v>
      </c>
      <c r="AE61" s="46">
        <v>368</v>
      </c>
      <c r="AF61" s="46">
        <v>102</v>
      </c>
      <c r="AG61" s="46">
        <v>119</v>
      </c>
      <c r="AH61" s="46">
        <v>221</v>
      </c>
      <c r="AI61" s="46">
        <v>308</v>
      </c>
      <c r="AJ61" s="46">
        <v>281</v>
      </c>
      <c r="AK61" s="46">
        <v>589</v>
      </c>
      <c r="AL61" s="46" t="s">
        <v>67</v>
      </c>
      <c r="AM61" s="47">
        <v>8092</v>
      </c>
    </row>
    <row r="62" spans="2:39" ht="18">
      <c r="B62" s="45"/>
      <c r="C62" s="46" t="s">
        <v>68</v>
      </c>
      <c r="D62" s="46">
        <v>7989</v>
      </c>
      <c r="E62" s="46">
        <v>0</v>
      </c>
      <c r="F62" s="46"/>
      <c r="G62" s="46"/>
      <c r="H62" s="46"/>
      <c r="I62" s="46"/>
      <c r="J62" s="46"/>
      <c r="K62" s="46"/>
      <c r="L62" s="46"/>
      <c r="M62" s="46"/>
      <c r="N62" s="46"/>
      <c r="O62" s="46"/>
      <c r="P62" s="46"/>
      <c r="Q62" s="46"/>
      <c r="R62" s="46"/>
      <c r="S62" s="46"/>
      <c r="T62" s="46"/>
      <c r="U62" s="46"/>
      <c r="V62" s="46"/>
      <c r="W62" s="46"/>
      <c r="X62" s="46"/>
      <c r="Y62" s="46"/>
      <c r="Z62" s="46"/>
      <c r="AA62" s="46"/>
      <c r="AB62" s="46"/>
      <c r="AC62" s="46">
        <v>0</v>
      </c>
      <c r="AD62" s="46">
        <v>0</v>
      </c>
      <c r="AE62" s="46">
        <v>0</v>
      </c>
      <c r="AF62" s="46">
        <v>0</v>
      </c>
      <c r="AG62" s="46">
        <v>0</v>
      </c>
      <c r="AH62" s="46">
        <v>0</v>
      </c>
      <c r="AI62" s="46">
        <v>0</v>
      </c>
      <c r="AJ62" s="46">
        <v>0</v>
      </c>
      <c r="AK62" s="46">
        <v>0</v>
      </c>
      <c r="AL62" s="46" t="s">
        <v>68</v>
      </c>
      <c r="AM62" s="47">
        <v>7989</v>
      </c>
    </row>
    <row r="63" spans="2:39" ht="18">
      <c r="B63" s="51" t="s">
        <v>69</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v>0</v>
      </c>
      <c r="AD63" s="52">
        <v>0</v>
      </c>
      <c r="AE63" s="52">
        <v>0</v>
      </c>
      <c r="AF63" s="52">
        <v>0</v>
      </c>
      <c r="AG63" s="52">
        <v>0</v>
      </c>
      <c r="AH63" s="52">
        <v>0</v>
      </c>
      <c r="AI63" s="52">
        <v>0</v>
      </c>
      <c r="AJ63" s="52">
        <v>0</v>
      </c>
      <c r="AK63" s="52">
        <v>0</v>
      </c>
      <c r="AL63" s="52"/>
      <c r="AM63" s="53"/>
    </row>
    <row r="64" spans="2:39" ht="18">
      <c r="B64" s="45"/>
      <c r="C64" s="46" t="s">
        <v>70</v>
      </c>
      <c r="D64" s="46">
        <v>8170</v>
      </c>
      <c r="E64" s="46">
        <v>29</v>
      </c>
      <c r="F64" s="46">
        <v>35</v>
      </c>
      <c r="G64" s="46">
        <v>36</v>
      </c>
      <c r="H64" s="46">
        <v>30</v>
      </c>
      <c r="I64" s="46">
        <v>35</v>
      </c>
      <c r="J64" s="46">
        <v>34</v>
      </c>
      <c r="K64" s="46">
        <v>38</v>
      </c>
      <c r="L64" s="46">
        <v>32</v>
      </c>
      <c r="M64" s="46">
        <v>64</v>
      </c>
      <c r="N64" s="46">
        <v>46</v>
      </c>
      <c r="O64" s="46">
        <v>40</v>
      </c>
      <c r="P64" s="46">
        <v>34</v>
      </c>
      <c r="Q64" s="46">
        <v>69</v>
      </c>
      <c r="R64" s="46">
        <v>62</v>
      </c>
      <c r="S64" s="46">
        <v>87</v>
      </c>
      <c r="T64" s="46">
        <v>84</v>
      </c>
      <c r="U64" s="46">
        <v>34</v>
      </c>
      <c r="V64" s="46">
        <v>35</v>
      </c>
      <c r="W64" s="46">
        <v>25</v>
      </c>
      <c r="X64" s="46">
        <v>37</v>
      </c>
      <c r="Y64" s="46">
        <v>29</v>
      </c>
      <c r="Z64" s="46">
        <v>32</v>
      </c>
      <c r="AA64" s="46">
        <v>0</v>
      </c>
      <c r="AB64" s="46">
        <v>0</v>
      </c>
      <c r="AC64" s="46">
        <v>311</v>
      </c>
      <c r="AD64" s="46">
        <v>273</v>
      </c>
      <c r="AE64" s="46">
        <v>584</v>
      </c>
      <c r="AF64" s="46">
        <v>175</v>
      </c>
      <c r="AG64" s="46">
        <v>188</v>
      </c>
      <c r="AH64" s="46">
        <v>363</v>
      </c>
      <c r="AI64" s="46">
        <v>486</v>
      </c>
      <c r="AJ64" s="46">
        <v>461</v>
      </c>
      <c r="AK64" s="46">
        <v>947</v>
      </c>
      <c r="AL64" s="46" t="s">
        <v>70</v>
      </c>
      <c r="AM64" s="47">
        <v>8170</v>
      </c>
    </row>
    <row r="65" spans="2:39" ht="18">
      <c r="B65" s="45"/>
      <c r="C65" s="46" t="s">
        <v>71</v>
      </c>
      <c r="D65" s="46"/>
      <c r="E65" s="46">
        <v>20</v>
      </c>
      <c r="F65" s="46"/>
      <c r="G65" s="46"/>
      <c r="H65" s="46"/>
      <c r="I65" s="46"/>
      <c r="J65" s="46"/>
      <c r="K65" s="46"/>
      <c r="L65" s="46"/>
      <c r="M65" s="46"/>
      <c r="N65" s="46"/>
      <c r="O65" s="46"/>
      <c r="P65" s="46"/>
      <c r="Q65" s="46"/>
      <c r="R65" s="46"/>
      <c r="S65" s="46"/>
      <c r="T65" s="46"/>
      <c r="U65" s="46"/>
      <c r="V65" s="46"/>
      <c r="W65" s="46"/>
      <c r="X65" s="46"/>
      <c r="Y65" s="46"/>
      <c r="Z65" s="46"/>
      <c r="AA65" s="46"/>
      <c r="AB65" s="46"/>
      <c r="AC65" s="46">
        <v>20</v>
      </c>
      <c r="AD65" s="46">
        <v>0</v>
      </c>
      <c r="AE65" s="46">
        <v>20</v>
      </c>
      <c r="AF65" s="46">
        <v>0</v>
      </c>
      <c r="AG65" s="46">
        <v>0</v>
      </c>
      <c r="AH65" s="46">
        <v>0</v>
      </c>
      <c r="AI65" s="46">
        <v>20</v>
      </c>
      <c r="AJ65" s="46">
        <v>0</v>
      </c>
      <c r="AK65" s="46">
        <v>20</v>
      </c>
      <c r="AL65" s="46" t="s">
        <v>71</v>
      </c>
      <c r="AM65" s="47"/>
    </row>
    <row r="66" spans="2:39" ht="18">
      <c r="B66" s="45"/>
      <c r="C66" s="46" t="s">
        <v>72</v>
      </c>
      <c r="D66" s="46">
        <v>8068</v>
      </c>
      <c r="E66" s="46">
        <v>0</v>
      </c>
      <c r="F66" s="46">
        <v>0</v>
      </c>
      <c r="G66" s="46">
        <v>0</v>
      </c>
      <c r="H66" s="46">
        <v>0</v>
      </c>
      <c r="I66" s="46">
        <v>0</v>
      </c>
      <c r="J66" s="46">
        <v>0</v>
      </c>
      <c r="K66" s="46">
        <v>0</v>
      </c>
      <c r="L66" s="46">
        <v>0</v>
      </c>
      <c r="M66" s="46">
        <v>56</v>
      </c>
      <c r="N66" s="46">
        <v>58</v>
      </c>
      <c r="O66" s="46">
        <v>66</v>
      </c>
      <c r="P66" s="46">
        <v>57</v>
      </c>
      <c r="Q66" s="46">
        <v>78</v>
      </c>
      <c r="R66" s="46">
        <v>73</v>
      </c>
      <c r="S66" s="46">
        <v>0</v>
      </c>
      <c r="T66" s="46"/>
      <c r="U66" s="46"/>
      <c r="V66" s="46"/>
      <c r="W66" s="46"/>
      <c r="X66" s="46"/>
      <c r="Y66" s="46"/>
      <c r="Z66" s="46"/>
      <c r="AA66" s="46"/>
      <c r="AB66" s="46"/>
      <c r="AC66" s="46">
        <v>200</v>
      </c>
      <c r="AD66" s="46">
        <v>188</v>
      </c>
      <c r="AE66" s="46">
        <v>388</v>
      </c>
      <c r="AF66" s="46">
        <v>0</v>
      </c>
      <c r="AG66" s="46">
        <v>0</v>
      </c>
      <c r="AH66" s="46">
        <v>0</v>
      </c>
      <c r="AI66" s="46">
        <v>200</v>
      </c>
      <c r="AJ66" s="46">
        <v>188</v>
      </c>
      <c r="AK66" s="46">
        <v>388</v>
      </c>
      <c r="AL66" s="46" t="s">
        <v>72</v>
      </c>
      <c r="AM66" s="47">
        <v>8068</v>
      </c>
    </row>
    <row r="67" spans="2:39" ht="18">
      <c r="B67" s="45"/>
      <c r="C67" s="46" t="s">
        <v>73</v>
      </c>
      <c r="D67" s="46">
        <v>8089</v>
      </c>
      <c r="E67" s="46">
        <v>9</v>
      </c>
      <c r="F67" s="46">
        <v>8</v>
      </c>
      <c r="G67" s="46">
        <v>7</v>
      </c>
      <c r="H67" s="46">
        <v>6</v>
      </c>
      <c r="I67" s="46">
        <v>12</v>
      </c>
      <c r="J67" s="46">
        <v>11</v>
      </c>
      <c r="K67" s="46">
        <v>7</v>
      </c>
      <c r="L67" s="46">
        <v>5</v>
      </c>
      <c r="M67" s="46">
        <v>19</v>
      </c>
      <c r="N67" s="46">
        <v>18</v>
      </c>
      <c r="O67" s="46">
        <v>16</v>
      </c>
      <c r="P67" s="46">
        <v>16</v>
      </c>
      <c r="Q67" s="46">
        <v>18</v>
      </c>
      <c r="R67" s="46">
        <v>21</v>
      </c>
      <c r="S67" s="46">
        <v>25</v>
      </c>
      <c r="T67" s="46">
        <v>22</v>
      </c>
      <c r="U67" s="46">
        <v>9</v>
      </c>
      <c r="V67" s="46">
        <v>20</v>
      </c>
      <c r="W67" s="46">
        <v>8</v>
      </c>
      <c r="X67" s="46">
        <v>12</v>
      </c>
      <c r="Y67" s="46">
        <v>0</v>
      </c>
      <c r="Z67" s="46">
        <v>0</v>
      </c>
      <c r="AA67" s="46">
        <v>0</v>
      </c>
      <c r="AB67" s="46">
        <v>0</v>
      </c>
      <c r="AC67" s="46">
        <v>88</v>
      </c>
      <c r="AD67" s="46">
        <v>85</v>
      </c>
      <c r="AE67" s="46">
        <v>173</v>
      </c>
      <c r="AF67" s="46">
        <v>42</v>
      </c>
      <c r="AG67" s="46">
        <v>54</v>
      </c>
      <c r="AH67" s="46">
        <v>96</v>
      </c>
      <c r="AI67" s="46">
        <v>130</v>
      </c>
      <c r="AJ67" s="46">
        <v>139</v>
      </c>
      <c r="AK67" s="46">
        <v>269</v>
      </c>
      <c r="AL67" s="46" t="s">
        <v>73</v>
      </c>
      <c r="AM67" s="47">
        <v>8089</v>
      </c>
    </row>
    <row r="68" spans="2:39" ht="18">
      <c r="B68" s="45"/>
      <c r="C68" s="46" t="s">
        <v>74</v>
      </c>
      <c r="D68" s="46">
        <v>8419</v>
      </c>
      <c r="E68" s="46">
        <v>30</v>
      </c>
      <c r="F68" s="46">
        <v>29</v>
      </c>
      <c r="G68" s="46">
        <v>23</v>
      </c>
      <c r="H68" s="46">
        <v>37</v>
      </c>
      <c r="I68" s="46">
        <v>32</v>
      </c>
      <c r="J68" s="46">
        <v>32</v>
      </c>
      <c r="K68" s="46">
        <v>48</v>
      </c>
      <c r="L68" s="46">
        <v>42</v>
      </c>
      <c r="M68" s="46">
        <v>43</v>
      </c>
      <c r="N68" s="46">
        <v>34</v>
      </c>
      <c r="O68" s="46">
        <v>32</v>
      </c>
      <c r="P68" s="46">
        <v>28</v>
      </c>
      <c r="Q68" s="46">
        <v>36</v>
      </c>
      <c r="R68" s="46">
        <v>44</v>
      </c>
      <c r="S68" s="46">
        <v>43</v>
      </c>
      <c r="T68" s="46">
        <v>40</v>
      </c>
      <c r="U68" s="46">
        <v>36</v>
      </c>
      <c r="V68" s="46">
        <v>41</v>
      </c>
      <c r="W68" s="46">
        <v>31</v>
      </c>
      <c r="X68" s="46">
        <v>46</v>
      </c>
      <c r="Y68" s="46">
        <v>0</v>
      </c>
      <c r="Z68" s="46">
        <v>0</v>
      </c>
      <c r="AA68" s="46">
        <v>0</v>
      </c>
      <c r="AB68" s="46">
        <v>0</v>
      </c>
      <c r="AC68" s="46">
        <v>244</v>
      </c>
      <c r="AD68" s="46">
        <v>246</v>
      </c>
      <c r="AE68" s="46">
        <v>490</v>
      </c>
      <c r="AF68" s="46">
        <v>110</v>
      </c>
      <c r="AG68" s="46">
        <v>127</v>
      </c>
      <c r="AH68" s="46">
        <v>237</v>
      </c>
      <c r="AI68" s="46">
        <v>354</v>
      </c>
      <c r="AJ68" s="46">
        <v>373</v>
      </c>
      <c r="AK68" s="46">
        <v>727</v>
      </c>
      <c r="AL68" s="46" t="s">
        <v>74</v>
      </c>
      <c r="AM68" s="47">
        <v>8419</v>
      </c>
    </row>
    <row r="69" spans="2:39" ht="18">
      <c r="B69" s="51" t="s">
        <v>75</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v>0</v>
      </c>
      <c r="AD69" s="52">
        <v>0</v>
      </c>
      <c r="AE69" s="52">
        <v>0</v>
      </c>
      <c r="AF69" s="52">
        <v>0</v>
      </c>
      <c r="AG69" s="52">
        <v>0</v>
      </c>
      <c r="AH69" s="52">
        <v>0</v>
      </c>
      <c r="AI69" s="52">
        <v>0</v>
      </c>
      <c r="AJ69" s="52">
        <v>0</v>
      </c>
      <c r="AK69" s="52">
        <v>0</v>
      </c>
      <c r="AL69" s="52"/>
      <c r="AM69" s="53"/>
    </row>
    <row r="70" spans="2:39" ht="18">
      <c r="B70" s="45"/>
      <c r="C70" s="46" t="s">
        <v>76</v>
      </c>
      <c r="D70" s="46">
        <v>8274</v>
      </c>
      <c r="E70" s="46">
        <v>19</v>
      </c>
      <c r="F70" s="46">
        <v>14</v>
      </c>
      <c r="G70" s="46">
        <v>22</v>
      </c>
      <c r="H70" s="46">
        <v>8</v>
      </c>
      <c r="I70" s="46">
        <v>8</v>
      </c>
      <c r="J70" s="46">
        <v>12</v>
      </c>
      <c r="K70" s="46">
        <v>17</v>
      </c>
      <c r="L70" s="46">
        <v>11</v>
      </c>
      <c r="M70" s="46">
        <v>29</v>
      </c>
      <c r="N70" s="46">
        <v>25</v>
      </c>
      <c r="O70" s="46">
        <v>12</v>
      </c>
      <c r="P70" s="46">
        <v>12</v>
      </c>
      <c r="Q70" s="46">
        <v>16</v>
      </c>
      <c r="R70" s="46">
        <v>31</v>
      </c>
      <c r="S70" s="46">
        <v>24</v>
      </c>
      <c r="T70" s="46">
        <v>23</v>
      </c>
      <c r="U70" s="46">
        <v>17</v>
      </c>
      <c r="V70" s="46">
        <v>19</v>
      </c>
      <c r="W70" s="46">
        <v>7</v>
      </c>
      <c r="X70" s="46">
        <v>17</v>
      </c>
      <c r="Y70" s="46">
        <v>0</v>
      </c>
      <c r="Z70" s="46">
        <v>0</v>
      </c>
      <c r="AA70" s="46">
        <v>0</v>
      </c>
      <c r="AB70" s="46">
        <v>0</v>
      </c>
      <c r="AC70" s="46">
        <v>123</v>
      </c>
      <c r="AD70" s="46">
        <v>113</v>
      </c>
      <c r="AE70" s="46">
        <v>236</v>
      </c>
      <c r="AF70" s="46">
        <v>48</v>
      </c>
      <c r="AG70" s="46">
        <v>59</v>
      </c>
      <c r="AH70" s="46">
        <v>107</v>
      </c>
      <c r="AI70" s="46">
        <v>171</v>
      </c>
      <c r="AJ70" s="46">
        <v>172</v>
      </c>
      <c r="AK70" s="46">
        <v>343</v>
      </c>
      <c r="AL70" s="46" t="s">
        <v>76</v>
      </c>
      <c r="AM70" s="47">
        <v>8274</v>
      </c>
    </row>
    <row r="71" spans="2:39" ht="18">
      <c r="B71" s="45"/>
      <c r="C71" s="46" t="s">
        <v>77</v>
      </c>
      <c r="D71" s="46">
        <v>8278</v>
      </c>
      <c r="E71" s="46">
        <v>17</v>
      </c>
      <c r="F71" s="46">
        <v>18</v>
      </c>
      <c r="G71" s="46">
        <v>22</v>
      </c>
      <c r="H71" s="46">
        <v>18</v>
      </c>
      <c r="I71" s="46">
        <v>16</v>
      </c>
      <c r="J71" s="46">
        <v>12</v>
      </c>
      <c r="K71" s="46">
        <v>21</v>
      </c>
      <c r="L71" s="46">
        <v>19</v>
      </c>
      <c r="M71" s="46">
        <v>48</v>
      </c>
      <c r="N71" s="46">
        <v>31</v>
      </c>
      <c r="O71" s="46">
        <v>31</v>
      </c>
      <c r="P71" s="46">
        <v>28</v>
      </c>
      <c r="Q71" s="46">
        <v>27</v>
      </c>
      <c r="R71" s="46">
        <v>29</v>
      </c>
      <c r="S71" s="46">
        <v>23</v>
      </c>
      <c r="T71" s="46">
        <v>37</v>
      </c>
      <c r="U71" s="46">
        <v>16</v>
      </c>
      <c r="V71" s="46">
        <v>19</v>
      </c>
      <c r="W71" s="46">
        <v>16</v>
      </c>
      <c r="X71" s="46">
        <v>11</v>
      </c>
      <c r="Y71" s="46">
        <v>0</v>
      </c>
      <c r="Z71" s="46">
        <v>0</v>
      </c>
      <c r="AA71" s="46">
        <v>0</v>
      </c>
      <c r="AB71" s="46">
        <v>0</v>
      </c>
      <c r="AC71" s="46">
        <v>182</v>
      </c>
      <c r="AD71" s="46">
        <v>155</v>
      </c>
      <c r="AE71" s="46">
        <v>337</v>
      </c>
      <c r="AF71" s="46">
        <v>55</v>
      </c>
      <c r="AG71" s="46">
        <v>67</v>
      </c>
      <c r="AH71" s="46">
        <v>122</v>
      </c>
      <c r="AI71" s="46">
        <v>237</v>
      </c>
      <c r="AJ71" s="46">
        <v>222</v>
      </c>
      <c r="AK71" s="46">
        <v>459</v>
      </c>
      <c r="AL71" s="46" t="s">
        <v>77</v>
      </c>
      <c r="AM71" s="47">
        <v>8278</v>
      </c>
    </row>
    <row r="72" spans="2:39" ht="18">
      <c r="B72" s="45"/>
      <c r="C72" s="46" t="s">
        <v>78</v>
      </c>
      <c r="D72" s="46">
        <v>8043</v>
      </c>
      <c r="E72" s="46">
        <v>16</v>
      </c>
      <c r="F72" s="46">
        <v>21</v>
      </c>
      <c r="G72" s="46">
        <v>12</v>
      </c>
      <c r="H72" s="46">
        <v>16</v>
      </c>
      <c r="I72" s="46">
        <v>12</v>
      </c>
      <c r="J72" s="46">
        <v>16</v>
      </c>
      <c r="K72" s="46">
        <v>17</v>
      </c>
      <c r="L72" s="46">
        <v>18</v>
      </c>
      <c r="M72" s="46">
        <v>39</v>
      </c>
      <c r="N72" s="46">
        <v>31</v>
      </c>
      <c r="O72" s="46">
        <v>19</v>
      </c>
      <c r="P72" s="46">
        <v>18</v>
      </c>
      <c r="Q72" s="46">
        <v>18</v>
      </c>
      <c r="R72" s="46">
        <v>19</v>
      </c>
      <c r="S72" s="46">
        <v>18</v>
      </c>
      <c r="T72" s="46">
        <v>24</v>
      </c>
      <c r="U72" s="46">
        <v>8</v>
      </c>
      <c r="V72" s="46">
        <v>28</v>
      </c>
      <c r="W72" s="46">
        <v>6</v>
      </c>
      <c r="X72" s="46">
        <v>13</v>
      </c>
      <c r="Y72" s="46">
        <v>0</v>
      </c>
      <c r="Z72" s="46">
        <v>0</v>
      </c>
      <c r="AA72" s="46">
        <v>0</v>
      </c>
      <c r="AB72" s="46">
        <v>0</v>
      </c>
      <c r="AC72" s="46">
        <v>133</v>
      </c>
      <c r="AD72" s="46">
        <v>139</v>
      </c>
      <c r="AE72" s="46">
        <v>272</v>
      </c>
      <c r="AF72" s="46">
        <v>32</v>
      </c>
      <c r="AG72" s="46">
        <v>65</v>
      </c>
      <c r="AH72" s="46">
        <v>97</v>
      </c>
      <c r="AI72" s="46">
        <v>165</v>
      </c>
      <c r="AJ72" s="46">
        <v>204</v>
      </c>
      <c r="AK72" s="46">
        <v>369</v>
      </c>
      <c r="AL72" s="46" t="s">
        <v>78</v>
      </c>
      <c r="AM72" s="47">
        <v>8043</v>
      </c>
    </row>
    <row r="73" spans="2:39" ht="18">
      <c r="B73" s="45"/>
      <c r="C73" s="46" t="s">
        <v>79</v>
      </c>
      <c r="D73" s="46">
        <v>8362</v>
      </c>
      <c r="E73" s="46">
        <v>15</v>
      </c>
      <c r="F73" s="46">
        <v>13</v>
      </c>
      <c r="G73" s="46">
        <v>12</v>
      </c>
      <c r="H73" s="46">
        <v>17</v>
      </c>
      <c r="I73" s="46">
        <v>15</v>
      </c>
      <c r="J73" s="46">
        <v>8</v>
      </c>
      <c r="K73" s="46">
        <v>17</v>
      </c>
      <c r="L73" s="46">
        <v>16</v>
      </c>
      <c r="M73" s="46">
        <v>21</v>
      </c>
      <c r="N73" s="46">
        <v>18</v>
      </c>
      <c r="O73" s="46">
        <v>25</v>
      </c>
      <c r="P73" s="46">
        <v>39</v>
      </c>
      <c r="Q73" s="46">
        <v>30</v>
      </c>
      <c r="R73" s="46">
        <v>38</v>
      </c>
      <c r="S73" s="46">
        <v>35</v>
      </c>
      <c r="T73" s="46">
        <v>53</v>
      </c>
      <c r="U73" s="46">
        <v>19</v>
      </c>
      <c r="V73" s="46">
        <v>40</v>
      </c>
      <c r="W73" s="46">
        <v>11</v>
      </c>
      <c r="X73" s="46">
        <v>21</v>
      </c>
      <c r="Y73" s="46">
        <v>0</v>
      </c>
      <c r="Z73" s="46">
        <v>0</v>
      </c>
      <c r="AA73" s="46">
        <v>0</v>
      </c>
      <c r="AB73" s="46">
        <v>0</v>
      </c>
      <c r="AC73" s="46">
        <v>135</v>
      </c>
      <c r="AD73" s="46">
        <v>149</v>
      </c>
      <c r="AE73" s="46">
        <v>284</v>
      </c>
      <c r="AF73" s="46">
        <v>65</v>
      </c>
      <c r="AG73" s="46">
        <v>114</v>
      </c>
      <c r="AH73" s="46">
        <v>179</v>
      </c>
      <c r="AI73" s="46">
        <v>200</v>
      </c>
      <c r="AJ73" s="46">
        <v>263</v>
      </c>
      <c r="AK73" s="46">
        <v>463</v>
      </c>
      <c r="AL73" s="46" t="s">
        <v>79</v>
      </c>
      <c r="AM73" s="47">
        <v>8362</v>
      </c>
    </row>
    <row r="74" spans="2:39" ht="18">
      <c r="B74" s="45"/>
      <c r="C74" s="46" t="s">
        <v>80</v>
      </c>
      <c r="D74" s="46">
        <v>8313</v>
      </c>
      <c r="E74" s="46">
        <v>23</v>
      </c>
      <c r="F74" s="46">
        <v>27</v>
      </c>
      <c r="G74" s="46">
        <v>27</v>
      </c>
      <c r="H74" s="46">
        <v>23</v>
      </c>
      <c r="I74" s="46">
        <v>15</v>
      </c>
      <c r="J74" s="46">
        <v>22</v>
      </c>
      <c r="K74" s="46">
        <v>36</v>
      </c>
      <c r="L74" s="46">
        <v>26</v>
      </c>
      <c r="M74" s="46">
        <v>45</v>
      </c>
      <c r="N74" s="46">
        <v>27</v>
      </c>
      <c r="O74" s="46">
        <v>43</v>
      </c>
      <c r="P74" s="46">
        <v>38</v>
      </c>
      <c r="Q74" s="46">
        <v>42</v>
      </c>
      <c r="R74" s="46">
        <v>39</v>
      </c>
      <c r="S74" s="46">
        <v>64</v>
      </c>
      <c r="T74" s="46">
        <v>75</v>
      </c>
      <c r="U74" s="46">
        <v>47</v>
      </c>
      <c r="V74" s="46">
        <v>66</v>
      </c>
      <c r="W74" s="46">
        <v>34</v>
      </c>
      <c r="X74" s="46">
        <v>42</v>
      </c>
      <c r="Y74" s="46">
        <v>0</v>
      </c>
      <c r="Z74" s="46">
        <v>0</v>
      </c>
      <c r="AA74" s="46">
        <v>0</v>
      </c>
      <c r="AB74" s="46">
        <v>0</v>
      </c>
      <c r="AC74" s="46">
        <v>231</v>
      </c>
      <c r="AD74" s="46">
        <v>202</v>
      </c>
      <c r="AE74" s="46">
        <v>433</v>
      </c>
      <c r="AF74" s="46">
        <v>145</v>
      </c>
      <c r="AG74" s="46">
        <v>183</v>
      </c>
      <c r="AH74" s="46">
        <v>328</v>
      </c>
      <c r="AI74" s="46">
        <v>376</v>
      </c>
      <c r="AJ74" s="46">
        <v>385</v>
      </c>
      <c r="AK74" s="46">
        <v>761</v>
      </c>
      <c r="AL74" s="46" t="s">
        <v>80</v>
      </c>
      <c r="AM74" s="47">
        <v>8313</v>
      </c>
    </row>
    <row r="75" spans="2:39" ht="18">
      <c r="B75" s="45"/>
      <c r="C75" s="46" t="s">
        <v>81</v>
      </c>
      <c r="D75" s="46">
        <v>8715</v>
      </c>
      <c r="E75" s="46">
        <v>17</v>
      </c>
      <c r="F75" s="46">
        <v>15</v>
      </c>
      <c r="G75" s="46">
        <v>22</v>
      </c>
      <c r="H75" s="46">
        <v>20</v>
      </c>
      <c r="I75" s="46">
        <v>21</v>
      </c>
      <c r="J75" s="46">
        <v>19</v>
      </c>
      <c r="K75" s="46">
        <v>38</v>
      </c>
      <c r="L75" s="46">
        <v>9</v>
      </c>
      <c r="M75" s="46">
        <v>32</v>
      </c>
      <c r="N75" s="46">
        <v>31</v>
      </c>
      <c r="O75" s="46">
        <v>19</v>
      </c>
      <c r="P75" s="46">
        <v>15</v>
      </c>
      <c r="Q75" s="46">
        <v>19</v>
      </c>
      <c r="R75" s="46">
        <v>27</v>
      </c>
      <c r="S75" s="46">
        <v>26</v>
      </c>
      <c r="T75" s="46">
        <v>24</v>
      </c>
      <c r="U75" s="46">
        <v>17</v>
      </c>
      <c r="V75" s="46">
        <v>21</v>
      </c>
      <c r="W75" s="46">
        <v>12</v>
      </c>
      <c r="X75" s="46">
        <v>13</v>
      </c>
      <c r="Y75" s="46">
        <v>0</v>
      </c>
      <c r="Z75" s="46">
        <v>0</v>
      </c>
      <c r="AA75" s="46">
        <v>0</v>
      </c>
      <c r="AB75" s="46">
        <v>0</v>
      </c>
      <c r="AC75" s="46">
        <v>168</v>
      </c>
      <c r="AD75" s="46">
        <v>136</v>
      </c>
      <c r="AE75" s="46">
        <v>304</v>
      </c>
      <c r="AF75" s="46">
        <v>55</v>
      </c>
      <c r="AG75" s="46">
        <v>58</v>
      </c>
      <c r="AH75" s="46">
        <v>113</v>
      </c>
      <c r="AI75" s="46">
        <v>223</v>
      </c>
      <c r="AJ75" s="46">
        <v>194</v>
      </c>
      <c r="AK75" s="46">
        <v>417</v>
      </c>
      <c r="AL75" s="46" t="s">
        <v>81</v>
      </c>
      <c r="AM75" s="47">
        <v>8715</v>
      </c>
    </row>
    <row r="76" spans="2:39" ht="18">
      <c r="B76" s="45"/>
      <c r="C76" s="46" t="s">
        <v>82</v>
      </c>
      <c r="D76" s="46">
        <v>8610</v>
      </c>
      <c r="E76" s="46">
        <v>47</v>
      </c>
      <c r="F76" s="46">
        <v>45</v>
      </c>
      <c r="G76" s="46">
        <v>30</v>
      </c>
      <c r="H76" s="46">
        <v>38</v>
      </c>
      <c r="I76" s="46">
        <v>34</v>
      </c>
      <c r="J76" s="46">
        <v>35</v>
      </c>
      <c r="K76" s="46">
        <v>28</v>
      </c>
      <c r="L76" s="46">
        <v>23</v>
      </c>
      <c r="M76" s="46">
        <v>43</v>
      </c>
      <c r="N76" s="46">
        <v>42</v>
      </c>
      <c r="O76" s="46">
        <v>33</v>
      </c>
      <c r="P76" s="46">
        <v>34</v>
      </c>
      <c r="Q76" s="46">
        <v>21</v>
      </c>
      <c r="R76" s="46">
        <v>16</v>
      </c>
      <c r="S76" s="46">
        <v>36</v>
      </c>
      <c r="T76" s="46">
        <v>38</v>
      </c>
      <c r="U76" s="46">
        <v>26</v>
      </c>
      <c r="V76" s="46">
        <v>38</v>
      </c>
      <c r="W76" s="46">
        <v>18</v>
      </c>
      <c r="X76" s="46">
        <v>15</v>
      </c>
      <c r="Y76" s="46">
        <v>0</v>
      </c>
      <c r="Z76" s="46">
        <v>0</v>
      </c>
      <c r="AA76" s="46">
        <v>0</v>
      </c>
      <c r="AB76" s="46">
        <v>0</v>
      </c>
      <c r="AC76" s="46">
        <v>236</v>
      </c>
      <c r="AD76" s="46">
        <v>233</v>
      </c>
      <c r="AE76" s="46">
        <v>469</v>
      </c>
      <c r="AF76" s="46">
        <v>80</v>
      </c>
      <c r="AG76" s="46">
        <v>91</v>
      </c>
      <c r="AH76" s="46">
        <v>171</v>
      </c>
      <c r="AI76" s="46">
        <v>316</v>
      </c>
      <c r="AJ76" s="46">
        <v>324</v>
      </c>
      <c r="AK76" s="46">
        <v>640</v>
      </c>
      <c r="AL76" s="46" t="s">
        <v>82</v>
      </c>
      <c r="AM76" s="47">
        <v>8610</v>
      </c>
    </row>
    <row r="77" spans="2:39" ht="18">
      <c r="B77" s="51" t="s">
        <v>83</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v>1</v>
      </c>
      <c r="AD77" s="52">
        <v>0</v>
      </c>
      <c r="AE77" s="52">
        <v>1</v>
      </c>
      <c r="AF77" s="52">
        <v>0</v>
      </c>
      <c r="AG77" s="52">
        <v>0</v>
      </c>
      <c r="AH77" s="52">
        <v>0</v>
      </c>
      <c r="AI77" s="52">
        <v>1</v>
      </c>
      <c r="AJ77" s="52">
        <v>0</v>
      </c>
      <c r="AK77" s="52">
        <v>1</v>
      </c>
      <c r="AL77" s="52"/>
      <c r="AM77" s="53"/>
    </row>
    <row r="78" spans="2:39" ht="18">
      <c r="B78" s="45"/>
      <c r="C78" s="46" t="s">
        <v>84</v>
      </c>
      <c r="D78" s="46">
        <v>8804</v>
      </c>
      <c r="E78" s="46">
        <v>0</v>
      </c>
      <c r="F78" s="46">
        <v>0</v>
      </c>
      <c r="G78" s="46">
        <v>0</v>
      </c>
      <c r="H78" s="46">
        <v>0</v>
      </c>
      <c r="I78" s="46">
        <v>0</v>
      </c>
      <c r="J78" s="46">
        <v>0</v>
      </c>
      <c r="K78" s="46">
        <v>0</v>
      </c>
      <c r="L78" s="46">
        <v>0</v>
      </c>
      <c r="M78" s="46">
        <v>0</v>
      </c>
      <c r="N78" s="46">
        <v>0</v>
      </c>
      <c r="O78" s="46">
        <v>0</v>
      </c>
      <c r="P78" s="46">
        <v>0</v>
      </c>
      <c r="Q78" s="46">
        <v>0</v>
      </c>
      <c r="R78" s="46">
        <v>0</v>
      </c>
      <c r="S78" s="46">
        <v>83</v>
      </c>
      <c r="T78" s="46">
        <v>124</v>
      </c>
      <c r="U78" s="46">
        <v>105</v>
      </c>
      <c r="V78" s="46">
        <v>147</v>
      </c>
      <c r="W78" s="46">
        <v>64</v>
      </c>
      <c r="X78" s="46">
        <v>84</v>
      </c>
      <c r="Y78" s="46">
        <v>55</v>
      </c>
      <c r="Z78" s="46">
        <v>41</v>
      </c>
      <c r="AA78" s="46">
        <v>52</v>
      </c>
      <c r="AB78" s="46">
        <v>59</v>
      </c>
      <c r="AC78" s="46">
        <v>0</v>
      </c>
      <c r="AD78" s="46">
        <v>0</v>
      </c>
      <c r="AE78" s="46">
        <v>0</v>
      </c>
      <c r="AF78" s="46">
        <v>359</v>
      </c>
      <c r="AG78" s="46">
        <v>455</v>
      </c>
      <c r="AH78" s="46">
        <v>814</v>
      </c>
      <c r="AI78" s="46">
        <v>359</v>
      </c>
      <c r="AJ78" s="46">
        <v>455</v>
      </c>
      <c r="AK78" s="46">
        <v>814</v>
      </c>
      <c r="AL78" s="46" t="s">
        <v>84</v>
      </c>
      <c r="AM78" s="47">
        <v>8804</v>
      </c>
    </row>
    <row r="79" spans="2:39" ht="18">
      <c r="B79" s="45"/>
      <c r="C79" s="46" t="s">
        <v>85</v>
      </c>
      <c r="D79" s="46">
        <v>7046</v>
      </c>
      <c r="E79" s="46">
        <v>44</v>
      </c>
      <c r="F79" s="46">
        <v>41</v>
      </c>
      <c r="G79" s="46">
        <v>44</v>
      </c>
      <c r="H79" s="46">
        <v>34</v>
      </c>
      <c r="I79" s="46">
        <v>25</v>
      </c>
      <c r="J79" s="46">
        <v>38</v>
      </c>
      <c r="K79" s="46">
        <v>37</v>
      </c>
      <c r="L79" s="46">
        <v>43</v>
      </c>
      <c r="M79" s="46">
        <v>50</v>
      </c>
      <c r="N79" s="46">
        <v>34</v>
      </c>
      <c r="O79" s="46">
        <v>29</v>
      </c>
      <c r="P79" s="46">
        <v>30</v>
      </c>
      <c r="Q79" s="46">
        <v>27</v>
      </c>
      <c r="R79" s="46">
        <v>45</v>
      </c>
      <c r="S79" s="46">
        <v>67</v>
      </c>
      <c r="T79" s="46">
        <v>84</v>
      </c>
      <c r="U79" s="46">
        <v>54</v>
      </c>
      <c r="V79" s="46">
        <v>54</v>
      </c>
      <c r="W79" s="46">
        <v>37</v>
      </c>
      <c r="X79" s="46">
        <v>31</v>
      </c>
      <c r="Y79" s="46">
        <v>17</v>
      </c>
      <c r="Z79" s="46">
        <v>16</v>
      </c>
      <c r="AA79" s="46">
        <v>0</v>
      </c>
      <c r="AB79" s="46">
        <v>0</v>
      </c>
      <c r="AC79" s="46">
        <v>256</v>
      </c>
      <c r="AD79" s="46">
        <v>265</v>
      </c>
      <c r="AE79" s="46">
        <v>521</v>
      </c>
      <c r="AF79" s="46">
        <v>175</v>
      </c>
      <c r="AG79" s="46">
        <v>185</v>
      </c>
      <c r="AH79" s="46">
        <v>360</v>
      </c>
      <c r="AI79" s="46">
        <v>431</v>
      </c>
      <c r="AJ79" s="46">
        <v>450</v>
      </c>
      <c r="AK79" s="46">
        <v>881</v>
      </c>
      <c r="AL79" s="46" t="s">
        <v>85</v>
      </c>
      <c r="AM79" s="47">
        <v>7046</v>
      </c>
    </row>
    <row r="80" spans="2:39" ht="18">
      <c r="B80" s="45"/>
      <c r="C80" s="46" t="s">
        <v>86</v>
      </c>
      <c r="D80" s="46">
        <v>7440</v>
      </c>
      <c r="E80" s="46">
        <v>48</v>
      </c>
      <c r="F80" s="46">
        <v>42</v>
      </c>
      <c r="G80" s="46">
        <v>56</v>
      </c>
      <c r="H80" s="46">
        <v>45</v>
      </c>
      <c r="I80" s="46">
        <v>56</v>
      </c>
      <c r="J80" s="46">
        <v>47</v>
      </c>
      <c r="K80" s="46">
        <v>37</v>
      </c>
      <c r="L80" s="46">
        <v>45</v>
      </c>
      <c r="M80" s="46">
        <v>35</v>
      </c>
      <c r="N80" s="46">
        <v>65</v>
      </c>
      <c r="O80" s="46">
        <v>47</v>
      </c>
      <c r="P80" s="46">
        <v>31</v>
      </c>
      <c r="Q80" s="46">
        <v>22</v>
      </c>
      <c r="R80" s="46">
        <v>42</v>
      </c>
      <c r="S80" s="46">
        <v>26</v>
      </c>
      <c r="T80" s="46">
        <v>45</v>
      </c>
      <c r="U80" s="46">
        <v>42</v>
      </c>
      <c r="V80" s="46">
        <v>50</v>
      </c>
      <c r="W80" s="46">
        <v>38</v>
      </c>
      <c r="X80" s="46">
        <v>50</v>
      </c>
      <c r="Y80" s="46">
        <v>17</v>
      </c>
      <c r="Z80" s="46">
        <v>18</v>
      </c>
      <c r="AA80" s="46">
        <v>0</v>
      </c>
      <c r="AB80" s="46">
        <v>0</v>
      </c>
      <c r="AC80" s="46">
        <v>301</v>
      </c>
      <c r="AD80" s="46">
        <v>317</v>
      </c>
      <c r="AE80" s="46">
        <v>618</v>
      </c>
      <c r="AF80" s="46">
        <v>123</v>
      </c>
      <c r="AG80" s="46">
        <v>163</v>
      </c>
      <c r="AH80" s="46">
        <v>286</v>
      </c>
      <c r="AI80" s="46">
        <v>424</v>
      </c>
      <c r="AJ80" s="46">
        <v>480</v>
      </c>
      <c r="AK80" s="46">
        <v>904</v>
      </c>
      <c r="AL80" s="46" t="s">
        <v>86</v>
      </c>
      <c r="AM80" s="47">
        <v>7440</v>
      </c>
    </row>
    <row r="81" spans="2:39" ht="18">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7"/>
    </row>
    <row r="82" spans="2:39" ht="18">
      <c r="B82" s="48"/>
      <c r="C82" s="49"/>
      <c r="D82" s="49" t="s">
        <v>87</v>
      </c>
      <c r="E82" s="49">
        <f>SUM(E26:E80)</f>
        <v>1007</v>
      </c>
      <c r="F82" s="49">
        <f aca="true" t="shared" si="0" ref="F82:AK82">SUM(F26:F80)</f>
        <v>903</v>
      </c>
      <c r="G82" s="49">
        <f t="shared" si="0"/>
        <v>904</v>
      </c>
      <c r="H82" s="49">
        <f t="shared" si="0"/>
        <v>887</v>
      </c>
      <c r="I82" s="49">
        <f t="shared" si="0"/>
        <v>923</v>
      </c>
      <c r="J82" s="49">
        <f t="shared" si="0"/>
        <v>851</v>
      </c>
      <c r="K82" s="49">
        <f t="shared" si="0"/>
        <v>980</v>
      </c>
      <c r="L82" s="49">
        <f t="shared" si="0"/>
        <v>864</v>
      </c>
      <c r="M82" s="49">
        <f t="shared" si="0"/>
        <v>1340</v>
      </c>
      <c r="N82" s="49">
        <f t="shared" si="0"/>
        <v>1184</v>
      </c>
      <c r="O82" s="49">
        <f t="shared" si="0"/>
        <v>1035</v>
      </c>
      <c r="P82" s="49">
        <f t="shared" si="0"/>
        <v>1050</v>
      </c>
      <c r="Q82" s="49">
        <f t="shared" si="0"/>
        <v>999</v>
      </c>
      <c r="R82" s="49">
        <f t="shared" si="0"/>
        <v>1194</v>
      </c>
      <c r="S82" s="49">
        <f t="shared" si="0"/>
        <v>2104</v>
      </c>
      <c r="T82" s="49">
        <f t="shared" si="0"/>
        <v>2436</v>
      </c>
      <c r="U82" s="49">
        <f t="shared" si="0"/>
        <v>1570</v>
      </c>
      <c r="V82" s="49">
        <f t="shared" si="0"/>
        <v>1943</v>
      </c>
      <c r="W82" s="49">
        <f t="shared" si="0"/>
        <v>1258</v>
      </c>
      <c r="X82" s="49">
        <f t="shared" si="0"/>
        <v>1400</v>
      </c>
      <c r="Y82" s="49">
        <f t="shared" si="0"/>
        <v>396</v>
      </c>
      <c r="Z82" s="49">
        <f t="shared" si="0"/>
        <v>341</v>
      </c>
      <c r="AA82" s="49">
        <f t="shared" si="0"/>
        <v>268</v>
      </c>
      <c r="AB82" s="49">
        <f t="shared" si="0"/>
        <v>225</v>
      </c>
      <c r="AC82" s="49">
        <f t="shared" si="0"/>
        <v>7189</v>
      </c>
      <c r="AD82" s="49">
        <f t="shared" si="0"/>
        <v>6933</v>
      </c>
      <c r="AE82" s="49">
        <f t="shared" si="0"/>
        <v>14122</v>
      </c>
      <c r="AF82" s="49">
        <f t="shared" si="0"/>
        <v>5596</v>
      </c>
      <c r="AG82" s="49">
        <f t="shared" si="0"/>
        <v>6345</v>
      </c>
      <c r="AH82" s="49">
        <f t="shared" si="0"/>
        <v>11941</v>
      </c>
      <c r="AI82" s="49">
        <f t="shared" si="0"/>
        <v>12785</v>
      </c>
      <c r="AJ82" s="49">
        <f t="shared" si="0"/>
        <v>13278</v>
      </c>
      <c r="AK82" s="49">
        <f t="shared" si="0"/>
        <v>26063</v>
      </c>
      <c r="AL82" s="49"/>
      <c r="AM82" s="50"/>
    </row>
  </sheetData>
  <mergeCells count="3">
    <mergeCell ref="B11:X11"/>
    <mergeCell ref="B12:X20"/>
    <mergeCell ref="B21:X21"/>
  </mergeCells>
  <printOptions horizontalCentered="1"/>
  <pageMargins left="0.25" right="0.25" top="1" bottom="1" header="0.5" footer="0.36"/>
  <pageSetup fitToHeight="1" fitToWidth="1" horizontalDpi="600" verticalDpi="600" orientation="landscape" scale="27" r:id="rId2"/>
  <headerFooter alignWithMargins="0">
    <oddHeader>&amp;L&amp;G&amp;R&amp;27&amp;A</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osbornetk</dc:creator>
  <cp:keywords/>
  <dc:description/>
  <cp:lastModifiedBy>benyishaya</cp:lastModifiedBy>
  <cp:lastPrinted>2008-11-10T14:59:47Z</cp:lastPrinted>
  <dcterms:created xsi:type="dcterms:W3CDTF">2008-04-09T14:36:00Z</dcterms:created>
  <dcterms:modified xsi:type="dcterms:W3CDTF">2008-12-22T14:28:51Z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